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ubg6o/Dropbox/projects/JCI-review2021/data/"/>
    </mc:Choice>
  </mc:AlternateContent>
  <xr:revisionPtr revIDLastSave="0" documentId="13_ncr:1_{81729655-502C-5545-B699-9157FF494461}" xr6:coauthVersionLast="47" xr6:coauthVersionMax="47" xr10:uidLastSave="{00000000-0000-0000-0000-000000000000}"/>
  <bookViews>
    <workbookView xWindow="-51200" yWindow="-4300" windowWidth="51200" windowHeight="28800" xr2:uid="{00000000-000D-0000-FFFF-FFFF00000000}"/>
  </bookViews>
  <sheets>
    <sheet name="SMD" sheetId="10" r:id="rId1"/>
    <sheet name="Search_Summary" sheetId="1" r:id="rId2"/>
    <sheet name="aspirin" sheetId="11" r:id="rId3"/>
  </sheets>
  <definedNames>
    <definedName name="_xlnm._FilterDatabase" localSheetId="2" hidden="1">aspirin!$C$1:$C$48</definedName>
    <definedName name="_xlnm._FilterDatabase" localSheetId="1" hidden="1">Search_Summary!$A$1:$O$143</definedName>
    <definedName name="_xlnm._FilterDatabase" localSheetId="0" hidden="1">SMD!$A$1:$AN$442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62" i="11" l="1"/>
  <c r="AC62" i="11"/>
  <c r="AD61" i="11"/>
  <c r="AC61" i="11"/>
  <c r="AD60" i="11"/>
  <c r="AC60" i="11"/>
  <c r="AD59" i="11"/>
  <c r="AC59" i="11"/>
  <c r="AD58" i="11"/>
  <c r="AC58" i="11"/>
  <c r="AD57" i="11"/>
  <c r="AC57" i="11"/>
  <c r="AD56" i="11"/>
  <c r="AC56" i="11"/>
  <c r="AD55" i="11"/>
  <c r="AC55" i="11"/>
  <c r="AC54" i="11"/>
  <c r="Z54" i="11"/>
  <c r="Y54" i="11"/>
  <c r="AC53" i="11"/>
  <c r="Z53" i="11"/>
  <c r="Y53" i="11"/>
  <c r="AC52" i="11"/>
  <c r="Z52" i="11"/>
  <c r="Y52" i="11"/>
  <c r="AC51" i="11"/>
  <c r="Z51" i="11"/>
  <c r="Y51" i="11"/>
  <c r="AC50" i="11"/>
  <c r="Z50" i="11"/>
  <c r="Y50" i="11"/>
  <c r="AC49" i="11"/>
  <c r="Z49" i="11"/>
  <c r="Y49" i="11"/>
  <c r="AD48" i="11"/>
  <c r="AC48" i="11"/>
  <c r="AD47" i="11"/>
  <c r="AC47" i="11"/>
  <c r="AD46" i="11"/>
  <c r="AC46" i="11"/>
  <c r="AD45" i="11"/>
  <c r="AC45" i="11"/>
  <c r="AD44" i="11"/>
  <c r="AC44" i="11"/>
  <c r="AD43" i="11"/>
  <c r="AC43" i="11"/>
  <c r="AD42" i="11"/>
  <c r="AC42" i="11"/>
  <c r="AD41" i="11"/>
  <c r="AC41" i="11"/>
  <c r="AD40" i="11"/>
  <c r="AC40" i="11"/>
  <c r="AD39" i="11"/>
  <c r="AC39" i="11"/>
  <c r="AD38" i="11"/>
  <c r="AC38" i="11"/>
  <c r="AD37" i="11"/>
  <c r="AC37" i="11"/>
  <c r="AD36" i="11"/>
  <c r="AC36" i="11"/>
  <c r="AD35" i="11"/>
  <c r="AC35" i="11"/>
  <c r="R35" i="11"/>
  <c r="AD34" i="11"/>
  <c r="AC34" i="11"/>
  <c r="R34" i="11"/>
  <c r="AD33" i="11"/>
  <c r="AC33" i="11"/>
  <c r="R33" i="11"/>
  <c r="AD32" i="11"/>
  <c r="AC32" i="11"/>
  <c r="R32" i="11"/>
  <c r="AD31" i="11"/>
  <c r="AC31" i="11"/>
  <c r="R31" i="11"/>
  <c r="AD30" i="11"/>
  <c r="AC30" i="11"/>
  <c r="R30" i="11"/>
  <c r="AC28" i="11"/>
  <c r="Z28" i="11"/>
  <c r="Y28" i="11"/>
  <c r="AC27" i="11"/>
  <c r="Z27" i="11"/>
  <c r="Y27" i="11"/>
  <c r="R27" i="11"/>
  <c r="AD26" i="11"/>
  <c r="AC26" i="11"/>
  <c r="AD25" i="11"/>
  <c r="AC25" i="11"/>
  <c r="AD24" i="11"/>
  <c r="AC24" i="11"/>
  <c r="AD23" i="11"/>
  <c r="AC23" i="11"/>
  <c r="AD22" i="11"/>
  <c r="AC22" i="11"/>
  <c r="AD21" i="11"/>
  <c r="AC21" i="11"/>
  <c r="AC20" i="11"/>
  <c r="Z20" i="11"/>
  <c r="Y20" i="11"/>
  <c r="AC19" i="11"/>
  <c r="Z19" i="11"/>
  <c r="Y19" i="11"/>
  <c r="AC18" i="11"/>
  <c r="Z18" i="11"/>
  <c r="Y18" i="11"/>
  <c r="AC16" i="11"/>
  <c r="Z16" i="11"/>
  <c r="Y16" i="11"/>
  <c r="AD15" i="11"/>
  <c r="AC15" i="11"/>
  <c r="AD14" i="11"/>
  <c r="AC14" i="11"/>
  <c r="AD13" i="11"/>
  <c r="AC13" i="11"/>
  <c r="AD12" i="11"/>
  <c r="AC12" i="11"/>
  <c r="AD11" i="11"/>
  <c r="AC11" i="11"/>
  <c r="AD10" i="11"/>
  <c r="AC10" i="11"/>
  <c r="AD9" i="11"/>
  <c r="AC9" i="11"/>
  <c r="AD8" i="11"/>
  <c r="AC8" i="11"/>
  <c r="AD7" i="11"/>
  <c r="AC7" i="11"/>
  <c r="AD6" i="11"/>
  <c r="AC6" i="11"/>
  <c r="AD5" i="11"/>
  <c r="AC5" i="11"/>
  <c r="AD4" i="11"/>
  <c r="AC4" i="11"/>
  <c r="AE4" i="11" s="1"/>
  <c r="AF4" i="11" s="1"/>
  <c r="AD3" i="11"/>
  <c r="AC3" i="11"/>
  <c r="AD2" i="11"/>
  <c r="AC2" i="11"/>
  <c r="AD31" i="10"/>
  <c r="AC31" i="10"/>
  <c r="AD30" i="10"/>
  <c r="AC30" i="10"/>
  <c r="AD169" i="10"/>
  <c r="AC169" i="10"/>
  <c r="R169" i="10"/>
  <c r="Z35" i="10"/>
  <c r="Y35" i="10"/>
  <c r="Z34" i="10"/>
  <c r="Y34" i="10"/>
  <c r="AC35" i="10"/>
  <c r="AC34" i="10"/>
  <c r="AC32" i="10"/>
  <c r="Y32" i="10"/>
  <c r="Z32" i="10"/>
  <c r="Y36" i="10"/>
  <c r="Z36" i="10"/>
  <c r="AC36" i="10"/>
  <c r="Y37" i="10"/>
  <c r="Z37" i="10"/>
  <c r="AC37" i="10"/>
  <c r="Y38" i="10"/>
  <c r="Z38" i="10"/>
  <c r="AC38" i="10"/>
  <c r="AD75" i="10"/>
  <c r="AD74" i="10"/>
  <c r="AD73" i="10"/>
  <c r="AD72" i="10"/>
  <c r="AD71" i="10"/>
  <c r="AD70" i="10"/>
  <c r="AC75" i="10"/>
  <c r="AC74" i="10"/>
  <c r="AC73" i="10"/>
  <c r="AC72" i="10"/>
  <c r="AC71" i="10"/>
  <c r="AC70" i="10"/>
  <c r="Z442" i="10"/>
  <c r="Y442" i="10"/>
  <c r="AC442" i="10"/>
  <c r="Z441" i="10"/>
  <c r="Y441" i="10"/>
  <c r="AC441" i="10"/>
  <c r="Z435" i="10"/>
  <c r="Y435" i="10"/>
  <c r="Z434" i="10"/>
  <c r="Y434" i="10"/>
  <c r="Z433" i="10"/>
  <c r="Y433" i="10"/>
  <c r="AD440" i="10"/>
  <c r="AC440" i="10"/>
  <c r="AD439" i="10"/>
  <c r="AC439" i="10"/>
  <c r="AD438" i="10"/>
  <c r="AC438" i="10"/>
  <c r="AD437" i="10"/>
  <c r="AC437" i="10"/>
  <c r="AD436" i="10"/>
  <c r="AC436" i="10"/>
  <c r="AC435" i="10"/>
  <c r="AC434" i="10"/>
  <c r="AC433" i="10"/>
  <c r="AD432" i="10"/>
  <c r="AC432" i="10"/>
  <c r="AD431" i="10"/>
  <c r="AC431" i="10"/>
  <c r="AD430" i="10"/>
  <c r="AC430" i="10"/>
  <c r="AD429" i="10"/>
  <c r="AC429" i="10"/>
  <c r="AD428" i="10"/>
  <c r="AC428" i="10"/>
  <c r="AD427" i="10"/>
  <c r="AC427" i="10"/>
  <c r="Z426" i="10"/>
  <c r="Y426" i="10"/>
  <c r="Z425" i="10"/>
  <c r="Y425" i="10"/>
  <c r="AC426" i="10"/>
  <c r="AC425" i="10"/>
  <c r="Z424" i="10"/>
  <c r="Y424" i="10"/>
  <c r="AC424" i="10"/>
  <c r="Z423" i="10"/>
  <c r="Y423" i="10"/>
  <c r="Z422" i="10"/>
  <c r="Y422" i="10"/>
  <c r="AC423" i="10"/>
  <c r="AC422" i="10"/>
  <c r="Z421" i="10"/>
  <c r="Y421" i="10"/>
  <c r="AC421" i="10"/>
  <c r="Z420" i="10"/>
  <c r="Y420" i="10"/>
  <c r="AC420" i="10"/>
  <c r="Z419" i="10"/>
  <c r="Y419" i="10"/>
  <c r="AC419" i="10"/>
  <c r="AD418" i="10"/>
  <c r="AC418" i="10"/>
  <c r="AD417" i="10"/>
  <c r="AC417" i="10"/>
  <c r="AD416" i="10"/>
  <c r="AC416" i="10"/>
  <c r="Z413" i="10"/>
  <c r="Y413" i="10"/>
  <c r="Y411" i="10"/>
  <c r="AD415" i="10"/>
  <c r="AC415" i="10"/>
  <c r="AD414" i="10"/>
  <c r="AC414" i="10"/>
  <c r="AC413" i="10"/>
  <c r="AD412" i="10"/>
  <c r="AC412" i="10"/>
  <c r="R412" i="10"/>
  <c r="AC411" i="10"/>
  <c r="Z411" i="10"/>
  <c r="Z357" i="10"/>
  <c r="AD409" i="10"/>
  <c r="AC409" i="10"/>
  <c r="AD408" i="10"/>
  <c r="AC408" i="10"/>
  <c r="Y69" i="10"/>
  <c r="Z69" i="10"/>
  <c r="AC69" i="10"/>
  <c r="AD407" i="10"/>
  <c r="AC407" i="10"/>
  <c r="AD406" i="10"/>
  <c r="AC406" i="10"/>
  <c r="AD405" i="10"/>
  <c r="AC405" i="10"/>
  <c r="AD404" i="10"/>
  <c r="AC404" i="10"/>
  <c r="AD403" i="10"/>
  <c r="AC403" i="10"/>
  <c r="AD402" i="10"/>
  <c r="AC402" i="10"/>
  <c r="AD401" i="10"/>
  <c r="AC401" i="10"/>
  <c r="AD400" i="10"/>
  <c r="AC400" i="10"/>
  <c r="Z399" i="10"/>
  <c r="Y399" i="10"/>
  <c r="Z398" i="10"/>
  <c r="Y398" i="10"/>
  <c r="Z397" i="10"/>
  <c r="Y397" i="10"/>
  <c r="Z396" i="10"/>
  <c r="Y396" i="10"/>
  <c r="Z395" i="10"/>
  <c r="Y395" i="10"/>
  <c r="Z394" i="10"/>
  <c r="Y394" i="10"/>
  <c r="AC399" i="10"/>
  <c r="AC398" i="10"/>
  <c r="AC397" i="10"/>
  <c r="AC396" i="10"/>
  <c r="AC395" i="10"/>
  <c r="AC394" i="10"/>
  <c r="AD379" i="10"/>
  <c r="AC379" i="10"/>
  <c r="AD378" i="10"/>
  <c r="AC378" i="10"/>
  <c r="AD377" i="10"/>
  <c r="AC377" i="10"/>
  <c r="AD376" i="10"/>
  <c r="AC376" i="10"/>
  <c r="AD375" i="10"/>
  <c r="AC375" i="10"/>
  <c r="AD374" i="10"/>
  <c r="AC374" i="10"/>
  <c r="Z278" i="10"/>
  <c r="Y278" i="10"/>
  <c r="Z277" i="10"/>
  <c r="Y277" i="10"/>
  <c r="Z276" i="10"/>
  <c r="Y276" i="10"/>
  <c r="Z275" i="10"/>
  <c r="Y275" i="10"/>
  <c r="Y274" i="10"/>
  <c r="Z273" i="10"/>
  <c r="Y273" i="10"/>
  <c r="AC278" i="10"/>
  <c r="AC277" i="10"/>
  <c r="AC276" i="10"/>
  <c r="AC275" i="10"/>
  <c r="AC274" i="10"/>
  <c r="AC273" i="10"/>
  <c r="AC272" i="10"/>
  <c r="Z272" i="10"/>
  <c r="Z274" i="10"/>
  <c r="Y272" i="10"/>
  <c r="Z43" i="10"/>
  <c r="Y43" i="10"/>
  <c r="Z42" i="10"/>
  <c r="Y42" i="10"/>
  <c r="Z39" i="10"/>
  <c r="Y39" i="10"/>
  <c r="Z41" i="10"/>
  <c r="Y41" i="10"/>
  <c r="Z40" i="10"/>
  <c r="Y40" i="10"/>
  <c r="AC43" i="10"/>
  <c r="AC42" i="10"/>
  <c r="AC41" i="10"/>
  <c r="AC40" i="10"/>
  <c r="AC39" i="10"/>
  <c r="Z251" i="10"/>
  <c r="Y251" i="10"/>
  <c r="Z250" i="10"/>
  <c r="Y250" i="10"/>
  <c r="Z255" i="10"/>
  <c r="Y255" i="10"/>
  <c r="Z254" i="10"/>
  <c r="Y254" i="10"/>
  <c r="Z253" i="10"/>
  <c r="Y253" i="10"/>
  <c r="AC255" i="10"/>
  <c r="AC254" i="10"/>
  <c r="AC253" i="10"/>
  <c r="AC252" i="10"/>
  <c r="AC251" i="10"/>
  <c r="AC250" i="10"/>
  <c r="Z252" i="10"/>
  <c r="Y252" i="10"/>
  <c r="AC95" i="10"/>
  <c r="AC94" i="10"/>
  <c r="AC93" i="10"/>
  <c r="AC92" i="10"/>
  <c r="AC91" i="10"/>
  <c r="AD95" i="10"/>
  <c r="AD94" i="10"/>
  <c r="AD93" i="10"/>
  <c r="AD92" i="10"/>
  <c r="AD91" i="10"/>
  <c r="AD90" i="10"/>
  <c r="AC90" i="10"/>
  <c r="AD156" i="10"/>
  <c r="AC156" i="10"/>
  <c r="AD155" i="10"/>
  <c r="AC155" i="10"/>
  <c r="AD154" i="10"/>
  <c r="AC154" i="10"/>
  <c r="AD153" i="10"/>
  <c r="AC153" i="10"/>
  <c r="AD152" i="10"/>
  <c r="AC152" i="10"/>
  <c r="AD151" i="10"/>
  <c r="AC151" i="10"/>
  <c r="AD150" i="10"/>
  <c r="AC150" i="10"/>
  <c r="AD149" i="10"/>
  <c r="AC149" i="10"/>
  <c r="R148" i="10"/>
  <c r="AD148" i="10"/>
  <c r="AC148" i="10"/>
  <c r="AD147" i="10"/>
  <c r="AC147" i="10"/>
  <c r="R147" i="10"/>
  <c r="AC171" i="10"/>
  <c r="AD171" i="10"/>
  <c r="AC172" i="10"/>
  <c r="AD172" i="10"/>
  <c r="AC173" i="10"/>
  <c r="AD173" i="10"/>
  <c r="AC174" i="10"/>
  <c r="AD174" i="10"/>
  <c r="AC175" i="10"/>
  <c r="AD175" i="10"/>
  <c r="AC176" i="10"/>
  <c r="AD176" i="10"/>
  <c r="AD170" i="10"/>
  <c r="AC170" i="10"/>
  <c r="AD393" i="10"/>
  <c r="AC393" i="10"/>
  <c r="AD392" i="10"/>
  <c r="AC392" i="10"/>
  <c r="AD391" i="10"/>
  <c r="AC391" i="10"/>
  <c r="AD390" i="10"/>
  <c r="AC390" i="10"/>
  <c r="AD389" i="10"/>
  <c r="AC389" i="10"/>
  <c r="AD388" i="10"/>
  <c r="AC388" i="10"/>
  <c r="AD387" i="10"/>
  <c r="AC387" i="10"/>
  <c r="AD386" i="10"/>
  <c r="AC386" i="10"/>
  <c r="AD385" i="10"/>
  <c r="AC385" i="10"/>
  <c r="AD384" i="10"/>
  <c r="AC384" i="10"/>
  <c r="AD383" i="10"/>
  <c r="AC383" i="10"/>
  <c r="AD382" i="10"/>
  <c r="AC382" i="10"/>
  <c r="Z381" i="10"/>
  <c r="Y381" i="10"/>
  <c r="AC381" i="10"/>
  <c r="Y380" i="10"/>
  <c r="Z380" i="10"/>
  <c r="Y191" i="10"/>
  <c r="AC380" i="10"/>
  <c r="AD373" i="10"/>
  <c r="AC373" i="10"/>
  <c r="AD372" i="10"/>
  <c r="AC372" i="10"/>
  <c r="AD371" i="10"/>
  <c r="AC371" i="10"/>
  <c r="AD370" i="10"/>
  <c r="AC370" i="10"/>
  <c r="AD369" i="10"/>
  <c r="AC369" i="10"/>
  <c r="AD205" i="10"/>
  <c r="AC205" i="10"/>
  <c r="AD204" i="10"/>
  <c r="AC204" i="10"/>
  <c r="AD203" i="10"/>
  <c r="AC203" i="10"/>
  <c r="AD198" i="10"/>
  <c r="AE198" i="10" s="1"/>
  <c r="AF198" i="10" s="1"/>
  <c r="AD200" i="10"/>
  <c r="AE200" i="10" s="1"/>
  <c r="AF200" i="10" s="1"/>
  <c r="AD199" i="10"/>
  <c r="AE199" i="10" s="1"/>
  <c r="AF199" i="10" s="1"/>
  <c r="AD337" i="10"/>
  <c r="AC337" i="10"/>
  <c r="AD336" i="10"/>
  <c r="AC336" i="10"/>
  <c r="AC368" i="10"/>
  <c r="Z368" i="10"/>
  <c r="Y368" i="10"/>
  <c r="Z367" i="10"/>
  <c r="Y367" i="10"/>
  <c r="AC367" i="10"/>
  <c r="Z365" i="10"/>
  <c r="Y365" i="10"/>
  <c r="AC366" i="10"/>
  <c r="AC365" i="10"/>
  <c r="AC364" i="10"/>
  <c r="AC362" i="10"/>
  <c r="AC363" i="10"/>
  <c r="Z366" i="10"/>
  <c r="Y366" i="10"/>
  <c r="Z364" i="10"/>
  <c r="Y364" i="10"/>
  <c r="AC202" i="10"/>
  <c r="Z202" i="10"/>
  <c r="Y202" i="10"/>
  <c r="AD352" i="10"/>
  <c r="AC352" i="10"/>
  <c r="AD351" i="10"/>
  <c r="AC351" i="10"/>
  <c r="AD350" i="10"/>
  <c r="AC350" i="10"/>
  <c r="AD349" i="10"/>
  <c r="AC349" i="10"/>
  <c r="AD348" i="10"/>
  <c r="AC348" i="10"/>
  <c r="AD347" i="10"/>
  <c r="AC347" i="10"/>
  <c r="AD346" i="10"/>
  <c r="AC346" i="10"/>
  <c r="AD345" i="10"/>
  <c r="AC345" i="10"/>
  <c r="AD344" i="10"/>
  <c r="AC344" i="10"/>
  <c r="R125" i="10"/>
  <c r="R124" i="10"/>
  <c r="R123" i="10"/>
  <c r="R122" i="10"/>
  <c r="R121" i="10"/>
  <c r="AD125" i="10"/>
  <c r="AC125" i="10"/>
  <c r="AD124" i="10"/>
  <c r="AC124" i="10"/>
  <c r="AD123" i="10"/>
  <c r="AC123" i="10"/>
  <c r="AD122" i="10"/>
  <c r="AC122" i="10"/>
  <c r="AD121" i="10"/>
  <c r="AC121" i="10"/>
  <c r="AD120" i="10"/>
  <c r="AC120" i="10"/>
  <c r="R120" i="10"/>
  <c r="AD297" i="10"/>
  <c r="AC297" i="10"/>
  <c r="AD296" i="10"/>
  <c r="AC296" i="10"/>
  <c r="AD295" i="10"/>
  <c r="AC295" i="10"/>
  <c r="AD294" i="10"/>
  <c r="AC294" i="10"/>
  <c r="AD107" i="10"/>
  <c r="AC107" i="10"/>
  <c r="AD106" i="10"/>
  <c r="AC106" i="10"/>
  <c r="AD105" i="10"/>
  <c r="AC105" i="10"/>
  <c r="AD104" i="10"/>
  <c r="AC104" i="10"/>
  <c r="AC86" i="10"/>
  <c r="AC85" i="10"/>
  <c r="Y86" i="10"/>
  <c r="Y85" i="10"/>
  <c r="Z86" i="10"/>
  <c r="Z85" i="10"/>
  <c r="R85" i="10"/>
  <c r="AD103" i="10"/>
  <c r="AC103" i="10"/>
  <c r="AD102" i="10"/>
  <c r="AC102" i="10"/>
  <c r="R107" i="10"/>
  <c r="R106" i="10"/>
  <c r="R105" i="10"/>
  <c r="R104" i="10"/>
  <c r="R103" i="10"/>
  <c r="R102" i="10"/>
  <c r="AD146" i="10"/>
  <c r="AC146" i="10"/>
  <c r="AD145" i="10"/>
  <c r="AC145" i="10"/>
  <c r="AD144" i="10"/>
  <c r="AC144" i="10"/>
  <c r="AD143" i="10"/>
  <c r="AC143" i="10"/>
  <c r="AD142" i="10"/>
  <c r="AC142" i="10"/>
  <c r="R146" i="10"/>
  <c r="R145" i="10"/>
  <c r="R144" i="10"/>
  <c r="R143" i="10"/>
  <c r="R142" i="10"/>
  <c r="AD141" i="10"/>
  <c r="AC141" i="10"/>
  <c r="R141" i="10"/>
  <c r="AD331" i="10"/>
  <c r="AC331" i="10"/>
  <c r="AD330" i="10"/>
  <c r="AC330" i="10"/>
  <c r="AD329" i="10"/>
  <c r="AC329" i="10"/>
  <c r="AD328" i="10"/>
  <c r="AC328" i="10"/>
  <c r="AD327" i="10"/>
  <c r="AC327" i="10"/>
  <c r="AD326" i="10"/>
  <c r="AC326" i="10"/>
  <c r="AD325" i="10"/>
  <c r="AC325" i="10"/>
  <c r="AD324" i="10"/>
  <c r="AC324" i="10"/>
  <c r="AD323" i="10"/>
  <c r="AC323" i="10"/>
  <c r="AD322" i="10"/>
  <c r="AC322" i="10"/>
  <c r="AD321" i="10"/>
  <c r="AC321" i="10"/>
  <c r="AD320" i="10"/>
  <c r="AC320" i="10"/>
  <c r="AD309" i="10"/>
  <c r="AC309" i="10"/>
  <c r="AD308" i="10"/>
  <c r="AC308" i="10"/>
  <c r="AD307" i="10"/>
  <c r="AC307" i="10"/>
  <c r="AD306" i="10"/>
  <c r="AC306" i="10"/>
  <c r="AD305" i="10"/>
  <c r="AC305" i="10"/>
  <c r="AD304" i="10"/>
  <c r="AC304" i="10"/>
  <c r="AD315" i="10"/>
  <c r="AC315" i="10"/>
  <c r="AD314" i="10"/>
  <c r="AC314" i="10"/>
  <c r="AD313" i="10"/>
  <c r="AC313" i="10"/>
  <c r="AD312" i="10"/>
  <c r="AC312" i="10"/>
  <c r="AD311" i="10"/>
  <c r="AC311" i="10"/>
  <c r="AD310" i="10"/>
  <c r="AC310" i="10"/>
  <c r="AD168" i="10"/>
  <c r="AC168" i="10"/>
  <c r="AD167" i="10"/>
  <c r="AC167" i="10"/>
  <c r="AD166" i="10"/>
  <c r="AC166" i="10"/>
  <c r="R168" i="10"/>
  <c r="R167" i="10"/>
  <c r="R166" i="10"/>
  <c r="R165" i="10"/>
  <c r="AD165" i="10"/>
  <c r="AC165" i="10"/>
  <c r="AD356" i="10"/>
  <c r="AC356" i="10"/>
  <c r="AD355" i="10"/>
  <c r="AC355" i="10"/>
  <c r="AD269" i="10"/>
  <c r="AC269" i="10"/>
  <c r="AD268" i="10"/>
  <c r="AC268" i="10"/>
  <c r="AC267" i="10"/>
  <c r="AC266" i="10"/>
  <c r="AC265" i="10"/>
  <c r="AC264" i="10"/>
  <c r="AC263" i="10"/>
  <c r="AC262" i="10"/>
  <c r="AC261" i="10"/>
  <c r="AC260" i="10"/>
  <c r="AC259" i="10"/>
  <c r="AC258" i="10"/>
  <c r="AC257" i="10"/>
  <c r="Z257" i="10"/>
  <c r="Y257" i="10"/>
  <c r="Z256" i="10"/>
  <c r="Y256" i="10"/>
  <c r="AC256" i="10"/>
  <c r="Z259" i="10"/>
  <c r="Y259" i="10"/>
  <c r="Z258" i="10"/>
  <c r="Y258" i="10"/>
  <c r="AC249" i="10"/>
  <c r="AC248" i="10"/>
  <c r="AC247" i="10"/>
  <c r="AC246" i="10"/>
  <c r="AC245" i="10"/>
  <c r="AC244" i="10"/>
  <c r="Y244" i="10"/>
  <c r="Z244" i="10"/>
  <c r="Z249" i="10"/>
  <c r="Y249" i="10"/>
  <c r="Z248" i="10"/>
  <c r="Y248" i="10"/>
  <c r="Z247" i="10"/>
  <c r="Y247" i="10"/>
  <c r="Z246" i="10"/>
  <c r="Y246" i="10"/>
  <c r="Z245" i="10"/>
  <c r="Y245" i="10"/>
  <c r="AD243" i="10"/>
  <c r="AC243" i="10"/>
  <c r="AD242" i="10"/>
  <c r="AC242" i="10"/>
  <c r="AD241" i="10"/>
  <c r="AC241" i="10"/>
  <c r="AD240" i="10"/>
  <c r="AC240" i="10"/>
  <c r="AD239" i="10"/>
  <c r="AC239" i="10"/>
  <c r="AD238" i="10"/>
  <c r="AC238" i="10"/>
  <c r="AD237" i="10"/>
  <c r="AC237" i="10"/>
  <c r="AD236" i="10"/>
  <c r="AC236" i="10"/>
  <c r="AD235" i="10"/>
  <c r="AC235" i="10"/>
  <c r="AD234" i="10"/>
  <c r="AC234" i="10"/>
  <c r="AD233" i="10"/>
  <c r="AC233" i="10"/>
  <c r="AD232" i="10"/>
  <c r="AC232" i="10"/>
  <c r="AD231" i="10"/>
  <c r="AC231" i="10"/>
  <c r="AD230" i="10"/>
  <c r="AC230" i="10"/>
  <c r="AD229" i="10"/>
  <c r="AC229" i="10"/>
  <c r="AD228" i="10"/>
  <c r="AC228" i="10"/>
  <c r="AD227" i="10"/>
  <c r="AC227" i="10"/>
  <c r="AD226" i="10"/>
  <c r="AC226" i="10"/>
  <c r="AD219" i="10"/>
  <c r="AC219" i="10"/>
  <c r="AD218" i="10"/>
  <c r="AC218" i="10"/>
  <c r="AD217" i="10"/>
  <c r="AC217" i="10"/>
  <c r="AD216" i="10"/>
  <c r="AC216" i="10"/>
  <c r="AD212" i="10"/>
  <c r="AC212" i="10"/>
  <c r="AD211" i="10"/>
  <c r="AC211" i="10"/>
  <c r="AD210" i="10"/>
  <c r="AC210" i="10"/>
  <c r="AD209" i="10"/>
  <c r="AC209" i="10"/>
  <c r="AC197" i="10"/>
  <c r="AC196" i="10"/>
  <c r="AC195" i="10"/>
  <c r="AC194" i="10"/>
  <c r="Y197" i="10"/>
  <c r="Y196" i="10"/>
  <c r="Y195" i="10"/>
  <c r="Y194" i="10"/>
  <c r="Z197" i="10"/>
  <c r="Z196" i="10"/>
  <c r="Z195" i="10"/>
  <c r="Z194" i="10"/>
  <c r="Z193" i="10"/>
  <c r="Y193" i="10"/>
  <c r="AC189" i="10"/>
  <c r="Z188" i="10"/>
  <c r="Y188" i="10"/>
  <c r="Z189" i="10"/>
  <c r="Y189" i="10"/>
  <c r="AD187" i="10"/>
  <c r="AC187" i="10"/>
  <c r="AD186" i="10"/>
  <c r="AC186" i="10"/>
  <c r="AD185" i="10"/>
  <c r="AC185" i="10"/>
  <c r="AD182" i="10"/>
  <c r="AC182" i="10"/>
  <c r="AD179" i="10"/>
  <c r="AC179" i="10"/>
  <c r="R162" i="10"/>
  <c r="R161" i="10"/>
  <c r="R160" i="10"/>
  <c r="R159" i="10"/>
  <c r="R158" i="10"/>
  <c r="R157" i="10"/>
  <c r="AD160" i="10"/>
  <c r="AC160" i="10"/>
  <c r="AD159" i="10"/>
  <c r="AC159" i="10"/>
  <c r="AD134" i="10"/>
  <c r="AC134" i="10"/>
  <c r="AD133" i="10"/>
  <c r="AC133" i="10"/>
  <c r="AD138" i="10"/>
  <c r="AC138" i="10"/>
  <c r="AD137" i="10"/>
  <c r="AC137" i="10"/>
  <c r="AD131" i="10"/>
  <c r="AC131" i="10"/>
  <c r="AD127" i="10"/>
  <c r="AC127" i="10"/>
  <c r="AD126" i="10"/>
  <c r="AC126" i="10"/>
  <c r="AD83" i="10"/>
  <c r="AC83" i="10"/>
  <c r="AD82" i="10"/>
  <c r="AC82" i="10"/>
  <c r="AD81" i="10"/>
  <c r="AC81" i="10"/>
  <c r="AD80" i="10"/>
  <c r="AC80" i="10"/>
  <c r="AD79" i="10"/>
  <c r="AC79" i="10"/>
  <c r="AD78" i="10"/>
  <c r="AC78" i="10"/>
  <c r="AD77" i="10"/>
  <c r="AC77" i="10"/>
  <c r="AD76" i="10"/>
  <c r="AC76" i="10"/>
  <c r="AD118" i="10"/>
  <c r="AC118" i="10"/>
  <c r="AD117" i="10"/>
  <c r="AC117" i="10"/>
  <c r="AD116" i="10"/>
  <c r="AC116" i="10"/>
  <c r="AD115" i="10"/>
  <c r="AC115" i="10"/>
  <c r="AD114" i="10"/>
  <c r="AC114" i="10"/>
  <c r="AD113" i="10"/>
  <c r="AC113" i="10"/>
  <c r="AD112" i="10"/>
  <c r="AC112" i="10"/>
  <c r="AD111" i="10"/>
  <c r="AC111" i="10"/>
  <c r="AD110" i="10"/>
  <c r="AC110" i="10"/>
  <c r="AD109" i="10"/>
  <c r="AC109" i="10"/>
  <c r="Z363" i="10"/>
  <c r="Y363" i="10"/>
  <c r="Z362" i="10"/>
  <c r="Y362" i="10"/>
  <c r="AD101" i="10"/>
  <c r="AC101" i="10"/>
  <c r="AD100" i="10"/>
  <c r="AC100" i="10"/>
  <c r="AD99" i="10"/>
  <c r="AC99" i="10"/>
  <c r="AD98" i="10"/>
  <c r="AC98" i="10"/>
  <c r="AD97" i="10"/>
  <c r="AC97" i="10"/>
  <c r="AD48" i="10"/>
  <c r="AC48" i="10"/>
  <c r="AD45" i="10"/>
  <c r="AC45" i="10"/>
  <c r="AD44" i="10"/>
  <c r="AC44" i="10"/>
  <c r="AC46" i="10"/>
  <c r="AD46" i="10"/>
  <c r="AC47" i="10"/>
  <c r="AD47" i="10"/>
  <c r="AC49" i="10"/>
  <c r="AD49" i="10"/>
  <c r="AC50" i="10"/>
  <c r="AD50" i="10"/>
  <c r="AD16" i="10"/>
  <c r="AD15" i="10"/>
  <c r="AC16" i="10"/>
  <c r="AC15" i="10"/>
  <c r="AD7" i="10"/>
  <c r="AC7" i="10"/>
  <c r="AD6" i="10"/>
  <c r="AC6" i="10"/>
  <c r="AD5" i="10"/>
  <c r="AC5" i="10"/>
  <c r="AD361" i="10"/>
  <c r="AD360" i="10"/>
  <c r="AD359" i="10"/>
  <c r="AD358" i="10"/>
  <c r="AC361" i="10"/>
  <c r="AC360" i="10"/>
  <c r="AC359" i="10"/>
  <c r="AC358" i="10"/>
  <c r="Y357" i="10"/>
  <c r="AC357" i="10"/>
  <c r="AD354" i="10"/>
  <c r="AC354" i="10"/>
  <c r="Z353" i="10"/>
  <c r="Y353" i="10"/>
  <c r="AC353" i="10"/>
  <c r="Z343" i="10"/>
  <c r="Y343" i="10"/>
  <c r="Z342" i="10"/>
  <c r="Y342" i="10"/>
  <c r="Z341" i="10"/>
  <c r="Y341" i="10"/>
  <c r="Z340" i="10"/>
  <c r="Y340" i="10"/>
  <c r="Z339" i="10"/>
  <c r="Z338" i="10"/>
  <c r="Y339" i="10"/>
  <c r="Y338" i="10"/>
  <c r="AC343" i="10"/>
  <c r="AC342" i="10"/>
  <c r="AC341" i="10"/>
  <c r="AC340" i="10"/>
  <c r="AC339" i="10"/>
  <c r="AC338" i="10"/>
  <c r="AC335" i="10"/>
  <c r="AC334" i="10"/>
  <c r="AC333" i="10"/>
  <c r="AC332" i="10"/>
  <c r="Z335" i="10"/>
  <c r="Y335" i="10"/>
  <c r="Z334" i="10"/>
  <c r="Y334" i="10"/>
  <c r="Z333" i="10"/>
  <c r="Y333" i="10"/>
  <c r="Z332" i="10"/>
  <c r="Y332" i="10"/>
  <c r="AD319" i="10"/>
  <c r="AC319" i="10"/>
  <c r="AD318" i="10"/>
  <c r="AC318" i="10"/>
  <c r="AD317" i="10"/>
  <c r="AC317" i="10"/>
  <c r="AD316" i="10"/>
  <c r="AC316" i="10"/>
  <c r="AD303" i="10"/>
  <c r="AC303" i="10"/>
  <c r="AD302" i="10"/>
  <c r="AC302" i="10"/>
  <c r="AD301" i="10"/>
  <c r="AC301" i="10"/>
  <c r="AD300" i="10"/>
  <c r="AC300" i="10"/>
  <c r="AD299" i="10"/>
  <c r="AC299" i="10"/>
  <c r="AD298" i="10"/>
  <c r="AC298" i="10"/>
  <c r="Z293" i="10"/>
  <c r="Y293" i="10"/>
  <c r="AC293" i="10"/>
  <c r="Z292" i="10"/>
  <c r="Y292" i="10"/>
  <c r="AC292" i="10"/>
  <c r="Z291" i="10"/>
  <c r="Y291" i="10"/>
  <c r="AC291" i="10"/>
  <c r="Z290" i="10"/>
  <c r="Y290" i="10"/>
  <c r="AC290" i="10"/>
  <c r="Z289" i="10"/>
  <c r="Y289" i="10"/>
  <c r="AC289" i="10"/>
  <c r="Z288" i="10"/>
  <c r="Y288" i="10"/>
  <c r="AC288" i="10"/>
  <c r="Z287" i="10"/>
  <c r="Y287" i="10"/>
  <c r="AC287" i="10"/>
  <c r="Z286" i="10"/>
  <c r="Y286" i="10"/>
  <c r="AC286" i="10"/>
  <c r="Z285" i="10"/>
  <c r="Y285" i="10"/>
  <c r="AC285" i="10"/>
  <c r="AD271" i="10"/>
  <c r="AC271" i="10"/>
  <c r="AD270" i="10"/>
  <c r="AC270" i="10"/>
  <c r="Z267" i="10"/>
  <c r="Y267" i="10"/>
  <c r="Z266" i="10"/>
  <c r="Y266" i="10"/>
  <c r="Z265" i="10"/>
  <c r="Y265" i="10"/>
  <c r="Z264" i="10"/>
  <c r="Y264" i="10"/>
  <c r="Z263" i="10"/>
  <c r="Y263" i="10"/>
  <c r="Z262" i="10"/>
  <c r="Y262" i="10"/>
  <c r="Z261" i="10"/>
  <c r="Y261" i="10"/>
  <c r="Z260" i="10"/>
  <c r="Y260" i="10"/>
  <c r="AC284" i="10"/>
  <c r="Z284" i="10"/>
  <c r="Y284" i="10"/>
  <c r="AD225" i="10"/>
  <c r="AC225" i="10"/>
  <c r="AD224" i="10"/>
  <c r="AC224" i="10"/>
  <c r="AD223" i="10"/>
  <c r="AC223" i="10"/>
  <c r="AD222" i="10"/>
  <c r="AC222" i="10"/>
  <c r="AD221" i="10"/>
  <c r="AC221" i="10"/>
  <c r="AD220" i="10"/>
  <c r="AC220" i="10"/>
  <c r="AD215" i="10"/>
  <c r="AC215" i="10"/>
  <c r="AD214" i="10"/>
  <c r="AC214" i="10"/>
  <c r="Z283" i="10"/>
  <c r="Y283" i="10"/>
  <c r="AC283" i="10"/>
  <c r="AD282" i="10"/>
  <c r="AC282" i="10"/>
  <c r="AD281" i="10"/>
  <c r="AC281" i="10"/>
  <c r="AD280" i="10"/>
  <c r="AC280" i="10"/>
  <c r="AD208" i="10"/>
  <c r="AC208" i="10"/>
  <c r="AD207" i="10"/>
  <c r="AC207" i="10"/>
  <c r="AC206" i="10"/>
  <c r="AC201" i="10"/>
  <c r="AC193" i="10"/>
  <c r="AD192" i="10"/>
  <c r="AC192" i="10"/>
  <c r="AC188" i="10"/>
  <c r="AD184" i="10"/>
  <c r="AC184" i="10"/>
  <c r="AC191" i="10"/>
  <c r="AD183" i="10"/>
  <c r="AC183" i="10"/>
  <c r="AD181" i="10"/>
  <c r="AC181" i="10"/>
  <c r="AD180" i="10"/>
  <c r="AC180" i="10"/>
  <c r="AD178" i="10"/>
  <c r="AD177" i="10"/>
  <c r="AC177" i="10"/>
  <c r="AD279" i="10"/>
  <c r="AC279" i="10"/>
  <c r="AD164" i="10"/>
  <c r="AC164" i="10"/>
  <c r="AD163" i="10"/>
  <c r="AC163" i="10"/>
  <c r="AD162" i="10"/>
  <c r="AC162" i="10"/>
  <c r="AD161" i="10"/>
  <c r="AC161" i="10"/>
  <c r="AD158" i="10"/>
  <c r="AC158" i="10"/>
  <c r="AD157" i="10"/>
  <c r="AC157" i="10"/>
  <c r="AD140" i="10"/>
  <c r="AC140" i="10"/>
  <c r="AD139" i="10"/>
  <c r="AC139" i="10"/>
  <c r="AD136" i="10"/>
  <c r="AC136" i="10"/>
  <c r="AD135" i="10"/>
  <c r="AC135" i="10"/>
  <c r="AD132" i="10"/>
  <c r="AC132" i="10"/>
  <c r="AD130" i="10"/>
  <c r="AC130" i="10"/>
  <c r="AD129" i="10"/>
  <c r="AC129" i="10"/>
  <c r="AD128" i="10"/>
  <c r="AC128" i="10"/>
  <c r="AD119" i="10"/>
  <c r="AC119" i="10"/>
  <c r="AD108" i="10"/>
  <c r="AC108" i="10"/>
  <c r="AD96" i="10"/>
  <c r="AC96" i="10"/>
  <c r="AD89" i="10"/>
  <c r="AC89" i="10"/>
  <c r="AD88" i="10"/>
  <c r="AC88" i="10"/>
  <c r="AD84" i="10"/>
  <c r="AC84" i="10"/>
  <c r="Y68" i="10"/>
  <c r="AC68" i="10"/>
  <c r="AC67" i="10"/>
  <c r="AD66" i="10"/>
  <c r="AC66" i="10"/>
  <c r="AD65" i="10"/>
  <c r="AC65" i="10"/>
  <c r="AC63" i="10"/>
  <c r="AD61" i="10"/>
  <c r="AC61" i="10"/>
  <c r="AD60" i="10"/>
  <c r="AC60" i="10"/>
  <c r="AD57" i="10"/>
  <c r="AC57" i="10"/>
  <c r="AD56" i="10"/>
  <c r="AC56" i="10"/>
  <c r="AD55" i="10"/>
  <c r="AC55" i="10"/>
  <c r="AD54" i="10"/>
  <c r="AC54" i="10"/>
  <c r="AD52" i="10"/>
  <c r="AC52" i="10"/>
  <c r="AD29" i="10"/>
  <c r="AC29" i="10"/>
  <c r="AD28" i="10"/>
  <c r="AC28" i="10"/>
  <c r="AC27" i="10"/>
  <c r="AD26" i="10"/>
  <c r="AC26" i="10"/>
  <c r="AD25" i="10"/>
  <c r="AC25" i="10"/>
  <c r="AD24" i="10"/>
  <c r="AC24" i="10"/>
  <c r="AD23" i="10"/>
  <c r="AC23" i="10"/>
  <c r="AD22" i="10"/>
  <c r="AC22" i="10"/>
  <c r="AD21" i="10"/>
  <c r="AC21" i="10"/>
  <c r="AD20" i="10"/>
  <c r="AC20" i="10"/>
  <c r="AD18" i="10"/>
  <c r="AC18" i="10"/>
  <c r="AD17" i="10"/>
  <c r="AC17" i="10"/>
  <c r="AD14" i="10"/>
  <c r="AC14" i="10"/>
  <c r="AD13" i="10"/>
  <c r="AC13" i="10"/>
  <c r="AD12" i="10"/>
  <c r="AC12" i="10"/>
  <c r="AD11" i="10"/>
  <c r="AC11" i="10"/>
  <c r="AD10" i="10"/>
  <c r="AC10" i="10"/>
  <c r="AD2" i="10"/>
  <c r="AD9" i="10"/>
  <c r="AC9" i="10"/>
  <c r="AD8" i="10"/>
  <c r="AC8" i="10"/>
  <c r="AD4" i="10"/>
  <c r="AC4" i="10"/>
  <c r="AD3" i="10"/>
  <c r="AC3" i="10"/>
  <c r="AC2" i="10"/>
  <c r="Z206" i="10"/>
  <c r="Y206" i="10"/>
  <c r="Z201" i="10"/>
  <c r="Y201" i="10"/>
  <c r="Z191" i="10"/>
  <c r="W178" i="10"/>
  <c r="Z68" i="10"/>
  <c r="Z67" i="10"/>
  <c r="Y67" i="10"/>
  <c r="Z63" i="10"/>
  <c r="Y63" i="10"/>
  <c r="Z27" i="10"/>
  <c r="Y27" i="10"/>
  <c r="AE30" i="10" l="1"/>
  <c r="AF30" i="10" s="1"/>
  <c r="AE56" i="11"/>
  <c r="AF56" i="11" s="1"/>
  <c r="AE61" i="11"/>
  <c r="AF61" i="11" s="1"/>
  <c r="AE12" i="11"/>
  <c r="AF12" i="11" s="1"/>
  <c r="AE43" i="11"/>
  <c r="AF43" i="11" s="1"/>
  <c r="AE38" i="11"/>
  <c r="AF38" i="11" s="1"/>
  <c r="AE30" i="11"/>
  <c r="AF30" i="11" s="1"/>
  <c r="AE25" i="11"/>
  <c r="AF25" i="11" s="1"/>
  <c r="AE42" i="11"/>
  <c r="AF42" i="11" s="1"/>
  <c r="AE36" i="11"/>
  <c r="AF36" i="11" s="1"/>
  <c r="AE60" i="11"/>
  <c r="AF60" i="11" s="1"/>
  <c r="AE47" i="11"/>
  <c r="AF47" i="11" s="1"/>
  <c r="AD20" i="11"/>
  <c r="AE20" i="11" s="1"/>
  <c r="AF20" i="11" s="1"/>
  <c r="AD27" i="11"/>
  <c r="AE27" i="11" s="1"/>
  <c r="AF27" i="11" s="1"/>
  <c r="AE45" i="11"/>
  <c r="AF45" i="11" s="1"/>
  <c r="AD18" i="11"/>
  <c r="AE18" i="11" s="1"/>
  <c r="AF18" i="11" s="1"/>
  <c r="AE3" i="11"/>
  <c r="AF3" i="11" s="1"/>
  <c r="AE11" i="11"/>
  <c r="AF11" i="11" s="1"/>
  <c r="AD19" i="11"/>
  <c r="AE19" i="11" s="1"/>
  <c r="AF19" i="11" s="1"/>
  <c r="AE37" i="11"/>
  <c r="AF37" i="11" s="1"/>
  <c r="AE59" i="11"/>
  <c r="AF59" i="11" s="1"/>
  <c r="AE46" i="11"/>
  <c r="AF46" i="11" s="1"/>
  <c r="AE39" i="11"/>
  <c r="AF39" i="11" s="1"/>
  <c r="AE62" i="11"/>
  <c r="AF62" i="11" s="1"/>
  <c r="AE7" i="11"/>
  <c r="AF7" i="11" s="1"/>
  <c r="AE35" i="11"/>
  <c r="AF35" i="11" s="1"/>
  <c r="AE41" i="11"/>
  <c r="AF41" i="11" s="1"/>
  <c r="AE44" i="11"/>
  <c r="AF44" i="11" s="1"/>
  <c r="AE31" i="11"/>
  <c r="AF31" i="11" s="1"/>
  <c r="AD49" i="11"/>
  <c r="AE49" i="11" s="1"/>
  <c r="AF49" i="11" s="1"/>
  <c r="AE22" i="11"/>
  <c r="AF22" i="11" s="1"/>
  <c r="AE57" i="11"/>
  <c r="AF57" i="11" s="1"/>
  <c r="AE9" i="11"/>
  <c r="AF9" i="11" s="1"/>
  <c r="AE58" i="11"/>
  <c r="AF58" i="11" s="1"/>
  <c r="AE13" i="11"/>
  <c r="AF13" i="11" s="1"/>
  <c r="AD52" i="11"/>
  <c r="AE52" i="11" s="1"/>
  <c r="AF52" i="11" s="1"/>
  <c r="AE34" i="11"/>
  <c r="AF34" i="11" s="1"/>
  <c r="AE8" i="11"/>
  <c r="AF8" i="11" s="1"/>
  <c r="AE15" i="11"/>
  <c r="AF15" i="11" s="1"/>
  <c r="AE23" i="11"/>
  <c r="AF23" i="11" s="1"/>
  <c r="AD53" i="11"/>
  <c r="AE53" i="11" s="1"/>
  <c r="AF53" i="11" s="1"/>
  <c r="AE24" i="11"/>
  <c r="AF24" i="11" s="1"/>
  <c r="AD54" i="11"/>
  <c r="AE54" i="11" s="1"/>
  <c r="AF54" i="11" s="1"/>
  <c r="AE2" i="11"/>
  <c r="AF2" i="11" s="1"/>
  <c r="AE40" i="11"/>
  <c r="AF40" i="11" s="1"/>
  <c r="AE48" i="11"/>
  <c r="AF48" i="11" s="1"/>
  <c r="AD16" i="11"/>
  <c r="AE16" i="11" s="1"/>
  <c r="AF16" i="11" s="1"/>
  <c r="AE10" i="11"/>
  <c r="AF10" i="11" s="1"/>
  <c r="AE26" i="11"/>
  <c r="AF26" i="11" s="1"/>
  <c r="AE32" i="11"/>
  <c r="AF32" i="11" s="1"/>
  <c r="AD28" i="11"/>
  <c r="AE28" i="11" s="1"/>
  <c r="AF28" i="11" s="1"/>
  <c r="AE33" i="11"/>
  <c r="AF33" i="11" s="1"/>
  <c r="AD50" i="11"/>
  <c r="AE50" i="11" s="1"/>
  <c r="AF50" i="11" s="1"/>
  <c r="AE5" i="11"/>
  <c r="AF5" i="11" s="1"/>
  <c r="AD51" i="11"/>
  <c r="AE51" i="11" s="1"/>
  <c r="AF51" i="11" s="1"/>
  <c r="AE6" i="11"/>
  <c r="AF6" i="11" s="1"/>
  <c r="AE21" i="11"/>
  <c r="AF21" i="11" s="1"/>
  <c r="AE14" i="11"/>
  <c r="AF14" i="11" s="1"/>
  <c r="AE55" i="11"/>
  <c r="AF55" i="11" s="1"/>
  <c r="AE31" i="10"/>
  <c r="AF31" i="10" s="1"/>
  <c r="AE169" i="10"/>
  <c r="AF169" i="10" s="1"/>
  <c r="AD34" i="10"/>
  <c r="AE34" i="10" s="1"/>
  <c r="AF34" i="10" s="1"/>
  <c r="AD32" i="10"/>
  <c r="AE32" i="10" s="1"/>
  <c r="AF32" i="10" s="1"/>
  <c r="AD35" i="10"/>
  <c r="AE35" i="10" s="1"/>
  <c r="AF35" i="10" s="1"/>
  <c r="AD36" i="10"/>
  <c r="AE36" i="10" s="1"/>
  <c r="AF36" i="10" s="1"/>
  <c r="AD433" i="10"/>
  <c r="AE433" i="10" s="1"/>
  <c r="AF433" i="10" s="1"/>
  <c r="AD37" i="10"/>
  <c r="AE37" i="10" s="1"/>
  <c r="AF37" i="10" s="1"/>
  <c r="AD38" i="10"/>
  <c r="AE38" i="10" s="1"/>
  <c r="AF38" i="10" s="1"/>
  <c r="AE70" i="10"/>
  <c r="AF70" i="10" s="1"/>
  <c r="AE71" i="10"/>
  <c r="AF71" i="10" s="1"/>
  <c r="AE72" i="10"/>
  <c r="AF72" i="10" s="1"/>
  <c r="AE73" i="10"/>
  <c r="AF73" i="10" s="1"/>
  <c r="AE74" i="10"/>
  <c r="AF74" i="10" s="1"/>
  <c r="AE75" i="10"/>
  <c r="AF75" i="10" s="1"/>
  <c r="AD435" i="10"/>
  <c r="AE435" i="10" s="1"/>
  <c r="AF435" i="10" s="1"/>
  <c r="AD441" i="10"/>
  <c r="AE441" i="10" s="1"/>
  <c r="AF441" i="10" s="1"/>
  <c r="AD434" i="10"/>
  <c r="AE434" i="10" s="1"/>
  <c r="AF434" i="10" s="1"/>
  <c r="AD442" i="10"/>
  <c r="AE442" i="10" s="1"/>
  <c r="AF442" i="10" s="1"/>
  <c r="AD424" i="10"/>
  <c r="AE424" i="10" s="1"/>
  <c r="AF424" i="10" s="1"/>
  <c r="AD425" i="10"/>
  <c r="AE425" i="10" s="1"/>
  <c r="AF425" i="10" s="1"/>
  <c r="AD426" i="10"/>
  <c r="AE426" i="10" s="1"/>
  <c r="AF426" i="10" s="1"/>
  <c r="AD423" i="10"/>
  <c r="AE423" i="10" s="1"/>
  <c r="AF423" i="10" s="1"/>
  <c r="AD421" i="10"/>
  <c r="AE421" i="10" s="1"/>
  <c r="AF421" i="10" s="1"/>
  <c r="AD422" i="10"/>
  <c r="AE422" i="10" s="1"/>
  <c r="AF422" i="10" s="1"/>
  <c r="AE418" i="10"/>
  <c r="AF418" i="10" s="1"/>
  <c r="AD420" i="10"/>
  <c r="AE420" i="10" s="1"/>
  <c r="AF420" i="10" s="1"/>
  <c r="AE440" i="10"/>
  <c r="AF440" i="10" s="1"/>
  <c r="AE439" i="10"/>
  <c r="AF439" i="10" s="1"/>
  <c r="AE438" i="10"/>
  <c r="AF438" i="10" s="1"/>
  <c r="AE437" i="10"/>
  <c r="AF437" i="10" s="1"/>
  <c r="AE436" i="10"/>
  <c r="AF436" i="10" s="1"/>
  <c r="AE432" i="10"/>
  <c r="AF432" i="10" s="1"/>
  <c r="AE431" i="10"/>
  <c r="AF431" i="10" s="1"/>
  <c r="AE430" i="10"/>
  <c r="AF430" i="10" s="1"/>
  <c r="AE429" i="10"/>
  <c r="AF429" i="10" s="1"/>
  <c r="AE428" i="10"/>
  <c r="AF428" i="10" s="1"/>
  <c r="AE427" i="10"/>
  <c r="AF427" i="10" s="1"/>
  <c r="AE417" i="10"/>
  <c r="AF417" i="10" s="1"/>
  <c r="AD419" i="10"/>
  <c r="AE419" i="10" s="1"/>
  <c r="AF419" i="10" s="1"/>
  <c r="AE415" i="10"/>
  <c r="AF415" i="10" s="1"/>
  <c r="AD411" i="10"/>
  <c r="AE411" i="10" s="1"/>
  <c r="AF411" i="10" s="1"/>
  <c r="AE416" i="10"/>
  <c r="AF416" i="10" s="1"/>
  <c r="AD413" i="10"/>
  <c r="AE413" i="10" s="1"/>
  <c r="AF413" i="10" s="1"/>
  <c r="AE414" i="10"/>
  <c r="AF414" i="10" s="1"/>
  <c r="AD69" i="10"/>
  <c r="AE69" i="10" s="1"/>
  <c r="AF69" i="10" s="1"/>
  <c r="AE412" i="10"/>
  <c r="AF412" i="10" s="1"/>
  <c r="AD396" i="10"/>
  <c r="AE396" i="10" s="1"/>
  <c r="AF396" i="10" s="1"/>
  <c r="AD397" i="10"/>
  <c r="AE397" i="10" s="1"/>
  <c r="AF397" i="10" s="1"/>
  <c r="AD399" i="10"/>
  <c r="AE399" i="10" s="1"/>
  <c r="AF399" i="10" s="1"/>
  <c r="AD276" i="10"/>
  <c r="AE276" i="10" s="1"/>
  <c r="AF276" i="10" s="1"/>
  <c r="AD398" i="10"/>
  <c r="AE398" i="10" s="1"/>
  <c r="AF398" i="10" s="1"/>
  <c r="AD277" i="10"/>
  <c r="AE277" i="10" s="1"/>
  <c r="AF277" i="10" s="1"/>
  <c r="AE374" i="10"/>
  <c r="AF374" i="10" s="1"/>
  <c r="AD394" i="10"/>
  <c r="AE394" i="10" s="1"/>
  <c r="AF394" i="10" s="1"/>
  <c r="AD274" i="10"/>
  <c r="AE274" i="10" s="1"/>
  <c r="AF274" i="10" s="1"/>
  <c r="AE408" i="10"/>
  <c r="AF408" i="10" s="1"/>
  <c r="AE409" i="10"/>
  <c r="AF409" i="10" s="1"/>
  <c r="AE400" i="10"/>
  <c r="AF400" i="10" s="1"/>
  <c r="AE401" i="10"/>
  <c r="AF401" i="10" s="1"/>
  <c r="AE404" i="10"/>
  <c r="AF404" i="10" s="1"/>
  <c r="AE407" i="10"/>
  <c r="AF407" i="10" s="1"/>
  <c r="AE406" i="10"/>
  <c r="AF406" i="10" s="1"/>
  <c r="AE405" i="10"/>
  <c r="AF405" i="10" s="1"/>
  <c r="AE403" i="10"/>
  <c r="AF403" i="10" s="1"/>
  <c r="AE402" i="10"/>
  <c r="AF402" i="10" s="1"/>
  <c r="AD278" i="10"/>
  <c r="AE278" i="10" s="1"/>
  <c r="AF278" i="10" s="1"/>
  <c r="AE375" i="10"/>
  <c r="AF375" i="10" s="1"/>
  <c r="AD395" i="10"/>
  <c r="AE395" i="10" s="1"/>
  <c r="AF395" i="10" s="1"/>
  <c r="AE379" i="10"/>
  <c r="AF379" i="10" s="1"/>
  <c r="AE378" i="10"/>
  <c r="AF378" i="10" s="1"/>
  <c r="AE377" i="10"/>
  <c r="AF377" i="10" s="1"/>
  <c r="AE376" i="10"/>
  <c r="AF376" i="10" s="1"/>
  <c r="AD275" i="10"/>
  <c r="AE275" i="10" s="1"/>
  <c r="AF275" i="10" s="1"/>
  <c r="AD273" i="10"/>
  <c r="AE273" i="10" s="1"/>
  <c r="AF273" i="10" s="1"/>
  <c r="AD255" i="10"/>
  <c r="AE255" i="10" s="1"/>
  <c r="AF255" i="10" s="1"/>
  <c r="AD42" i="10"/>
  <c r="AE42" i="10" s="1"/>
  <c r="AF42" i="10" s="1"/>
  <c r="AD272" i="10"/>
  <c r="AE272" i="10" s="1"/>
  <c r="AF272" i="10" s="1"/>
  <c r="AD43" i="10"/>
  <c r="AE43" i="10" s="1"/>
  <c r="AF43" i="10" s="1"/>
  <c r="AD41" i="10"/>
  <c r="AE41" i="10" s="1"/>
  <c r="AF41" i="10" s="1"/>
  <c r="AD40" i="10"/>
  <c r="AE40" i="10" s="1"/>
  <c r="AF40" i="10" s="1"/>
  <c r="AE92" i="10"/>
  <c r="AF92" i="10" s="1"/>
  <c r="AE93" i="10"/>
  <c r="AF93" i="10" s="1"/>
  <c r="AD253" i="10"/>
  <c r="AE253" i="10" s="1"/>
  <c r="AF253" i="10" s="1"/>
  <c r="AE94" i="10"/>
  <c r="AF94" i="10" s="1"/>
  <c r="AD39" i="10"/>
  <c r="AE39" i="10" s="1"/>
  <c r="AF39" i="10" s="1"/>
  <c r="AD254" i="10"/>
  <c r="AE254" i="10" s="1"/>
  <c r="AF254" i="10" s="1"/>
  <c r="AE95" i="10"/>
  <c r="AF95" i="10" s="1"/>
  <c r="AD250" i="10"/>
  <c r="AE250" i="10" s="1"/>
  <c r="AF250" i="10" s="1"/>
  <c r="AD252" i="10"/>
  <c r="AE252" i="10" s="1"/>
  <c r="AF252" i="10" s="1"/>
  <c r="AD251" i="10"/>
  <c r="AE251" i="10" s="1"/>
  <c r="AF251" i="10" s="1"/>
  <c r="AE91" i="10"/>
  <c r="AF91" i="10" s="1"/>
  <c r="AE90" i="10"/>
  <c r="AF90" i="10" s="1"/>
  <c r="AE173" i="10"/>
  <c r="AF173" i="10" s="1"/>
  <c r="AE156" i="10"/>
  <c r="AF156" i="10" s="1"/>
  <c r="AE154" i="10"/>
  <c r="AF154" i="10" s="1"/>
  <c r="AE152" i="10"/>
  <c r="AF152" i="10" s="1"/>
  <c r="AE151" i="10"/>
  <c r="AF151" i="10" s="1"/>
  <c r="AE153" i="10"/>
  <c r="AF153" i="10" s="1"/>
  <c r="AE155" i="10"/>
  <c r="AF155" i="10" s="1"/>
  <c r="AE150" i="10"/>
  <c r="AF150" i="10" s="1"/>
  <c r="AE149" i="10"/>
  <c r="AF149" i="10" s="1"/>
  <c r="AE147" i="10"/>
  <c r="AF147" i="10" s="1"/>
  <c r="AE176" i="10"/>
  <c r="AF176" i="10" s="1"/>
  <c r="AE148" i="10"/>
  <c r="AF148" i="10" s="1"/>
  <c r="AE172" i="10"/>
  <c r="AF172" i="10" s="1"/>
  <c r="AE171" i="10"/>
  <c r="AF171" i="10" s="1"/>
  <c r="AE175" i="10"/>
  <c r="AF175" i="10" s="1"/>
  <c r="AE174" i="10"/>
  <c r="AF174" i="10" s="1"/>
  <c r="AE170" i="10"/>
  <c r="AF170" i="10" s="1"/>
  <c r="AD381" i="10"/>
  <c r="AE381" i="10" s="1"/>
  <c r="AF381" i="10" s="1"/>
  <c r="AE371" i="10"/>
  <c r="AF371" i="10" s="1"/>
  <c r="AE370" i="10"/>
  <c r="AF370" i="10" s="1"/>
  <c r="AE393" i="10"/>
  <c r="AF393" i="10" s="1"/>
  <c r="AE392" i="10"/>
  <c r="AF392" i="10" s="1"/>
  <c r="AE391" i="10"/>
  <c r="AF391" i="10" s="1"/>
  <c r="AE390" i="10"/>
  <c r="AF390" i="10" s="1"/>
  <c r="AE389" i="10"/>
  <c r="AF389" i="10" s="1"/>
  <c r="AE388" i="10"/>
  <c r="AF388" i="10" s="1"/>
  <c r="AE385" i="10"/>
  <c r="AF385" i="10" s="1"/>
  <c r="AE384" i="10"/>
  <c r="AF384" i="10" s="1"/>
  <c r="AE386" i="10"/>
  <c r="AF386" i="10" s="1"/>
  <c r="AE387" i="10"/>
  <c r="AF387" i="10" s="1"/>
  <c r="AE383" i="10"/>
  <c r="AF383" i="10" s="1"/>
  <c r="AE382" i="10"/>
  <c r="AF382" i="10" s="1"/>
  <c r="AD380" i="10"/>
  <c r="AE380" i="10" s="1"/>
  <c r="AF380" i="10" s="1"/>
  <c r="AE369" i="10"/>
  <c r="AF369" i="10" s="1"/>
  <c r="AE372" i="10"/>
  <c r="AF372" i="10" s="1"/>
  <c r="AE373" i="10"/>
  <c r="AF373" i="10" s="1"/>
  <c r="AD367" i="10"/>
  <c r="AE367" i="10" s="1"/>
  <c r="AF367" i="10" s="1"/>
  <c r="AE337" i="10"/>
  <c r="AF337" i="10" s="1"/>
  <c r="AE203" i="10"/>
  <c r="AF203" i="10" s="1"/>
  <c r="AE205" i="10"/>
  <c r="AF205" i="10" s="1"/>
  <c r="AD364" i="10"/>
  <c r="AE364" i="10" s="1"/>
  <c r="AF364" i="10" s="1"/>
  <c r="AE336" i="10"/>
  <c r="AF336" i="10" s="1"/>
  <c r="AE204" i="10"/>
  <c r="AF204" i="10" s="1"/>
  <c r="AD366" i="10"/>
  <c r="AE366" i="10" s="1"/>
  <c r="AF366" i="10" s="1"/>
  <c r="AD368" i="10"/>
  <c r="AE368" i="10" s="1"/>
  <c r="AF368" i="10" s="1"/>
  <c r="AD362" i="10"/>
  <c r="AE362" i="10" s="1"/>
  <c r="AF362" i="10" s="1"/>
  <c r="AD363" i="10"/>
  <c r="AE363" i="10" s="1"/>
  <c r="AF363" i="10" s="1"/>
  <c r="AE344" i="10"/>
  <c r="AF344" i="10" s="1"/>
  <c r="AD202" i="10"/>
  <c r="AE202" i="10" s="1"/>
  <c r="AF202" i="10" s="1"/>
  <c r="AE120" i="10"/>
  <c r="AF120" i="10" s="1"/>
  <c r="AD365" i="10"/>
  <c r="AE365" i="10" s="1"/>
  <c r="AF365" i="10" s="1"/>
  <c r="AE347" i="10"/>
  <c r="AF347" i="10" s="1"/>
  <c r="AE351" i="10"/>
  <c r="AF351" i="10" s="1"/>
  <c r="AE346" i="10"/>
  <c r="AF346" i="10" s="1"/>
  <c r="AE348" i="10"/>
  <c r="AF348" i="10" s="1"/>
  <c r="AE349" i="10"/>
  <c r="AF349" i="10" s="1"/>
  <c r="AE350" i="10"/>
  <c r="AF350" i="10" s="1"/>
  <c r="AE352" i="10"/>
  <c r="AF352" i="10" s="1"/>
  <c r="AE345" i="10"/>
  <c r="AF345" i="10" s="1"/>
  <c r="AE124" i="10"/>
  <c r="AF124" i="10" s="1"/>
  <c r="AE122" i="10"/>
  <c r="AF122" i="10" s="1"/>
  <c r="AE121" i="10"/>
  <c r="AF121" i="10" s="1"/>
  <c r="AE123" i="10"/>
  <c r="AF123" i="10" s="1"/>
  <c r="AE125" i="10"/>
  <c r="AF125" i="10" s="1"/>
  <c r="AE295" i="10"/>
  <c r="AF295" i="10" s="1"/>
  <c r="AE297" i="10"/>
  <c r="AF297" i="10" s="1"/>
  <c r="AE294" i="10"/>
  <c r="AF294" i="10" s="1"/>
  <c r="AE296" i="10"/>
  <c r="AF296" i="10" s="1"/>
  <c r="AE107" i="10"/>
  <c r="AF107" i="10" s="1"/>
  <c r="AE106" i="10"/>
  <c r="AF106" i="10" s="1"/>
  <c r="AE105" i="10"/>
  <c r="AF105" i="10" s="1"/>
  <c r="AD85" i="10"/>
  <c r="AE85" i="10" s="1"/>
  <c r="AF85" i="10" s="1"/>
  <c r="AD86" i="10"/>
  <c r="AE86" i="10" s="1"/>
  <c r="AF86" i="10" s="1"/>
  <c r="AE104" i="10"/>
  <c r="AF104" i="10" s="1"/>
  <c r="AE103" i="10"/>
  <c r="AF103" i="10" s="1"/>
  <c r="AE141" i="10"/>
  <c r="AF141" i="10" s="1"/>
  <c r="AE102" i="10"/>
  <c r="AF102" i="10" s="1"/>
  <c r="AE328" i="10"/>
  <c r="AF328" i="10" s="1"/>
  <c r="AE142" i="10"/>
  <c r="AF142" i="10" s="1"/>
  <c r="AE143" i="10"/>
  <c r="AF143" i="10" s="1"/>
  <c r="AE144" i="10"/>
  <c r="AF144" i="10" s="1"/>
  <c r="AE323" i="10"/>
  <c r="AF323" i="10" s="1"/>
  <c r="AE145" i="10"/>
  <c r="AF145" i="10" s="1"/>
  <c r="AE146" i="10"/>
  <c r="AF146" i="10" s="1"/>
  <c r="AE324" i="10"/>
  <c r="AF324" i="10" s="1"/>
  <c r="AE326" i="10"/>
  <c r="AF326" i="10" s="1"/>
  <c r="AE321" i="10"/>
  <c r="AF321" i="10" s="1"/>
  <c r="AE322" i="10"/>
  <c r="AF322" i="10" s="1"/>
  <c r="AE331" i="10"/>
  <c r="AF331" i="10" s="1"/>
  <c r="AE325" i="10"/>
  <c r="AF325" i="10" s="1"/>
  <c r="AE327" i="10"/>
  <c r="AF327" i="10" s="1"/>
  <c r="AE320" i="10"/>
  <c r="AF320" i="10" s="1"/>
  <c r="AE329" i="10"/>
  <c r="AF329" i="10" s="1"/>
  <c r="AE330" i="10"/>
  <c r="AF330" i="10" s="1"/>
  <c r="AE304" i="10"/>
  <c r="AF304" i="10" s="1"/>
  <c r="AE312" i="10"/>
  <c r="AF312" i="10" s="1"/>
  <c r="AE308" i="10"/>
  <c r="AF308" i="10" s="1"/>
  <c r="AE307" i="10"/>
  <c r="AF307" i="10" s="1"/>
  <c r="AE313" i="10"/>
  <c r="AF313" i="10" s="1"/>
  <c r="AE305" i="10"/>
  <c r="AF305" i="10" s="1"/>
  <c r="AE306" i="10"/>
  <c r="AF306" i="10" s="1"/>
  <c r="AE309" i="10"/>
  <c r="AF309" i="10" s="1"/>
  <c r="AE314" i="10"/>
  <c r="AF314" i="10" s="1"/>
  <c r="AE310" i="10"/>
  <c r="AF310" i="10" s="1"/>
  <c r="AE311" i="10"/>
  <c r="AF311" i="10" s="1"/>
  <c r="AE315" i="10"/>
  <c r="AF315" i="10" s="1"/>
  <c r="AD259" i="10"/>
  <c r="AE259" i="10" s="1"/>
  <c r="AF259" i="10" s="1"/>
  <c r="AE166" i="10"/>
  <c r="AF166" i="10" s="1"/>
  <c r="AD267" i="10"/>
  <c r="AE267" i="10" s="1"/>
  <c r="AF267" i="10" s="1"/>
  <c r="AE167" i="10"/>
  <c r="AF167" i="10" s="1"/>
  <c r="AD260" i="10"/>
  <c r="AE260" i="10" s="1"/>
  <c r="AF260" i="10" s="1"/>
  <c r="AE269" i="10"/>
  <c r="AF269" i="10" s="1"/>
  <c r="AE168" i="10"/>
  <c r="AF168" i="10" s="1"/>
  <c r="AE356" i="10"/>
  <c r="AF356" i="10" s="1"/>
  <c r="AE165" i="10"/>
  <c r="AF165" i="10" s="1"/>
  <c r="AE268" i="10"/>
  <c r="AF268" i="10" s="1"/>
  <c r="AD247" i="10"/>
  <c r="AE247" i="10" s="1"/>
  <c r="AF247" i="10" s="1"/>
  <c r="AE355" i="10"/>
  <c r="AF355" i="10" s="1"/>
  <c r="AD264" i="10"/>
  <c r="AE264" i="10" s="1"/>
  <c r="AF264" i="10" s="1"/>
  <c r="AD258" i="10"/>
  <c r="AE258" i="10" s="1"/>
  <c r="AF258" i="10" s="1"/>
  <c r="AD245" i="10"/>
  <c r="AE245" i="10" s="1"/>
  <c r="AF245" i="10" s="1"/>
  <c r="AD262" i="10"/>
  <c r="AE262" i="10" s="1"/>
  <c r="AF262" i="10" s="1"/>
  <c r="AD265" i="10"/>
  <c r="AE265" i="10" s="1"/>
  <c r="AF265" i="10" s="1"/>
  <c r="AD266" i="10"/>
  <c r="AE266" i="10" s="1"/>
  <c r="AF266" i="10" s="1"/>
  <c r="AD246" i="10"/>
  <c r="AE246" i="10" s="1"/>
  <c r="AF246" i="10" s="1"/>
  <c r="AD261" i="10"/>
  <c r="AE261" i="10" s="1"/>
  <c r="AF261" i="10" s="1"/>
  <c r="AD256" i="10"/>
  <c r="AE256" i="10" s="1"/>
  <c r="AF256" i="10" s="1"/>
  <c r="AD249" i="10"/>
  <c r="AE249" i="10" s="1"/>
  <c r="AF249" i="10" s="1"/>
  <c r="AD257" i="10"/>
  <c r="AE257" i="10" s="1"/>
  <c r="AF257" i="10" s="1"/>
  <c r="AD263" i="10"/>
  <c r="AE263" i="10" s="1"/>
  <c r="AF263" i="10" s="1"/>
  <c r="AD248" i="10"/>
  <c r="AE248" i="10" s="1"/>
  <c r="AF248" i="10" s="1"/>
  <c r="AD244" i="10"/>
  <c r="AE244" i="10" s="1"/>
  <c r="AF244" i="10" s="1"/>
  <c r="AE236" i="10"/>
  <c r="AF236" i="10" s="1"/>
  <c r="AE232" i="10"/>
  <c r="AF232" i="10" s="1"/>
  <c r="AE239" i="10"/>
  <c r="AF239" i="10" s="1"/>
  <c r="AE241" i="10"/>
  <c r="AF241" i="10" s="1"/>
  <c r="AE234" i="10"/>
  <c r="AF234" i="10" s="1"/>
  <c r="AE242" i="10"/>
  <c r="AF242" i="10" s="1"/>
  <c r="AE235" i="10"/>
  <c r="AF235" i="10" s="1"/>
  <c r="AE230" i="10"/>
  <c r="AF230" i="10" s="1"/>
  <c r="AE233" i="10"/>
  <c r="AF233" i="10" s="1"/>
  <c r="AE228" i="10"/>
  <c r="AF228" i="10" s="1"/>
  <c r="AE237" i="10"/>
  <c r="AF237" i="10" s="1"/>
  <c r="AE231" i="10"/>
  <c r="AF231" i="10" s="1"/>
  <c r="AE238" i="10"/>
  <c r="AF238" i="10" s="1"/>
  <c r="AE240" i="10"/>
  <c r="AF240" i="10" s="1"/>
  <c r="AE243" i="10"/>
  <c r="AF243" i="10" s="1"/>
  <c r="AE229" i="10"/>
  <c r="AF229" i="10" s="1"/>
  <c r="AE227" i="10"/>
  <c r="AF227" i="10" s="1"/>
  <c r="AE226" i="10"/>
  <c r="AF226" i="10" s="1"/>
  <c r="AD188" i="10"/>
  <c r="AE188" i="10" s="1"/>
  <c r="AF188" i="10" s="1"/>
  <c r="AE219" i="10"/>
  <c r="AF219" i="10" s="1"/>
  <c r="AE216" i="10"/>
  <c r="AF216" i="10" s="1"/>
  <c r="AE217" i="10"/>
  <c r="AF217" i="10" s="1"/>
  <c r="AE218" i="10"/>
  <c r="AF218" i="10" s="1"/>
  <c r="AE209" i="10"/>
  <c r="AF209" i="10" s="1"/>
  <c r="AE210" i="10"/>
  <c r="AF210" i="10" s="1"/>
  <c r="AE211" i="10"/>
  <c r="AF211" i="10" s="1"/>
  <c r="AE212" i="10"/>
  <c r="AF212" i="10" s="1"/>
  <c r="AD196" i="10"/>
  <c r="AE196" i="10" s="1"/>
  <c r="AF196" i="10" s="1"/>
  <c r="AD197" i="10"/>
  <c r="AE197" i="10" s="1"/>
  <c r="AF197" i="10" s="1"/>
  <c r="AD194" i="10"/>
  <c r="AE194" i="10" s="1"/>
  <c r="AF194" i="10" s="1"/>
  <c r="AD195" i="10"/>
  <c r="AE195" i="10" s="1"/>
  <c r="AF195" i="10" s="1"/>
  <c r="AD189" i="10"/>
  <c r="AE189" i="10" s="1"/>
  <c r="AF189" i="10" s="1"/>
  <c r="AE182" i="10"/>
  <c r="AF182" i="10" s="1"/>
  <c r="AE187" i="10"/>
  <c r="AF187" i="10" s="1"/>
  <c r="AE186" i="10"/>
  <c r="AF186" i="10" s="1"/>
  <c r="AE185" i="10"/>
  <c r="AF185" i="10" s="1"/>
  <c r="AE179" i="10"/>
  <c r="AF179" i="10" s="1"/>
  <c r="AE138" i="10"/>
  <c r="AF138" i="10" s="1"/>
  <c r="AE133" i="10"/>
  <c r="AF133" i="10" s="1"/>
  <c r="AE134" i="10"/>
  <c r="AF134" i="10" s="1"/>
  <c r="AE137" i="10"/>
  <c r="AF137" i="10" s="1"/>
  <c r="AE159" i="10"/>
  <c r="AF159" i="10" s="1"/>
  <c r="AE160" i="10"/>
  <c r="AF160" i="10" s="1"/>
  <c r="AE131" i="10"/>
  <c r="AF131" i="10" s="1"/>
  <c r="AE127" i="10"/>
  <c r="AF127" i="10" s="1"/>
  <c r="AE82" i="10"/>
  <c r="AF82" i="10" s="1"/>
  <c r="AE126" i="10"/>
  <c r="AF126" i="10" s="1"/>
  <c r="AE76" i="10"/>
  <c r="AF76" i="10" s="1"/>
  <c r="AE83" i="10"/>
  <c r="AF83" i="10" s="1"/>
  <c r="AE81" i="10"/>
  <c r="AF81" i="10" s="1"/>
  <c r="AE80" i="10"/>
  <c r="AF80" i="10" s="1"/>
  <c r="AE79" i="10"/>
  <c r="AF79" i="10" s="1"/>
  <c r="AE78" i="10"/>
  <c r="AF78" i="10" s="1"/>
  <c r="AE77" i="10"/>
  <c r="AF77" i="10" s="1"/>
  <c r="AE117" i="10"/>
  <c r="AF117" i="10" s="1"/>
  <c r="AE111" i="10"/>
  <c r="AF111" i="10" s="1"/>
  <c r="AE114" i="10"/>
  <c r="AF114" i="10" s="1"/>
  <c r="AE115" i="10"/>
  <c r="AF115" i="10" s="1"/>
  <c r="AE118" i="10"/>
  <c r="AF118" i="10" s="1"/>
  <c r="AE112" i="10"/>
  <c r="AF112" i="10" s="1"/>
  <c r="AE116" i="10"/>
  <c r="AF116" i="10" s="1"/>
  <c r="AE109" i="10"/>
  <c r="AF109" i="10" s="1"/>
  <c r="AE110" i="10"/>
  <c r="AF110" i="10" s="1"/>
  <c r="AE113" i="10"/>
  <c r="AF113" i="10" s="1"/>
  <c r="AE49" i="10"/>
  <c r="AF49" i="10" s="1"/>
  <c r="AE50" i="10"/>
  <c r="AF50" i="10" s="1"/>
  <c r="AE99" i="10"/>
  <c r="AF99" i="10" s="1"/>
  <c r="AE46" i="10"/>
  <c r="AF46" i="10" s="1"/>
  <c r="AE98" i="10"/>
  <c r="AF98" i="10" s="1"/>
  <c r="AE100" i="10"/>
  <c r="AF100" i="10" s="1"/>
  <c r="AE101" i="10"/>
  <c r="AF101" i="10" s="1"/>
  <c r="AE97" i="10"/>
  <c r="AF97" i="10" s="1"/>
  <c r="AE48" i="10"/>
  <c r="AF48" i="10" s="1"/>
  <c r="AD332" i="10"/>
  <c r="AE332" i="10" s="1"/>
  <c r="AF332" i="10" s="1"/>
  <c r="AE47" i="10"/>
  <c r="AF47" i="10" s="1"/>
  <c r="AE44" i="10"/>
  <c r="AF44" i="10" s="1"/>
  <c r="AE45" i="10"/>
  <c r="AF45" i="10" s="1"/>
  <c r="AE16" i="10"/>
  <c r="AF16" i="10" s="1"/>
  <c r="AD341" i="10"/>
  <c r="AE341" i="10" s="1"/>
  <c r="AF341" i="10" s="1"/>
  <c r="AD357" i="10"/>
  <c r="AE357" i="10" s="1"/>
  <c r="AF357" i="10" s="1"/>
  <c r="AE15" i="10"/>
  <c r="AF15" i="10" s="1"/>
  <c r="AE6" i="10"/>
  <c r="AF6" i="10" s="1"/>
  <c r="AE7" i="10"/>
  <c r="AF7" i="10" s="1"/>
  <c r="AE5" i="10"/>
  <c r="AF5" i="10" s="1"/>
  <c r="AE354" i="10"/>
  <c r="AF354" i="10" s="1"/>
  <c r="AD333" i="10"/>
  <c r="AE333" i="10" s="1"/>
  <c r="AF333" i="10" s="1"/>
  <c r="AD340" i="10"/>
  <c r="AE340" i="10" s="1"/>
  <c r="AF340" i="10" s="1"/>
  <c r="AD353" i="10"/>
  <c r="AE353" i="10" s="1"/>
  <c r="AF353" i="10" s="1"/>
  <c r="AD334" i="10"/>
  <c r="AE334" i="10" s="1"/>
  <c r="AF334" i="10" s="1"/>
  <c r="AD335" i="10"/>
  <c r="AE335" i="10" s="1"/>
  <c r="AF335" i="10" s="1"/>
  <c r="AE317" i="10"/>
  <c r="AF317" i="10" s="1"/>
  <c r="AE298" i="10"/>
  <c r="AF298" i="10" s="1"/>
  <c r="AE360" i="10"/>
  <c r="AF360" i="10" s="1"/>
  <c r="AD342" i="10"/>
  <c r="AE342" i="10" s="1"/>
  <c r="AF342" i="10" s="1"/>
  <c r="AE358" i="10"/>
  <c r="AF358" i="10" s="1"/>
  <c r="AE359" i="10"/>
  <c r="AF359" i="10" s="1"/>
  <c r="AD291" i="10"/>
  <c r="AE291" i="10" s="1"/>
  <c r="AF291" i="10" s="1"/>
  <c r="AE361" i="10"/>
  <c r="AF361" i="10" s="1"/>
  <c r="AD338" i="10"/>
  <c r="AE338" i="10" s="1"/>
  <c r="AF338" i="10" s="1"/>
  <c r="AD285" i="10"/>
  <c r="AE285" i="10" s="1"/>
  <c r="AF285" i="10" s="1"/>
  <c r="AE301" i="10"/>
  <c r="AF301" i="10" s="1"/>
  <c r="AD286" i="10"/>
  <c r="AE286" i="10" s="1"/>
  <c r="AF286" i="10" s="1"/>
  <c r="AD343" i="10"/>
  <c r="AE343" i="10" s="1"/>
  <c r="AF343" i="10" s="1"/>
  <c r="AD339" i="10"/>
  <c r="AE339" i="10" s="1"/>
  <c r="AF339" i="10" s="1"/>
  <c r="AE319" i="10"/>
  <c r="AF319" i="10" s="1"/>
  <c r="AE316" i="10"/>
  <c r="AF316" i="10" s="1"/>
  <c r="AE318" i="10"/>
  <c r="AF318" i="10" s="1"/>
  <c r="AD293" i="10"/>
  <c r="AE293" i="10" s="1"/>
  <c r="AF293" i="10" s="1"/>
  <c r="AE299" i="10"/>
  <c r="AF299" i="10" s="1"/>
  <c r="AD290" i="10"/>
  <c r="AE290" i="10" s="1"/>
  <c r="AF290" i="10" s="1"/>
  <c r="AE302" i="10"/>
  <c r="AF302" i="10" s="1"/>
  <c r="AE303" i="10"/>
  <c r="AF303" i="10" s="1"/>
  <c r="AD287" i="10"/>
  <c r="AE287" i="10" s="1"/>
  <c r="AF287" i="10" s="1"/>
  <c r="AE300" i="10"/>
  <c r="AF300" i="10" s="1"/>
  <c r="AD292" i="10"/>
  <c r="AE292" i="10" s="1"/>
  <c r="AF292" i="10" s="1"/>
  <c r="AD289" i="10"/>
  <c r="AE289" i="10" s="1"/>
  <c r="AF289" i="10" s="1"/>
  <c r="AD288" i="10"/>
  <c r="AE288" i="10" s="1"/>
  <c r="AF288" i="10" s="1"/>
  <c r="AE270" i="10"/>
  <c r="AF270" i="10" s="1"/>
  <c r="AE271" i="10"/>
  <c r="AF271" i="10" s="1"/>
  <c r="AD63" i="10"/>
  <c r="AE221" i="10"/>
  <c r="AF221" i="10" s="1"/>
  <c r="AE223" i="10"/>
  <c r="AF223" i="10" s="1"/>
  <c r="AD284" i="10"/>
  <c r="AE284" i="10" s="1"/>
  <c r="AF284" i="10" s="1"/>
  <c r="AE224" i="10"/>
  <c r="AF224" i="10" s="1"/>
  <c r="AE214" i="10"/>
  <c r="AF214" i="10" s="1"/>
  <c r="AE215" i="10"/>
  <c r="AF215" i="10" s="1"/>
  <c r="AE220" i="10"/>
  <c r="AF220" i="10" s="1"/>
  <c r="AE281" i="10"/>
  <c r="AF281" i="10" s="1"/>
  <c r="AE222" i="10"/>
  <c r="AF222" i="10" s="1"/>
  <c r="AE225" i="10"/>
  <c r="AF225" i="10" s="1"/>
  <c r="AD193" i="10"/>
  <c r="AE193" i="10" s="1"/>
  <c r="AF193" i="10" s="1"/>
  <c r="AE282" i="10"/>
  <c r="AF282" i="10" s="1"/>
  <c r="AD201" i="10"/>
  <c r="AE201" i="10" s="1"/>
  <c r="AF201" i="10" s="1"/>
  <c r="AE207" i="10"/>
  <c r="AF207" i="10" s="1"/>
  <c r="AD283" i="10"/>
  <c r="AE283" i="10" s="1"/>
  <c r="AF283" i="10" s="1"/>
  <c r="AE280" i="10"/>
  <c r="AF280" i="10" s="1"/>
  <c r="AD206" i="10"/>
  <c r="AE206" i="10" s="1"/>
  <c r="AF206" i="10" s="1"/>
  <c r="AE208" i="10"/>
  <c r="AF208" i="10" s="1"/>
  <c r="AE60" i="10"/>
  <c r="AF60" i="10" s="1"/>
  <c r="AE23" i="10"/>
  <c r="AF23" i="10" s="1"/>
  <c r="AE177" i="10"/>
  <c r="AF177" i="10" s="1"/>
  <c r="AE157" i="10"/>
  <c r="AF157" i="10" s="1"/>
  <c r="AE184" i="10"/>
  <c r="AF184" i="10" s="1"/>
  <c r="AE181" i="10"/>
  <c r="AF181" i="10" s="1"/>
  <c r="AE192" i="10"/>
  <c r="AF192" i="10" s="1"/>
  <c r="AE162" i="10"/>
  <c r="AF162" i="10" s="1"/>
  <c r="AE158" i="10"/>
  <c r="AF158" i="10" s="1"/>
  <c r="AE183" i="10"/>
  <c r="AF183" i="10" s="1"/>
  <c r="AE119" i="10"/>
  <c r="AF119" i="10" s="1"/>
  <c r="AE89" i="10"/>
  <c r="AF89" i="10" s="1"/>
  <c r="AD191" i="10"/>
  <c r="AE191" i="10" s="1"/>
  <c r="AF191" i="10" s="1"/>
  <c r="AE128" i="10"/>
  <c r="AF128" i="10" s="1"/>
  <c r="AC178" i="10"/>
  <c r="AE178" i="10" s="1"/>
  <c r="AF178" i="10" s="1"/>
  <c r="AE180" i="10"/>
  <c r="AF180" i="10" s="1"/>
  <c r="AE136" i="10"/>
  <c r="AF136" i="10" s="1"/>
  <c r="AE161" i="10"/>
  <c r="AF161" i="10" s="1"/>
  <c r="AE96" i="10"/>
  <c r="AF96" i="10" s="1"/>
  <c r="AE139" i="10"/>
  <c r="AF139" i="10" s="1"/>
  <c r="AE108" i="10"/>
  <c r="AF108" i="10" s="1"/>
  <c r="AE140" i="10"/>
  <c r="AF140" i="10" s="1"/>
  <c r="AE163" i="10"/>
  <c r="AF163" i="10" s="1"/>
  <c r="AE164" i="10"/>
  <c r="AF164" i="10" s="1"/>
  <c r="AE88" i="10"/>
  <c r="AF88" i="10" s="1"/>
  <c r="AE135" i="10"/>
  <c r="AF135" i="10" s="1"/>
  <c r="AE279" i="10"/>
  <c r="AF279" i="10" s="1"/>
  <c r="AE130" i="10"/>
  <c r="AF130" i="10" s="1"/>
  <c r="AE132" i="10"/>
  <c r="AF132" i="10" s="1"/>
  <c r="AE129" i="10"/>
  <c r="AF129" i="10" s="1"/>
  <c r="AD67" i="10"/>
  <c r="AE67" i="10" s="1"/>
  <c r="AF67" i="10" s="1"/>
  <c r="AE84" i="10"/>
  <c r="AF84" i="10" s="1"/>
  <c r="AD68" i="10"/>
  <c r="AE68" i="10" s="1"/>
  <c r="AF68" i="10" s="1"/>
  <c r="AE66" i="10"/>
  <c r="AF66" i="10" s="1"/>
  <c r="AE65" i="10"/>
  <c r="AE56" i="10"/>
  <c r="AF56" i="10" s="1"/>
  <c r="AE26" i="10"/>
  <c r="AF26" i="10" s="1"/>
  <c r="AE57" i="10"/>
  <c r="AF57" i="10" s="1"/>
  <c r="AE61" i="10"/>
  <c r="AF61" i="10" s="1"/>
  <c r="AE24" i="10"/>
  <c r="AF24" i="10" s="1"/>
  <c r="AE20" i="10"/>
  <c r="AF20" i="10" s="1"/>
  <c r="AE55" i="10"/>
  <c r="AF55" i="10" s="1"/>
  <c r="AD27" i="10"/>
  <c r="AE27" i="10" s="1"/>
  <c r="AF27" i="10" s="1"/>
  <c r="AE28" i="10"/>
  <c r="AF28" i="10" s="1"/>
  <c r="AE29" i="10"/>
  <c r="AF29" i="10" s="1"/>
  <c r="AE54" i="10"/>
  <c r="AF54" i="10" s="1"/>
  <c r="AE25" i="10"/>
  <c r="AF25" i="10" s="1"/>
  <c r="AE52" i="10"/>
  <c r="AF52" i="10" s="1"/>
  <c r="AE21" i="10"/>
  <c r="AF21" i="10" s="1"/>
  <c r="AE22" i="10"/>
  <c r="AF22" i="10" s="1"/>
  <c r="AE3" i="10"/>
  <c r="AF3" i="10" s="1"/>
  <c r="AE13" i="10"/>
  <c r="AF13" i="10" s="1"/>
  <c r="AE18" i="10"/>
  <c r="AF18" i="10" s="1"/>
  <c r="AE10" i="10"/>
  <c r="AF10" i="10" s="1"/>
  <c r="AE14" i="10"/>
  <c r="AF14" i="10" s="1"/>
  <c r="AE17" i="10"/>
  <c r="AF17" i="10" s="1"/>
  <c r="AE11" i="10"/>
  <c r="AF11" i="10" s="1"/>
  <c r="AE12" i="10"/>
  <c r="AF12" i="10" s="1"/>
  <c r="AE4" i="10"/>
  <c r="AF4" i="10" s="1"/>
  <c r="AE8" i="10"/>
  <c r="AF8" i="10" s="1"/>
  <c r="AE2" i="10"/>
  <c r="AF2" i="10" s="1"/>
  <c r="AE9" i="10"/>
  <c r="AF9" i="10" s="1"/>
  <c r="AE63" i="10" l="1"/>
  <c r="AF63" i="10" s="1"/>
  <c r="AF65" i="10"/>
</calcChain>
</file>

<file path=xl/sharedStrings.xml><?xml version="1.0" encoding="utf-8"?>
<sst xmlns="http://schemas.openxmlformats.org/spreadsheetml/2006/main" count="11096" uniqueCount="1324">
  <si>
    <t>oxaliplatin, fluorouracil, folinic acid</t>
  </si>
  <si>
    <t>iv</t>
  </si>
  <si>
    <t>chemotherapy</t>
  </si>
  <si>
    <t>CT</t>
  </si>
  <si>
    <t>colorectal cancer</t>
  </si>
  <si>
    <t>oxaliplatin</t>
  </si>
  <si>
    <t>mixed cancers (breast carcinoma, hepatocellular carcinoma, cholangiocarcinoma)</t>
  </si>
  <si>
    <t>granulocyte-macrophage-colony stimulating factor</t>
  </si>
  <si>
    <t>sq</t>
  </si>
  <si>
    <t>granulocyte-macrophage-colony stimulating factor (GM-CSF)</t>
  </si>
  <si>
    <t>GM-CSF</t>
  </si>
  <si>
    <t>soft tissue or bone sarcoma</t>
  </si>
  <si>
    <t>radiotherapy</t>
  </si>
  <si>
    <t>radio</t>
  </si>
  <si>
    <t>RT</t>
  </si>
  <si>
    <t>head and neck cancer</t>
  </si>
  <si>
    <t>oxaliplatin, capecitabine</t>
  </si>
  <si>
    <t>metastatic colorectal cancer (mCRC)</t>
  </si>
  <si>
    <t>cervical carcinoma</t>
  </si>
  <si>
    <t>radiotherapy-gamma knife</t>
  </si>
  <si>
    <t>brain metastasis in nonsmall cell lung cancer (NSCLC)</t>
  </si>
  <si>
    <t>radiotherapy-stereotactic (SRS)</t>
  </si>
  <si>
    <t>cisplatin, fluorouracil</t>
  </si>
  <si>
    <t>advanced nasopharyngeal carcinoma (NPC)</t>
  </si>
  <si>
    <t>breast cancer</t>
  </si>
  <si>
    <t>cisplatin</t>
  </si>
  <si>
    <t>NSCLC</t>
  </si>
  <si>
    <t>docetaxel, cisplatin, fluorouracil</t>
  </si>
  <si>
    <t>locally advanced nasopharyngeal carcinoma</t>
  </si>
  <si>
    <t>prostate adenocarcinoma</t>
  </si>
  <si>
    <t>multiple brain metastases</t>
  </si>
  <si>
    <t>painful bone metastases</t>
  </si>
  <si>
    <t>oral squamous cell carcinoma</t>
  </si>
  <si>
    <t>locoregionally advanced nasopharyngeal carcinoma (NPC)</t>
  </si>
  <si>
    <t>influenza vaccination</t>
  </si>
  <si>
    <t>inj</t>
  </si>
  <si>
    <t>vaccine</t>
  </si>
  <si>
    <t>vaccine (flu)</t>
  </si>
  <si>
    <t>influenza</t>
  </si>
  <si>
    <t>other</t>
  </si>
  <si>
    <t>prednisone</t>
  </si>
  <si>
    <t>oral</t>
  </si>
  <si>
    <t>corticosteroid</t>
  </si>
  <si>
    <t>CORT</t>
  </si>
  <si>
    <t>asthma</t>
  </si>
  <si>
    <t>B-adrenergic agonist</t>
  </si>
  <si>
    <t>B-agonist</t>
  </si>
  <si>
    <t>bambuterol-sustained release</t>
  </si>
  <si>
    <t>theophylline-sustained release</t>
  </si>
  <si>
    <t>phosphodiesterase inhibitor, adenosine receptor antagonist</t>
  </si>
  <si>
    <t>theophylline</t>
  </si>
  <si>
    <t>epinephrine</t>
  </si>
  <si>
    <t>inh</t>
  </si>
  <si>
    <t>orciprenaline</t>
  </si>
  <si>
    <t>atropine</t>
  </si>
  <si>
    <t>anticholinergic</t>
  </si>
  <si>
    <t>ACH</t>
  </si>
  <si>
    <t>tiotropium</t>
  </si>
  <si>
    <t>COPD</t>
  </si>
  <si>
    <t>omeprazole</t>
  </si>
  <si>
    <t>proton pump inhibitor</t>
  </si>
  <si>
    <t>GERD</t>
  </si>
  <si>
    <t>rabeprazole</t>
  </si>
  <si>
    <t>Rheumatoid arthritis</t>
  </si>
  <si>
    <t>arthritis (RA/OA)</t>
  </si>
  <si>
    <t>flurbiprofen</t>
  </si>
  <si>
    <t>NSAID</t>
  </si>
  <si>
    <t>methotrexate</t>
  </si>
  <si>
    <t>indomethacin</t>
  </si>
  <si>
    <t>Osteoarthritis</t>
  </si>
  <si>
    <t>aortic valve replacement</t>
  </si>
  <si>
    <t>surgical</t>
  </si>
  <si>
    <t>surgery</t>
  </si>
  <si>
    <t>myocardial injury</t>
  </si>
  <si>
    <t>rivaroxaban</t>
  </si>
  <si>
    <t>factorXa inhib</t>
  </si>
  <si>
    <t>myocardial injury/cardiovascular thromboembolism</t>
  </si>
  <si>
    <t>simvastatin</t>
  </si>
  <si>
    <t>statin</t>
  </si>
  <si>
    <t>hyperlipidemia</t>
  </si>
  <si>
    <t>atorvastatin</t>
  </si>
  <si>
    <t>simvastatin, ezetimibe</t>
  </si>
  <si>
    <t>simvastatin-ER</t>
  </si>
  <si>
    <t>propanalol</t>
  </si>
  <si>
    <t>beta-adrenergic blocker</t>
  </si>
  <si>
    <t>B-block</t>
  </si>
  <si>
    <t>hypertension</t>
  </si>
  <si>
    <t>phenatolamine</t>
  </si>
  <si>
    <t>alpha-adrenergic blocker</t>
  </si>
  <si>
    <t>A-block</t>
  </si>
  <si>
    <t>captopril, hydrochlorothiazide</t>
  </si>
  <si>
    <t>angiotensin converting enzyme  + diuretic</t>
  </si>
  <si>
    <t>2, 6</t>
  </si>
  <si>
    <t>quinapril</t>
  </si>
  <si>
    <t>angiotensin-converting enzyme inhibitor</t>
  </si>
  <si>
    <t>ACEi</t>
  </si>
  <si>
    <t>nitrendipine</t>
  </si>
  <si>
    <t>Ca2+ channel blocker</t>
  </si>
  <si>
    <t>ramipril</t>
  </si>
  <si>
    <t>amlodipine</t>
  </si>
  <si>
    <t>isradipine-ER</t>
  </si>
  <si>
    <t>enalapril</t>
  </si>
  <si>
    <t>benazepril</t>
  </si>
  <si>
    <t>nifedipine-ER</t>
  </si>
  <si>
    <t>perindopril</t>
  </si>
  <si>
    <t>nislodipine-ER</t>
  </si>
  <si>
    <t>imidapril</t>
  </si>
  <si>
    <t>valsartan</t>
  </si>
  <si>
    <t>angiotensin receptor blocker</t>
  </si>
  <si>
    <t>ARB</t>
  </si>
  <si>
    <t>cilnidipine</t>
  </si>
  <si>
    <t>doxazosin-ER</t>
  </si>
  <si>
    <t>trandolapril</t>
  </si>
  <si>
    <t>aspirin</t>
  </si>
  <si>
    <t>telmisartan</t>
  </si>
  <si>
    <t>torasemide</t>
  </si>
  <si>
    <t>diuretic</t>
  </si>
  <si>
    <t>olmesartan</t>
  </si>
  <si>
    <t>spirapril</t>
  </si>
  <si>
    <t>amlodipine, olmesartan</t>
  </si>
  <si>
    <t>Ca2+ channel blocker  + angiotensin receptor blocker</t>
  </si>
  <si>
    <t>40, 13</t>
  </si>
  <si>
    <t>amlodipine, valsartan</t>
  </si>
  <si>
    <t>40, 7</t>
  </si>
  <si>
    <t>amlodipine, hydrochlorothiazide</t>
  </si>
  <si>
    <t>Ca2+ channel blocker  + diuretic</t>
  </si>
  <si>
    <t>40, 6</t>
  </si>
  <si>
    <t>candesartan</t>
  </si>
  <si>
    <t>high-risk pregnancy</t>
  </si>
  <si>
    <t>cyproheptadine</t>
  </si>
  <si>
    <t>antihistH1</t>
  </si>
  <si>
    <t>skin allergy</t>
  </si>
  <si>
    <t>allergy (skin / rhinitis)</t>
  </si>
  <si>
    <t>terfenadine</t>
  </si>
  <si>
    <t>desloratadine</t>
  </si>
  <si>
    <t>allergic rhinitis</t>
  </si>
  <si>
    <t>liver transplant</t>
  </si>
  <si>
    <t>liver allograft-viral infection</t>
  </si>
  <si>
    <t>lixisenatide</t>
  </si>
  <si>
    <t>glucoagon-like peptide-1 receptor agonist</t>
  </si>
  <si>
    <t>diabetes</t>
  </si>
  <si>
    <t>levothyroxine</t>
  </si>
  <si>
    <t>synthetic hormone</t>
  </si>
  <si>
    <t>hypothyroidism</t>
  </si>
  <si>
    <t>phenytoin, carbamazepine</t>
  </si>
  <si>
    <t>anti-epileptics</t>
  </si>
  <si>
    <t>epilepsy</t>
  </si>
  <si>
    <t>dextromethamphetamine</t>
  </si>
  <si>
    <t>amphetamines</t>
  </si>
  <si>
    <t>cognition</t>
  </si>
  <si>
    <t>cognitive performance</t>
  </si>
  <si>
    <t>DISEASE</t>
  </si>
  <si>
    <t>TIMEPOINTS</t>
  </si>
  <si>
    <t>coronary heart disease, hypertension</t>
  </si>
  <si>
    <t>YEAR</t>
  </si>
  <si>
    <t>TIMES</t>
  </si>
  <si>
    <t>Morning_Evening</t>
  </si>
  <si>
    <t>NO</t>
  </si>
  <si>
    <t>AUTHORS</t>
  </si>
  <si>
    <t>JRNL</t>
  </si>
  <si>
    <t>anti-tuberculosis vaccine (BCG)</t>
  </si>
  <si>
    <t>vacccine (Tb)</t>
  </si>
  <si>
    <t>tuberculosis</t>
  </si>
  <si>
    <t>Krasińska B, Paluszkiewicz L, Miciak-Ławicka E, Krasinski M, Rzymski P, Tykarski A, Krasiński Z</t>
  </si>
  <si>
    <t>Krasińska B, Paluszkiewicz L, Miciak-Lawicka E, Krasiński M, Rzymski P, Tykarski A, Krasiński Z</t>
  </si>
  <si>
    <t>irinotecan</t>
  </si>
  <si>
    <t>continuous</t>
  </si>
  <si>
    <t xml:space="preserve">Innominato PF, Ballesta A, Huang Q, Focan C, Chollet P, Karaboué A, Giacchetti S, Bouchahda M, Adam R, Garufi C, Lévi FA </t>
  </si>
  <si>
    <t xml:space="preserve">de Bree LCJ, Mourits VP, Koeken VA, Moorlag SJ, Janssen R, Folkman L, Barreca D, Krausgruber T, Fife-Gernedl V, Novakovic B, Arts RJ, Dijkstra H, Lemmers H, Bock C, Joosten LA, van Crevel R, Benn CS, Netea MG </t>
  </si>
  <si>
    <t>DRUG</t>
  </si>
  <si>
    <t>aortic valve replacement/CABG</t>
  </si>
  <si>
    <t>ROA</t>
  </si>
  <si>
    <t>CLASS</t>
  </si>
  <si>
    <t>HALFLIFE_HR</t>
  </si>
  <si>
    <t>HALFLIFE_HR_SHORTEST</t>
  </si>
  <si>
    <t>Nemeth S, Schnell S, Argenziano M, Ning Y, Kurlansky P</t>
  </si>
  <si>
    <t>Hermida RC, Ayala DE, Calvo C, López JE, Mojón A, Rodríguez M, Fernández, JR</t>
  </si>
  <si>
    <t>Hypertension, 46(4), 1060–1068</t>
  </si>
  <si>
    <t>TITLE</t>
  </si>
  <si>
    <t>Sex‐dependent least toxic timing of irinotecan combined with chronomodulated chemotherapy for metastatic colorectal cancer: Randomized multicenter EORTC 05011 trial</t>
  </si>
  <si>
    <t>The Journal of Clinical Investigation. https://doi.org/10.1172/JCI133934</t>
  </si>
  <si>
    <t>The Journal of Thoracic and Cardiovascular Surgery. https://doi.org/10.1016/j.jtcvs.2019.11.131</t>
  </si>
  <si>
    <t>Cancer Medicine. https://doi.org/10.1002/cam4.3056</t>
  </si>
  <si>
    <t>European Journal of Clinical Pharmacology. https://doi.org/10.1007/s00228-020-02997-8</t>
  </si>
  <si>
    <t>Cardiology Journal. https://journals.viamedica.pl/cardiology_journal/article/view/59887</t>
  </si>
  <si>
    <t>CABG</t>
  </si>
  <si>
    <t>Journal of Cardiac Surgery, 22(1), 26–31</t>
  </si>
  <si>
    <t>Circadian rhythm has no effect on mortality in coronary artery bypass surgery</t>
  </si>
  <si>
    <t>Dhadwal AK, Vaynblat M, Balasubramanya S, Pagala M, Schulhoff N, Burack JH, Cunningham JN Jr</t>
  </si>
  <si>
    <t>Anesthesiology, 111(4), 785–789</t>
  </si>
  <si>
    <t>Operation timing does not affect outcome after coronary artery bypass graft surgery</t>
  </si>
  <si>
    <t>Tan PJ, Xu M, Sessler DI, Bashour CA</t>
  </si>
  <si>
    <t>mixed</t>
  </si>
  <si>
    <t>YES</t>
  </si>
  <si>
    <t>Hermida RC, Crespo JJ, Domínguez-Sardiña M, Otero A, Moyá A, Ríos MT, Sineiro E, Castiñeira MC, Callejas PA, Pousa L, Salgado JL, Durán C, Sánchez JJ, Fernández JR, Mojón A, Ayala DE</t>
  </si>
  <si>
    <t>Bedtime hypertension treatment improves cardiovascular risk reduction: the Hygia Chronotherapy Trial</t>
  </si>
  <si>
    <t>European Heart Journal. https://doi.org/10.1093/eurheartj/ehz754</t>
  </si>
  <si>
    <t>iv/oral</t>
  </si>
  <si>
    <t>vasodilator/Ca2+ block</t>
  </si>
  <si>
    <t>hydralazine</t>
  </si>
  <si>
    <t>Ruben MD, Francey LJ, Guo Y, Wu G, Cooper EB, Shah AS, Hogenesch JB, Smith DF</t>
  </si>
  <si>
    <t>A large-scale study reveals 24-h operational rhythms in hospital treatment</t>
  </si>
  <si>
    <t>lung transplant</t>
  </si>
  <si>
    <t>pulmonary disease</t>
  </si>
  <si>
    <t>The Annals of Thoracic Surgery. https://doi.org/10.1016/j.athoracsur.2020.07.060</t>
  </si>
  <si>
    <t>Yang Z, Takahashi T, Gerull WD, Hamilton C, Subramanian MP, Liu J, Meyers BF, Kozower BD, Patterson GA, Nava RG, Hachem RR, Witt CA, Aguilar PR, Pasque MK, Byers DE, Kulkarni HS, Kreisel D, Puri V</t>
  </si>
  <si>
    <t>Impact of Nighttime Lung Transplantation on Outcomes and Costs</t>
  </si>
  <si>
    <t>DRUG_INTERVENTION</t>
  </si>
  <si>
    <t>liver transplant-hepatocellular carcinoma</t>
  </si>
  <si>
    <t>Ren SS, Xu LL, Wang P, Li L, Hu YT, Xu MQ, Zhang M, Yan LN, Wen TF, Li B, Wang WT, Yang JY</t>
  </si>
  <si>
    <t>Proceedings of the National Academy of Sciences of the United States of America, 116(42), 20953–20958</t>
  </si>
  <si>
    <t>Transplantation Proceedings, 51(6), 1913–1919</t>
  </si>
  <si>
    <t>Circadian Rhythms Have Effects on Surgical Outcomes of Liver Transplantation for Patients With Hepatocellular Carcinoma: A Retrospective Analysis of 147 Cases in a Single Center</t>
  </si>
  <si>
    <t>Daytime variation does not impact outcome of cardiac surgery: Results from a diverse, multi-institutional cardiac surgery network</t>
  </si>
  <si>
    <t>Circadian rhythm influences induction of trained immunity by BCG vaccination</t>
  </si>
  <si>
    <t>The effect of acetylsalicylic acid dosed at bedtime on the anti-aggregation effect in patients with coronary heart disease and arterial hypertension: A randomized, controlled trial</t>
  </si>
  <si>
    <t>The impact of acetylsalicylic acid dosed at bedtime on circadian rhythms of blood pressure in the high-risk group of cardiovascular patients-a randomized, controlled trial</t>
  </si>
  <si>
    <t>aripiprazole</t>
  </si>
  <si>
    <t>D2R agonist</t>
  </si>
  <si>
    <t>mental illness</t>
  </si>
  <si>
    <t>Morning_Bedtime</t>
  </si>
  <si>
    <t>Frontiers in Psychiatry / Frontiers Research Foundation, 9, 494</t>
  </si>
  <si>
    <t>Does the Time of Drug Administration Alter the Metabolic Risk of Aripiprazole?</t>
  </si>
  <si>
    <t xml:space="preserve">Chipchura DA, Freyberg Z, Edwards C, Leckband SG, McCarthy MJ </t>
  </si>
  <si>
    <t>Bach-Huynh TG, Nayak B, Loh J, Soldin S, Jonklaas J</t>
  </si>
  <si>
    <t>Timing of Levothyroxine Administration Affects Serum Thyrotropin Concentration</t>
  </si>
  <si>
    <t>The Journal of Clinical Endocrinology &amp; Metabolism (Vol. 94, Issue 10, pp. 3905–3912). https://doi.org/10.1210/jc.2009-0860</t>
  </si>
  <si>
    <t>Elliott DP</t>
  </si>
  <si>
    <t>Annals of Pharmacotherapy (Vol. 35, Issue 5, pp. 529–532). https://doi.org/10.1345/aph.10286</t>
  </si>
  <si>
    <t>Effect of Levothyroxine Administration Time on Serum TSH in Elderly Patients</t>
  </si>
  <si>
    <t>Johnson K, Chang-Claude J, Critchley AM, Kyriacou C, Lavers S, Rattay T, Seibold P, Webb A, West C, Symonds RP, Talbot CJ,</t>
  </si>
  <si>
    <t>Clinical Oncology , 31(1), 9–16</t>
  </si>
  <si>
    <t>Genetic Variants Predict Optimal Timing of Radiotherapy to Reduce Side-effects in Breast Cancer Patients</t>
  </si>
  <si>
    <t>PCI</t>
  </si>
  <si>
    <t>Morning_Afternoon</t>
  </si>
  <si>
    <t>Relationship between time of day and periprocedural myocardial infarction after elective angioplasty</t>
  </si>
  <si>
    <t>Fournier S, Puricel S, Morawiec B, Eeckhout E, Mangiacapra F, Trana C, Tapponnier M, Iglesias JF, Michiels V, Stauffer JC, Beggah A, Monney P, Gobet S, Vogt P, Cook S, Muller O</t>
  </si>
  <si>
    <t>Chronobiology International, 31(2), 206–213</t>
  </si>
  <si>
    <t>8AM_8PM</t>
  </si>
  <si>
    <t>Racca C, van Diemen JJK, Fuijkschot WW, Spit K, Bonten TN, Numans ME, van der Bom JG, Smulders YM, Thijs A</t>
  </si>
  <si>
    <t>Aspirin intake in the morning is associated with suboptimal platelet inhibition, as measured by serum Thromboxane B2, during infarct-prone early-morning hours</t>
  </si>
  <si>
    <t>Platelets, 1–7</t>
  </si>
  <si>
    <t>Continuous</t>
  </si>
  <si>
    <t>Randomised multicentre trial of chronotherapy with oxaliplatin, fluorouracil, and folinic acid in metastatic colorectal cancer</t>
  </si>
  <si>
    <t>The Lancet, 350(9079), 681–686</t>
  </si>
  <si>
    <t>Levi FA, Zidani R, Vannetzel JM, Perpoint B, Focan C, Faggiuolo R, Chollet P, Garufi C, Itzhaki M, Dogliotti L</t>
  </si>
  <si>
    <t>Chronomodulated versus fixed-infusion-rate delivery of ambulatory chemotherapy with oxaliplatin, fluorouracil, and folinic acid (leucovorin) in patients with colorectal cancer metastases: a randomized multi-institutional trial</t>
  </si>
  <si>
    <t>Journal of the National Cancer Institute, 86(21), 1608–1617</t>
  </si>
  <si>
    <t>Dincol D, Samur M, Pamir A, Sencan O, Akbulut H, Yalcin B, Onur H, Demirkazik A, Senler FC, Icli F</t>
  </si>
  <si>
    <t>Prospective randomized comparison of morning versus night daily single subcutaneous administration of granulocyte-macrophage-colony stimulating factor in patients with soft tissue or bone sarcoma</t>
  </si>
  <si>
    <t>Cancer, 88(9), 2033–2036</t>
  </si>
  <si>
    <t xml:space="preserve">Levi FA, Zidani R, Misset JL </t>
  </si>
  <si>
    <t>Giacchetti S, Bjarnason G, Garufi C, Genet D, Iacobelli S, Tampellini M, Smaaland R, Focan C, Coudert B, Humblet Y, Canon JL, Adenis A, Lo Re G, Carvalho C. Schueller J, Anciaux N, Lentz MA, Baron B, Gorlia T, Levi FA</t>
  </si>
  <si>
    <t>Phase III trial comparing 4-day chronomodulated therapy versus 2-day conventional delivery of fluorouracil, leucovorin, and oxaliplatin as first-line chemotherapy of metastatic colorectal cancer: the European Organisation for Research and Treatment of Cancer Chronotherapy Group</t>
  </si>
  <si>
    <t>Journal of Clinical Oncology: Official Journal of the American Society of Clinical Oncology, 24(22), 3562–3569</t>
  </si>
  <si>
    <t>chronic kidney disease, hypertension</t>
  </si>
  <si>
    <t>Tiwari V, Chaudhary AR, Dasgupta S, Divyaveer S, Sahu RK, Pal A, Mondal R, Chakravarty K, Mandal AK, Sircar D, Pandey R</t>
  </si>
  <si>
    <t>Effect of chronotherapy of antihypertensives in chronic kidney disease: A randomized control trial</t>
  </si>
  <si>
    <t>Bjarnason GA, Mackenzie RG, Nabid A, Hodson ID, El-Sayed S, Grimard L, Brundage M, Wright J, Hay J, Ganguly P, Leong C, Wilson J, Jordan RCK, Walker M, Tu D, Parulekar W</t>
  </si>
  <si>
    <t>Comparison of toxicity associated with early morning versus late afternoon radiotherapy in patients with head-and-neck cancer: a prospective randomized trial of the National Cancer Institute of Canada Clinical Trials Group (HN3)</t>
  </si>
  <si>
    <t>International Journal of Radiation Oncology, Biology, Physics, 73(1), 166–172</t>
  </si>
  <si>
    <t xml:space="preserve">Goyal M, Shukla P, Gupta D, Bisht SS, Dhawan A, Gupta S, Pant MC, Verma NS </t>
  </si>
  <si>
    <t>Oral mucositis in morning vs. evening irradiated patients: a randomised prospective study</t>
  </si>
  <si>
    <t>International Journal of Radiation Biology, 85(6), 504–509</t>
  </si>
  <si>
    <t>Qvortrup C, Jensen BV, Fokstuen T, Nielsen SE, Keldsen N, Glimelius B, Bjerregaard B, Mejer J, Larsen FO, Pfeiffer P</t>
  </si>
  <si>
    <t>A randomized study comparing short-time infusion of oxaliplatin in combination with capecitabine XELOX(30) and chronomodulated XELOX(30) as first-line therapy in patients with advanced colorectal cancer</t>
  </si>
  <si>
    <t>Annals of Oncology: Official Journal of the European Society for Medical Oncology / ESMO, 21(1), 87–91</t>
  </si>
  <si>
    <t>Shukla P, Gupta D, Bisht SS, Pant MC, Bhatt ML, Gupta R, Srivastava K, Gupta S, Dhawan A, Mishra D, Negi MPS</t>
  </si>
  <si>
    <t>Circadian variation in radiation-induced intestinal mucositis in patients with cervical carcinoma</t>
  </si>
  <si>
    <t>Cancer, 116(8), 2031–2035</t>
  </si>
  <si>
    <t>Rahn DA, Ray DK, Schlesinger DJ, Steiner L, Sheehan JP, O’Quigley JM, Rich T</t>
  </si>
  <si>
    <t>Cancer, 117(2), 414–420</t>
  </si>
  <si>
    <t>Gamma knife radiosurgery for brain metastasis of nonsmall cell lung cancer: is there a difference in outcome between morning and afternoon treatment?</t>
  </si>
  <si>
    <t xml:space="preserve">Badiyan SN, Ferraro DJ, Yaddanapudi S, Drzymala RE, Lee AY, Silver SA, Dyk P, DeWees T, Simpson JR, Rich KM, Robinson CG </t>
  </si>
  <si>
    <t>Cancer, 119(19), 3563–3569</t>
  </si>
  <si>
    <t>Impact of time of day on outcomes after stereotactic radiosurgery for non-small cell lung cancer brain metastases</t>
  </si>
  <si>
    <t>Lin HX, Hua YJ, Chen QY, Luo DH, Sun R, Qiu F, Mo HY, Mai HQ, Guo X, Xian LJ, Hong MH, Guo L</t>
  </si>
  <si>
    <t>Randomized study of sinusoidal chronomodulated versus flat intermittent induction chemotherapy with cisplatin and 5-fluorouracil followed by traditional radiotherapy for locoregionally advanced nasopharyngeal carcinoma</t>
  </si>
  <si>
    <t>Chinese Journal of Cancer, 32(9), 502–511</t>
  </si>
  <si>
    <t>Noh JM, Choi DH, Park H, Huh SJ, Park W, Seol SW, Jeong BK, Nam SJ, Lee JE, Kil WH</t>
  </si>
  <si>
    <t>Comparison of acute skin reaction following morning versus late afternoon radiotherapy in patients with breast cancer who have undergone curative surgical resection</t>
  </si>
  <si>
    <t>Journal of Radiation Research, 55(3), 553–558</t>
  </si>
  <si>
    <t>Li J, Chen R, Ji M, Zou SL, Zhu LN</t>
  </si>
  <si>
    <t>Cisplatin-based chronotherapy for advanced non-small cell lung cancer patients: a randomized controlled study and its pharmacokinetics analysis</t>
  </si>
  <si>
    <t>Cancer Chemotherapy and Pharmacology, 76(3), 651–655</t>
  </si>
  <si>
    <t>Bi T, Jin F, Wu W, Long J, Li Y, Gong X, Luo X, Li Z, He Q, Qu B</t>
  </si>
  <si>
    <t>Phase II clinical trial of two different modes of administration of the induction chemotherapy for locally advanced nasopharyngeal carcinoma</t>
  </si>
  <si>
    <t>Zhonghua zhong liu za zhi [Chinese journal of oncology], 37(9), 676–681</t>
  </si>
  <si>
    <t>Hsu FM, Hou WH, Huang CY, Wang CC, Tsai CL, Tsai YC, Yu HJ, Pu YS, Cheng JCH</t>
  </si>
  <si>
    <t>Differences in toxicity and outcome associated with circadian variations between patients undergoing daytime and evening radiotherapy for prostate adenocarcinoma</t>
  </si>
  <si>
    <t>Chronobiology International, 33(2), 210–219</t>
  </si>
  <si>
    <t>Chan S, Rowbottom L, McDonald R, Zhang L, Bjarnason GA, Tsao M, Danjoux C, Barnes E, Lam H, Popovic M, DeAngelis C, Chow E</t>
  </si>
  <si>
    <t>Could time of whole brain radiotherapy delivery impact overall survival in patients with multiple brain metastases</t>
  </si>
  <si>
    <t>Annals of Palliative Medicine, 5(4), 267–279</t>
  </si>
  <si>
    <t>Morning_Afternoon_Evening</t>
  </si>
  <si>
    <t>Chan S, Zhang L, Rowbottom L, McDonald R, Bjarnason GA, Tsao M, Barnes E, Danjoux C, Popovic M, Lam H, DeAngelis C, Chow E</t>
  </si>
  <si>
    <t>Effects of circadian rhythms and treatment times on the response of radiotherapy for painful bone metastases</t>
  </si>
  <si>
    <t>Annals of Palliative Medicine, 6(1), 14–25</t>
  </si>
  <si>
    <t>Tsuchiya Y, Ushijima K, Noguchi T, Okada N, Hayasaka JI, Jinbu Y, Ando H, Mori Y, Kusama M, Fujimura A</t>
  </si>
  <si>
    <t>Chronobiology International, 35(2), 289–294</t>
  </si>
  <si>
    <t>Influence of a dosing-time on toxicities induced by docetaxel, cisplatin and 5-fluorouracil in patients with oral squamous cell carcinoma; a cross-over pilot study</t>
  </si>
  <si>
    <t>Zhang PX, Jin F, Li ZL, Wu WL, Li YY, Long JH, Chen GY, Chen XX, Gan JY, Gong XY, He QY, Bi T</t>
  </si>
  <si>
    <t>A randomized phase II trial of induction chemotherapy followed by cisplatin chronotherapy versus constant rate delivery combined with radiotherapy</t>
  </si>
  <si>
    <t>Chronobiology International, 35(2), 240–248</t>
  </si>
  <si>
    <t>vaccine (Em)</t>
  </si>
  <si>
    <t>encephalomyelitis</t>
  </si>
  <si>
    <t>viral</t>
  </si>
  <si>
    <t>Live, Attenuated Venezuelan Equine Encephalomyelitis Virus Vaccine</t>
  </si>
  <si>
    <t>Alevizatos AC, McKinney RW,  Feigin RD</t>
  </si>
  <si>
    <t>The American Journal of Tropical Medicine and Hygiene</t>
  </si>
  <si>
    <t>equuine encephalomyelitis virus vaccine</t>
  </si>
  <si>
    <t>hepatits A vaccine</t>
  </si>
  <si>
    <t>vaccine (HepC)</t>
  </si>
  <si>
    <t>hepatitis A</t>
  </si>
  <si>
    <t>influenza vaccine</t>
  </si>
  <si>
    <t>Morning vaccination enhances antibody response over afternoon vaccination: A cluster-randomised trial</t>
  </si>
  <si>
    <t>Long JE, Drayson MT, Taylor AE, Toellner KM, Lord JM, Phillips AC</t>
  </si>
  <si>
    <t>Vaccine, 34(24), 2679–2685</t>
  </si>
  <si>
    <t>Psychophysiology (Vol. 45, Issue 4, pp. 663–666)</t>
  </si>
  <si>
    <t>Phillips AC, Gallagher S, Carroll D, Drayson M</t>
  </si>
  <si>
    <t>Preliminary evidence that morning vaccination is associated with an enhanced antibody response in men</t>
  </si>
  <si>
    <t>Trained immunity - IL1B response to S. aureus stim. 3 months post-vaccine</t>
  </si>
  <si>
    <t>Trained immunity - TNalpha response to S. aureus stim. 3 months post-vaccine</t>
  </si>
  <si>
    <t>Trained immunity - IFN-γ response to M. tuberculosis (Mtb) stim 3 months post-vaccine</t>
  </si>
  <si>
    <t>REF</t>
  </si>
  <si>
    <t>BETTER_TIME</t>
  </si>
  <si>
    <t>Afternoon</t>
  </si>
  <si>
    <t>DESIGN</t>
  </si>
  <si>
    <t>Morning</t>
  </si>
  <si>
    <t>intrathecal</t>
  </si>
  <si>
    <t xml:space="preserve">acute lymphoblastic leukaemia </t>
  </si>
  <si>
    <t>Maintenance chemotherapy for childhood acute lymphoblastic leukaemia: better in the evening</t>
  </si>
  <si>
    <t>Rivard GE, Infante-Rivard C, Hoyoux C, Champagne J</t>
  </si>
  <si>
    <t>Lancet 1985;2(8467):1264–1266</t>
  </si>
  <si>
    <t>The circadian schedule for childhood acute lymphoblastic leukemia maintenance therapy does not influence event-free survival in the NOPHO ALL92 protocol</t>
  </si>
  <si>
    <t>Pediatric Blood &amp; Cancer 2014;61(4):653–658</t>
  </si>
  <si>
    <t>Clemmensen KKB, Christensen RH, Shabaneh DN, Harila-Saari A, Heyman M, Jonsson OG, Wesenberg F, Rosthøj S, Schmiegelow K</t>
  </si>
  <si>
    <t>botulinum toxin A (botox)</t>
  </si>
  <si>
    <t>neurotoxin</t>
  </si>
  <si>
    <t>botox</t>
  </si>
  <si>
    <t>22, 12 (note: after single oral doses of carbamazepine, the absorption is fairly complete and the elimition half-life is about 35 hours (range 18 to 65 hours). During multiple dosing, the half-life is decreased to 10-20 hours, probably due to autoinduction of the oxidative metabolism of the drug).</t>
  </si>
  <si>
    <t>migraine</t>
  </si>
  <si>
    <t>Packard A, Arciniegas AA, Smotherman C</t>
  </si>
  <si>
    <t>Effectiveness of preventive onabotulinumtoxin A injections for migraine headaches is dependent on the circadian time of administration</t>
  </si>
  <si>
    <t>Chronobiology International, 1–8</t>
  </si>
  <si>
    <t>DRUG_CLASS</t>
  </si>
  <si>
    <t>DISEASE(S)</t>
  </si>
  <si>
    <t>PATIENTS</t>
  </si>
  <si>
    <t>Evening</t>
  </si>
  <si>
    <t>hormone</t>
  </si>
  <si>
    <t>hypothyroid</t>
  </si>
  <si>
    <t>pyschiatric</t>
  </si>
  <si>
    <t>psych</t>
  </si>
  <si>
    <t>Day_Night</t>
  </si>
  <si>
    <t>transplant</t>
  </si>
  <si>
    <t>liver transplant in HCC</t>
  </si>
  <si>
    <t>Day</t>
  </si>
  <si>
    <t>Wake_Bedtime</t>
  </si>
  <si>
    <t>mixed antihypertensives</t>
  </si>
  <si>
    <t>tuberculosis vaccine</t>
  </si>
  <si>
    <t>Shappell SA, Kearns GL, Valentine JL, Neri DF, DeJohn CA</t>
  </si>
  <si>
    <t>Chronopharmacokinetics and chronopharmacodynamics of dextromethamphetamine in man</t>
  </si>
  <si>
    <t>Journal of Clinical Pharmacology, 36(11), 1051–1063</t>
  </si>
  <si>
    <t>Yegnanarayan R, Mahesh SD, Sangle S</t>
  </si>
  <si>
    <t>Chronotherapeutic dose schedule of phenytoin and carbamazepine in epileptic patients</t>
  </si>
  <si>
    <t>Chronobiology International, 23(5), 1035–1046</t>
  </si>
  <si>
    <t>Can Levothyroxine Be Taken as Evening Dose? Comparative Evaluation of Morning versus Evening Dose of Levothyroxine in Treatment of Hypothyroidism</t>
  </si>
  <si>
    <t>Rajput R, Chatterjee S, Rajput M</t>
  </si>
  <si>
    <t>Journal of Thyroid Research, 2011, 505239</t>
  </si>
  <si>
    <t>ovarian cancer</t>
  </si>
  <si>
    <t>cisplatin, adriamycin</t>
  </si>
  <si>
    <t>Circadian timing of cancer chemotherapy</t>
  </si>
  <si>
    <t>Science, 228(4695), 73–75</t>
  </si>
  <si>
    <t>Hrushesky WJ</t>
  </si>
  <si>
    <t>cisplatin, doxorubicin</t>
  </si>
  <si>
    <t>Levi F, Benavides M, Chevelle C, Le Saunier F, Bailleul F, Misset JL, Regensberg C, Vannetzel JM, Reinberg A, Mathe G</t>
  </si>
  <si>
    <t>Chemotherapy of advanced ovarian cancer with 4’-O-tetrahydropyranyl doxorubicin and cisplatin: a randomized phase II trial with an evaluation of circadian timing and dose-intensity</t>
  </si>
  <si>
    <t>Journal of Clinical Oncology: Official Journal of the American Society of Clinical Oncology, 8(4), 705–714</t>
  </si>
  <si>
    <t>Effects of evening vs morning levothyroxine intake: a randomized double-blind crossover trial</t>
  </si>
  <si>
    <t>Bolk N, Visser TJ, Nijman J, Jongste IJ, Tijssen JGP, Berghout A</t>
  </si>
  <si>
    <t>Archives of Internal Medicine, 170(22), 1996–2003</t>
  </si>
  <si>
    <t>Ahren B, Leguizamo Dimas A, Miossec P, Saubadu S, Aronson R</t>
  </si>
  <si>
    <t>Efficacy and safety of lixisenatide once-daily morning or evening injections in type 2 diabetes inadequately controlled on metformin (GetGoal-M)</t>
  </si>
  <si>
    <t>Diabetes Care, 36(9), 2543–2550</t>
  </si>
  <si>
    <t>Zhuang X, Lai AG, McKeating JA, Rowe I, Balfe P</t>
  </si>
  <si>
    <t>Wellcome Open Research, 3, 96</t>
  </si>
  <si>
    <t xml:space="preserve"> Daytime variation in hepatitis C virus replication kinetics following liver transplant</t>
  </si>
  <si>
    <t xml:space="preserve"> Morning versus evening dosing of desloratadine in seasonal allergic rhinitis: a randomized controlled study </t>
  </si>
  <si>
    <t>Haye R, Hoye K, Berg O, Frones S, Odegard T</t>
  </si>
  <si>
    <t>Clinical and Molecular Allergy: CMA, 3(1), 3</t>
  </si>
  <si>
    <t>Reinberg A, Levi F, Guillet P, Burke JT, Nicolai A</t>
  </si>
  <si>
    <t>European Journal of Clinical Pharmacology, 14(4), 245–252</t>
  </si>
  <si>
    <t>Chronopharmacological study of antihistamines in man with special references to terfenadine</t>
  </si>
  <si>
    <t>Circadian changes in the inhibitory effects of an antihistaminic drug in man</t>
  </si>
  <si>
    <t>Reinberg A, Sidi E</t>
  </si>
  <si>
    <t>The Journal of Investigative Dermatology, 46(4), 415–419</t>
  </si>
  <si>
    <t>allergy</t>
  </si>
  <si>
    <t>Bonten TN, Snoep JD, Assendelft WJJ, Zwaginga JJ, Eikenboom J, Huisman MV, Rosendaal FR, van der Bom JG</t>
  </si>
  <si>
    <t>Hypertension, 65(4), 743–750</t>
  </si>
  <si>
    <t>Time-dependent effects of aspirin on blood pressure and morning platelet reactivity: a randomized cross-over trial</t>
  </si>
  <si>
    <t>Zeng J, Jia M, Ran H, Tang H, Zhang Y, Zhang J, Wang X, Wang H, Yang C, Zeng C</t>
  </si>
  <si>
    <t>Zappe DH, Crikelair N, Kandra A, Palatini P</t>
  </si>
  <si>
    <t>Journal of Hypertension, 33(2), 385–392</t>
  </si>
  <si>
    <t>Time of administration important? Morning versus evening dosing of valsartan</t>
  </si>
  <si>
    <t>Wang C, Zhang J, Liu X, Li CC, Ye ZC, Peng H, Chen Z, Lou, T</t>
  </si>
  <si>
    <t>Effect of valsartan with bedtime dosing on chronic kidney disease patients with nondipping blood pressure pattern</t>
  </si>
  <si>
    <t>Journal of Clinical Hypertension , 15(1), 48–54</t>
  </si>
  <si>
    <t>Chronotherapy with low-dose aspirin for prevention of complications in pregnancy</t>
  </si>
  <si>
    <t>Ayala DE, Ucieda R, Hermida RC</t>
  </si>
  <si>
    <t>Chronobiology International, 30(1-2), 260–279</t>
  </si>
  <si>
    <t>Fixed-combination of amlodipine and diuretic chronotherapy in the treatment of essential hypertension: improved blood pressure control with bedtime dosing-a multicenter, open-label randomized study</t>
  </si>
  <si>
    <t>Hypertension Research: Official Journal of the Japanese Society of Hypertension, 34(6), 767–772</t>
  </si>
  <si>
    <t>Awakening_Bedtime</t>
  </si>
  <si>
    <t>Morning platelet reactivity (ARU)</t>
  </si>
  <si>
    <t>ckd + hypertension</t>
  </si>
  <si>
    <t>Awakening_8hrPostWake_Bedtime</t>
  </si>
  <si>
    <t>Effect of dosing time of angiotensin II receptor blockade titrated by self-measured blood pressure recordings on cardiorenal protection in hypertensives: the Japan Morning Surge-Target Organ Protection (J-TOP) study</t>
  </si>
  <si>
    <t>Kario K, Hoshide S, Shimizu M, Yano Y, Eguchi K, Ishikawa J, Ishikawa S, Shimada K</t>
  </si>
  <si>
    <t>Journal of Hypertension, 28(7), 1574–1583</t>
  </si>
  <si>
    <t>Efficacy of morning and evening dosing of amlodipine/valsartan combination in hypertensive patients uncontrolled by 5 mg of amlodipine</t>
  </si>
  <si>
    <t>Blood Pressure Monitoring, 16(2), 80–86</t>
  </si>
  <si>
    <t>Asmar R, Gosse P, Quere S, Achouba A</t>
  </si>
  <si>
    <t>essential refractory hypertension</t>
  </si>
  <si>
    <t>Chronotherapy with valsartan/amlodipine fixed combination: improved blood pressure control of essential hypertension with bedtime dosing</t>
  </si>
  <si>
    <t>Hermida RC, Ayala DE, Fontao MJ, Mojon A, Fernández JR</t>
  </si>
  <si>
    <t>Chronobiology International, 27(6), 1287–1303</t>
  </si>
  <si>
    <t>The bedtime administration ameliorates blood pressure variability and reduces urinary albumin excretion in amlodipine-olmesartan combination therapy</t>
  </si>
  <si>
    <t>Hoshino A, Nakamura T, Matsubara H</t>
  </si>
  <si>
    <t>Clinical and Experimental Hypertension, 32(7), 416–422</t>
  </si>
  <si>
    <t>Administration-time-dependent effects of spirapril on ambulatory blood pressure in uncomplicated essential hypertension</t>
  </si>
  <si>
    <t>Hermida RC, Ayala DE, Fontao MJ, Mojon A, Alonso I, Fernandez JR</t>
  </si>
  <si>
    <t>Chronobiology International, 27(3), 560–574</t>
  </si>
  <si>
    <t>Chronotherapy with the angiotensin-converting enzyme inhibitor ramipril in essential hypertension: improved blood pressure control with bedtime dosing</t>
  </si>
  <si>
    <t>Hypertension, 54(1), 40–46</t>
  </si>
  <si>
    <t>Hermida RC, Ayala DE</t>
  </si>
  <si>
    <t xml:space="preserve">Differing administration time-dependent effects of aspirin on blood pressure in dipper and non-dipper hypertensives. </t>
  </si>
  <si>
    <t>Urinary albumin/creatinine ratio, mg/g</t>
  </si>
  <si>
    <t>Chronotherapy with nifedipine GITS in hypertensive patients: improved efficacy and safety with bedtime dosing</t>
  </si>
  <si>
    <t xml:space="preserve">Hermida RC, Ayala DE, Mojon A, Fernández JR </t>
  </si>
  <si>
    <t>American Journal of Hypertension, 21(8), 948–954</t>
  </si>
  <si>
    <t>Administration-time-dependent effects of olmesartan on the ambulatory blood pressure of essential hypertension patients</t>
  </si>
  <si>
    <t>Hermida RC, Ayala DE, Chayan L, Mojon A, Fernandez JR</t>
  </si>
  <si>
    <t>Chronobiology International, 26(1), 61–79</t>
  </si>
  <si>
    <t>Ambulatory blood pressure control with bedtime aspirin administration in subjects with prehypertension</t>
  </si>
  <si>
    <t>Hermida RC, Ayala DE, Mojon A, Fernandez JR</t>
  </si>
  <si>
    <t>American Journal of Hypertension, 22(8), 896–903</t>
  </si>
  <si>
    <t>Comparison of the effects on ambulatory blood pressure of awakening versus bedtime administration of torasemide in essential hypertension</t>
  </si>
  <si>
    <t>Chronobiology International, 25(6), 950–970</t>
  </si>
  <si>
    <t xml:space="preserve">Hermida RC, Ayala DE, Mojon A, Chayan L, Dominguez MJ, Fontao MJ, Soler R, Alonso I, Fernandez JR </t>
  </si>
  <si>
    <t>Morning surge SBP</t>
  </si>
  <si>
    <t>Morning surge DBP</t>
  </si>
  <si>
    <t>Morning SBP, mmHg</t>
  </si>
  <si>
    <t>Awake:asleep SBP ratio %</t>
  </si>
  <si>
    <t>% non-dippers</t>
  </si>
  <si>
    <t>Max inhibition of local skin reaction to histamine, (terfenadine/wheal) % of control</t>
  </si>
  <si>
    <t>TSH, mIU/L (1)</t>
  </si>
  <si>
    <t>TSH, mIU/L (2)</t>
  </si>
  <si>
    <t>Platelet aggregation, ARU</t>
  </si>
  <si>
    <t>Platelet count, 10-9/L</t>
  </si>
  <si>
    <t>Uric acid, umol/l</t>
  </si>
  <si>
    <t>Total CVC events, hazard ratio</t>
  </si>
  <si>
    <t>TSH fasted, mIU/l (hypothyroid patients)</t>
  </si>
  <si>
    <t>Intraoperative massive hemorrhage, %</t>
  </si>
  <si>
    <t>Intraoperative blood loss, mL</t>
  </si>
  <si>
    <t>Requirement of RBCs, units</t>
  </si>
  <si>
    <t>Total operation time, hours</t>
  </si>
  <si>
    <t>Cold ischemia time, hours</t>
  </si>
  <si>
    <t>Other intraop complications, %</t>
  </si>
  <si>
    <t>Postop abdominal infection, %</t>
  </si>
  <si>
    <t>Hospital cost, $</t>
  </si>
  <si>
    <t>Time to restore hepatic function to normal, days</t>
  </si>
  <si>
    <t>Acute DBP response, % drop</t>
  </si>
  <si>
    <t>Nondipper to dipper, %</t>
  </si>
  <si>
    <t>eGRF, mL/min/1.732m^2</t>
  </si>
  <si>
    <t>Headache days over 3 months, days</t>
  </si>
  <si>
    <t>Clinical Therapeutics, 36(8), 1182–1190</t>
  </si>
  <si>
    <t>Yi YJ, Kim HJ, Jo SK, Kim SG, Song YR, Chung W, Han KH, Lee CH, Hwang YH, Oh KH</t>
  </si>
  <si>
    <t>Comparison of the efficacy and safety profile of morning administration of controlled-release simvastatin versus evening administration of immediate-release simvastatin in chronic kidney disease patients with dyslipidemia</t>
  </si>
  <si>
    <t>Efficacy and safety of morning versus evening dose of controlled-release simvastatin tablets in patients with hyperlipidemia: a randomized, double-blind, multicenter phase III trial</t>
  </si>
  <si>
    <t>Clinical Therapeutics, 35(9), 1350–1360.e1</t>
  </si>
  <si>
    <t>Kim SH, Kim MK, Seo HS, Hyun MS, Han KR, Cho SW, Kim YK, Hoon Park S</t>
  </si>
  <si>
    <t>Yoon HS, Kim SH, Kim JK, Ko SH, Ko JE, Park SJ, Park MG, Lee JH, Hyon MS</t>
  </si>
  <si>
    <t>Comparison of effects of morning versus evening administration of ezetimibe/simvastatin on serum cholesterol in patients with primary hypercholesterolemia</t>
  </si>
  <si>
    <t>The Annals of Pharmacotherapy, 45(7-8), 841–849</t>
  </si>
  <si>
    <t>3,22</t>
  </si>
  <si>
    <t>Lipid lowering efficacy between morning and evening simvastatin treatment: a randomized double-blind study</t>
  </si>
  <si>
    <t>Journal of the Medical Association of Thailand = Chotmaihet Thangphaet, 93 Suppl 7, S109–S113</t>
  </si>
  <si>
    <t>Tharavanij T, Wongtanakarn S, Lerdvuthisopon N, Teeraaunkul S, Youngsriphithak P, Sritipsukho P</t>
  </si>
  <si>
    <t>hyperlipidemia in PCI</t>
  </si>
  <si>
    <t>Effects of morning versus evening intake of atorvastatin on major cardiac event and restenosis rates in patients undergoing first elective percutaneous coronary intervention</t>
  </si>
  <si>
    <t>The American Journal of Cardiology, 97(1), 44–47</t>
  </si>
  <si>
    <t>Ozaydin M, Dede O, Dogan A, Aslan SM, Altinbas A, Ozturk M, Varol E, Turker Y</t>
  </si>
  <si>
    <t>American Journal of Health-System Pharmacy: AJHP: Official Journal of the American Society of Health-System Pharmacists, 62(23), 2491–2494</t>
  </si>
  <si>
    <t>Effects of morning versus evening administration of atorvastatin in patients with hyperlipidemia</t>
  </si>
  <si>
    <t>Plakogiannis R, Cohen H, Taft D</t>
  </si>
  <si>
    <t>Taking simvastatin in the morning compared with in the evening: randomised controlled trial</t>
  </si>
  <si>
    <t>Wallace A, Chinn D, Rubin G</t>
  </si>
  <si>
    <t>BMJ , 327(7418), 788</t>
  </si>
  <si>
    <t xml:space="preserve"> Effect of morning versus evening intake of simvastatin on the serum cholesterol level in patients with coronary artery disease</t>
  </si>
  <si>
    <t>The American Journal of Cardiology, 90(7), 784–786</t>
  </si>
  <si>
    <t>Lund TM, Torsvik H, Falch D, Christophersen B, Skardal R, Gullestad L</t>
  </si>
  <si>
    <t>Journal of Clinical Pharmacology, 36(7), 604–609</t>
  </si>
  <si>
    <t>Pharmacodynamic effects and pharmacokinetics of atorvastatin after administration to normocholesterolemic subjects in the morning and evening</t>
  </si>
  <si>
    <t>Cilla DD Jr, Gibson DM, Whitfield LR,  Sedman AJ</t>
  </si>
  <si>
    <t>Comparison between morning and evening doses of simvastatin in hyperlipidemic subjects</t>
  </si>
  <si>
    <t>Saito Y, Yoshida S, Nakaya N, Hata Y, Goto Y</t>
  </si>
  <si>
    <t>Arteriosclerosis and Thrombosis: A Journal of Vascular Biology / American Heart Association, 11(4), 816–826</t>
  </si>
  <si>
    <t>Journal of Thrombosis and Haemostasis: JTH, 14(2), 316–323</t>
  </si>
  <si>
    <t>Comparison between the impact of morning and evening doses of rivaroxaban on the circadian endogenous coagulation rhythm in healthy subjects</t>
  </si>
  <si>
    <t>Brunner-Ziegler S, Jilma B, Schorgenhofer C, Winkler F, Jilma-Stohlawetz P, Koppensteiner R, Quehenberger P, Seger C, Weigel G, Griesmacher A, Brunner M</t>
  </si>
  <si>
    <t>Montaigne D, Marechal X, Modine T, Coisne A, Mouton S, Fayad G, Ninni S, Klein C, Ortmans S, Seunes C, Potelle C, Berthier A, Gheeraert C, Piveteau C, Deprez R, Eeckhoute J, Duez H, Lacroix D, Deprez B, Staels, B</t>
  </si>
  <si>
    <t>Daytime variation of perioperative myocardial injury in cardiac surgery and its prevention by Rev-Erbα antagonism: a single-centre propensity-matched cohort study and a randomised study</t>
  </si>
  <si>
    <t>The Lancet. https://doi.org/10.1016/S0140-6736(17)32132-3</t>
  </si>
  <si>
    <t>Major cardiac events, hazard ratio</t>
  </si>
  <si>
    <t>Perioperative Cardiac troponin T AUC (ng/L × 72 h)</t>
  </si>
  <si>
    <t>Clinical Pharmacology and Therapeutics, 37(1), 77–84</t>
  </si>
  <si>
    <t>Timing optimizes sustained-release indomethacin treatment of osteoarthritis</t>
  </si>
  <si>
    <t>Levi F, Le Louarn C, Reinberg A</t>
  </si>
  <si>
    <t>Efficacy of modified-release versus standard prednisone to reduce duration of morning stiffness of the joints in rheumatoid arthritis (CAPRA-1): a double-blind, randomised controlled trial</t>
  </si>
  <si>
    <t>Buttgereit F, Doering G, Schaeffler A, Witte S, Sierakowski S, Gromnica-Ihle E, Jeka S, Krueger K, Szechinski J, Alten R</t>
  </si>
  <si>
    <t>The Lancet, 371(9608), 205–214</t>
  </si>
  <si>
    <t>Annals of the Rheumatic Diseases, 56(1), 27–31</t>
  </si>
  <si>
    <t>The timing of glucocorticoid administration in rheumatoid arthritis</t>
  </si>
  <si>
    <t>Arvidson NG, Gudbjörnsson B, Larsson A, Hallgren R</t>
  </si>
  <si>
    <t>The timing of prednisolone dosage and its effect on morning stiffness in rheumatoid arthritis</t>
  </si>
  <si>
    <t>De Silva M, Binder A, Hazleman BL</t>
  </si>
  <si>
    <t>Annals of the Rheumatic Diseases, 43(6), 790–793</t>
  </si>
  <si>
    <t>Circadian variations in the signs and symptoms of rheumatoid arthritis and in the therapeutic effectiveness of flurbiprofen at different times of day</t>
  </si>
  <si>
    <t>British Journal of Clinical Pharmacology, 11(5), 477–484</t>
  </si>
  <si>
    <t>Kowanko IC, Pownall R, Knapp MS, Swannell AJ, Mahoney PG</t>
  </si>
  <si>
    <t>Annals of the Rheumatic Diseases, 23, 158–162</t>
  </si>
  <si>
    <t>Deandrade JR, Mccormick JN, Hill AG</t>
  </si>
  <si>
    <t>SMALL DOSES OF PREDNISOLONE IN THE MANAGEMENT OF RHEUMATOID ARTHRITIS</t>
  </si>
  <si>
    <t>Alimentary Pharmacology &amp; Therapeutics, 18(9), 883–890</t>
  </si>
  <si>
    <t>Comparison of morning and evening administration of rabeprazole for gastro-oesophageal reflux and nocturnal gastric acid breakthrough in patients with reflux disease: a double-blind, cross-over study.</t>
  </si>
  <si>
    <t>Pehlivanov ND, Olyaee M, Sarosiek I, McCallum RW</t>
  </si>
  <si>
    <t>Morning or evening dosage of omeprazole for gastro-oesophageal reflux disease</t>
  </si>
  <si>
    <t>Hendel J, Hendel L, Aggestrup S</t>
  </si>
  <si>
    <t>Alimentary Pharmacology &amp; Therapeutics, 9(6), 693–697</t>
  </si>
  <si>
    <t>Daytime gastric pH</t>
  </si>
  <si>
    <t>Effect of tiotropium bromide on circadian variation in airflow limitation in chronic obstructive pulmonary disease</t>
  </si>
  <si>
    <t>Thorax, 58(10), 855–860</t>
  </si>
  <si>
    <t>Calverley PMA, Lee A, Towse L, van Noord J, Witek TJ, Kelsen S</t>
  </si>
  <si>
    <t xml:space="preserve"> Parasympathetic nervous system in nocturnal asthma</t>
  </si>
  <si>
    <t>British Medical Journal , 296(6634), 1427–1429</t>
  </si>
  <si>
    <t>Morrison JF, Pearson SB, Dean HG</t>
  </si>
  <si>
    <t>Overnight_Afternoon</t>
  </si>
  <si>
    <t>Circadian rhythm in total pulmonary resistance of asthmatic children. Effects of a beta-agonist agent.</t>
  </si>
  <si>
    <t>Chronobiology International, 5(3), 285–290</t>
  </si>
  <si>
    <t>Gaultier C, Reinberg A, Motohashi Y</t>
  </si>
  <si>
    <t>Circadian variation in adrenergic responses in asthmatic subjects</t>
  </si>
  <si>
    <t>Clinical Science , 62(4), 349–354</t>
  </si>
  <si>
    <t>Barnes PJ, Fitzgerald GA, Dollery CT</t>
  </si>
  <si>
    <t>The American Review of Respiratory Disease, 142(1), 84–90</t>
  </si>
  <si>
    <t>Twenty-four hour lung function in adult patients with asthma. Chronoptimized theophylline therapy once-daily dosing in the evening versus conventional twice-daily dosing</t>
  </si>
  <si>
    <t xml:space="preserve">D’Alonzo GE, Smolensky MH, Feldman S, Gianotti LA, Emerson MB, Staudinger H, Steinijans VW </t>
  </si>
  <si>
    <t>Chronobiology International, 4(3), 435–447</t>
  </si>
  <si>
    <t>Administration-time-dependency of the pharmacokinetic behavior and therapeutic effect of a once-a-day theophylline in asthmatic children</t>
  </si>
  <si>
    <t>Smolensky MH, Scott PH, Harrist RB, Hiatt PH, Wong TK, Baenziger JC, Klank BJ, Marbella A, Meltzer A</t>
  </si>
  <si>
    <t>mixed AH</t>
  </si>
  <si>
    <t>Bambuterol in the treatment of asthma. A placebo-controlled comparison of once-daily morning vs evening administration</t>
  </si>
  <si>
    <t>D’Alonzo GE, Smolensky MH, Feldman S, Gnosspelius Y, Karlsson K</t>
  </si>
  <si>
    <t>Chest, 107(2), 406–412</t>
  </si>
  <si>
    <t>Timing of prednisone and alterations of airways inflammation in nocturnal asthma</t>
  </si>
  <si>
    <t>The American Review of Respiratory Disease, 146(6), 1524–1530</t>
  </si>
  <si>
    <t>Beam WR, Weiner DE, Martin RJ</t>
  </si>
  <si>
    <t>Projected mean &amp; SE, converted SEM to SD; this is a rough estimate</t>
  </si>
  <si>
    <t>Comparison of the efficacy of morning versus evening administration of telmisartan in essential hypertension</t>
  </si>
  <si>
    <t>Hypertension, 50(4), 715–722</t>
  </si>
  <si>
    <t>Hermida RC, Ayala DE, Fernandez JR, Calvo C</t>
  </si>
  <si>
    <t>Ca2+ blocker</t>
  </si>
  <si>
    <t>Treatment of non-dipper hypertension with bedtime administration of valsartan</t>
  </si>
  <si>
    <t>Hermida RC, Calvo C, Ayala DE, Fernandez JR, Covelo M, Mojon A, Lopez JE</t>
  </si>
  <si>
    <t>Journal of Hypertension, 23(10), 1913–1922</t>
  </si>
  <si>
    <t>Administration time-dependent effects of valsartan on ambulatory blood pressure in elderly hypertensive subjects</t>
  </si>
  <si>
    <t>Hermida RC, Calvo C, Ayala DE, Mojon A, Rodríguez M, Chayan L, Lopez JE, Fontao MJ, Soler R, Fernandez  JR</t>
  </si>
  <si>
    <t>Chronobiology International, 22(4), 755–776</t>
  </si>
  <si>
    <t>Effects of bedtime vs. morning administration of the long-acting lipophilic angiotensin-converting enzyme inhibitor trandolapril on morning blood pressure in hypertensive patients</t>
  </si>
  <si>
    <t>Kuroda, T., Kario, K., Hoshide, S., Hashimoto, T., Nomura, Y., Saito, Y., Mito, H., &amp; Shimada, K</t>
  </si>
  <si>
    <t>Hypertension Research: Official Journal of the Japanese Society of Hypertension, 27(1), 15–20</t>
  </si>
  <si>
    <t>Administration-time-dependent effects of doxazosin GITS on ambulatory blood pressure of hypertensive subjects.</t>
  </si>
  <si>
    <t>Hermida RC, Calvo C, Ayala DE, Domínguez MJ, Covelo M, Fernandez JR, Fontao MJ, Lopez JE</t>
  </si>
  <si>
    <t>Chronobiology International, 21(2), 277–296</t>
  </si>
  <si>
    <t>Effect of morning and bedtime dosing with cilnidipine on blood pressure, heart rate, and sympathetic nervous activity in essential hypertensive patients</t>
  </si>
  <si>
    <t>Journal of Cardiovascular Pharmacology, 43(1), 68–73</t>
  </si>
  <si>
    <t>Kitahara Y, Saito F, Akao M, Fujita H, Takahashi A, Taguchi H, Hino T, Otsuka Y, Kushiro T, Kanmatsuse K</t>
  </si>
  <si>
    <t>Administration time-dependent effects of valsartan on ambulatory blood pressure in hypertensive subjects.</t>
  </si>
  <si>
    <t>Hypertension, 42(3), 283–290</t>
  </si>
  <si>
    <t>Hermida RC, Calvo C, Ayala DE, Domínguez MJ, Covelo M, Fernandez JR, Mojon A, Lopez JE</t>
  </si>
  <si>
    <t>Differential effects of morning or evening dosing of amlodipine on circadian blood pressure and heart rate</t>
  </si>
  <si>
    <t>Qiu YG, Chen JZ, Zhu JH, Yao XY</t>
  </si>
  <si>
    <t>Cardiovascular Drugs and Therapy / Sponsored by the International Society of Cardiovascular Pharmacotherapy, 17(4), 335–341</t>
  </si>
  <si>
    <t>24 h DBP load, ie. % of measures that deviate from normal BP range</t>
  </si>
  <si>
    <t>Effect of imidapril in dipper and nondipper hypertensive patients: comparison between morning and evening administration</t>
  </si>
  <si>
    <t>Chronobiology International, 17(2), 209–219</t>
  </si>
  <si>
    <t>Kohno I, Ijiri H, Takusagawa M, Yin DF, Sano S, Ishihara T, Sawanobori T, Komori S, Tamura, K</t>
  </si>
  <si>
    <t>Differential effects of morning and evening dosing of nisoldipine ER on circadian blood pressure and heart rate</t>
  </si>
  <si>
    <t>White WB, Mansoor GA, Pickering TG, Vidt DG, Hutchinson HG, Johnson RB, Noveck R</t>
  </si>
  <si>
    <t>American Journal of Hypertension, 12(8 Pt 1), 806–814</t>
  </si>
  <si>
    <t>Morning versus evening amlodipine treatment: effect on circadian blood pressure profile in essential hypertensive patients</t>
  </si>
  <si>
    <t>Nold G, Strobel G, Lemmer, B</t>
  </si>
  <si>
    <t xml:space="preserve"> Blood Pressure Monitoring, 3(1), 17–25</t>
  </si>
  <si>
    <t>The effect on 24 h blood pressure control of an angiotensin converting enzyme inhibitor (perindopril) administered in the morning or at night</t>
  </si>
  <si>
    <t>Morgan T, Anderson A, Jones, E</t>
  </si>
  <si>
    <t>Journal of Hypertension, 15(2), 205–211</t>
  </si>
  <si>
    <t>Time-dependent effect of isradipine on the nocturnal hypertension in chronic renal failure</t>
  </si>
  <si>
    <t>Portaluppi F, Vergnani L, Manfredini R, degli Uberti, EC, Fersini C</t>
  </si>
  <si>
    <t>American Journal of Hypertension, 8(7), 719–726</t>
  </si>
  <si>
    <t>Morning versus evening administration of nifedipine gastrointestinal therapeutic system in the management of essential hypertension</t>
  </si>
  <si>
    <t>Greminger P, Suter PM, Holm D, Kobelt R, Vetter, W</t>
  </si>
  <si>
    <t>The Clinical Investigator, 72(11), 864–869</t>
  </si>
  <si>
    <t>Timing for administration of an antihypertensive drug in the treatment of essential hypertension</t>
  </si>
  <si>
    <t>Umeda T, Naomi S, Iwaoka T, Inoue J, Sasaki M, Ideguchi Y, Sato T</t>
  </si>
  <si>
    <t>Hypertension, 23(1 Suppl), I211–I214</t>
  </si>
  <si>
    <t>Effect of evening versus morning benazepril on 24-hour blood pressure: a comparative study with continuous intraarterial monitoring</t>
  </si>
  <si>
    <t xml:space="preserve">Palatini P, Mos L, Motolese M, Mormino P, Del Torre M, Varotto L, Pavan E, Pessina AC </t>
  </si>
  <si>
    <t>International Journal of Clinical Pharmacology, Therapy, and Toxicology, 31(6), 295–300</t>
  </si>
  <si>
    <t>Cardiovascular effects, pharmacokinetics, and converting enzyme inhibition of enalapril after morning versus evening administration</t>
  </si>
  <si>
    <t>Clinical Pharmacology and Therapeutics, 54(2), 177–186</t>
  </si>
  <si>
    <t>Witte K, Weisser K, Neubeck M, Mutschler E, Lehmann K, Hopf R,  Lemmer B</t>
  </si>
  <si>
    <t>Evening vs morning isradipine sustained release in essential hypertension: a double-blind study with 24 h ambulatory monitoring</t>
  </si>
  <si>
    <t>British Journal of Clinical Pharmacology, 35(1), 51–54</t>
  </si>
  <si>
    <t>Fogari R, Malacco E, Tettamanti F, Gnemmi AE, Milani M</t>
  </si>
  <si>
    <t>The use of self-measured blood pressure determinations in assessing dynamics of drug compliance in a study with amlodipine once a day, morning versus evening</t>
  </si>
  <si>
    <t>Journal of Hypertension, 11(12), 1403–1411</t>
  </si>
  <si>
    <t>Mengden T, Binswanger B, Spuhler T, Weisser B, Vetter W</t>
  </si>
  <si>
    <t>G1_SD</t>
  </si>
  <si>
    <t>G2_SD</t>
  </si>
  <si>
    <t>RMD</t>
  </si>
  <si>
    <t>G1_n</t>
  </si>
  <si>
    <t>G2_n</t>
  </si>
  <si>
    <t>SD_pool</t>
  </si>
  <si>
    <t>d</t>
  </si>
  <si>
    <t>G1_M</t>
  </si>
  <si>
    <t>G2_M</t>
  </si>
  <si>
    <t>efficacy</t>
  </si>
  <si>
    <t>CLAIM_P05</t>
  </si>
  <si>
    <t>Night SBP, mmHg</t>
  </si>
  <si>
    <t>Night DBP, mmHg</t>
  </si>
  <si>
    <t>Night MAP, mmHg</t>
  </si>
  <si>
    <t>24 h SBP, mmHg</t>
  </si>
  <si>
    <t>24 h DBP, mmHg</t>
  </si>
  <si>
    <t>none</t>
  </si>
  <si>
    <t>ClinicalTrials.gov_NCT00241124</t>
  </si>
  <si>
    <t>Day SBP, mmHg</t>
  </si>
  <si>
    <t>Day DBP, mmHg</t>
  </si>
  <si>
    <t>ClinicalTrials.gov_NCT00741585</t>
  </si>
  <si>
    <t>Dutch trial register_NTR5114</t>
  </si>
  <si>
    <t>tox</t>
  </si>
  <si>
    <t>cost</t>
  </si>
  <si>
    <t>ClinicalTrials.gov_NCT01379079</t>
  </si>
  <si>
    <t>ClinicalTrials.gov_NCT00473174</t>
  </si>
  <si>
    <t>ClinicalTrials.gov_NCT00295542</t>
  </si>
  <si>
    <t>Morning_Midnight</t>
  </si>
  <si>
    <t>Mean TSH, mU/mL</t>
  </si>
  <si>
    <t>ClinicalTrials.gov_NCT00146640</t>
  </si>
  <si>
    <t>Peak expiratory flow rate, l/min</t>
  </si>
  <si>
    <t>https://doi.org/10.1093/noajnl/vdab061</t>
  </si>
  <si>
    <t>glioblastoma (GBM)</t>
  </si>
  <si>
    <t>Temozolomide chronotherapy in patients with glioblastoma: a retrospective single institute study</t>
  </si>
  <si>
    <t>Damato AR, Luo J, Katumba RGN, Talcott GR, Rubin JB, Herzog ED, Campian, JL</t>
  </si>
  <si>
    <t>Neuro Oncol Adv</t>
  </si>
  <si>
    <t xml:space="preserve"> ISRCTN70898162</t>
  </si>
  <si>
    <t>Antibody titers at 1-month post-vaccination</t>
  </si>
  <si>
    <t>ISRCTN17436693_NTR959</t>
  </si>
  <si>
    <t>fT3 at 12 wks, pg/mL</t>
  </si>
  <si>
    <t>fT4 at 12 wks, pg/mL</t>
  </si>
  <si>
    <t>TSH at 12 wks, pmIU/mL</t>
  </si>
  <si>
    <t>diabetes, inadequately controlled TD2</t>
  </si>
  <si>
    <t>ClinicalTrials.gov_NCT00712673</t>
  </si>
  <si>
    <t>PROSPECTIVE_REGISTRATION</t>
  </si>
  <si>
    <t>Peak rise DBP, mmHg</t>
  </si>
  <si>
    <t>Peak rise SBP, mmHg</t>
  </si>
  <si>
    <t>Response SBP 8-10AM, mmHg</t>
  </si>
  <si>
    <t>Response DBP 8-10AM, mmHg</t>
  </si>
  <si>
    <t>Response SBP 11AM-3PM, mmHg</t>
  </si>
  <si>
    <t>Response DBP 11AM-3PM, mmHg</t>
  </si>
  <si>
    <t>24 h HR, bpm</t>
  </si>
  <si>
    <t>d_SEM</t>
  </si>
  <si>
    <t>24-hour blood pressure control with ramipril: comparison of once-daily morning and evening administration</t>
  </si>
  <si>
    <t>Myburgh DP, Verho M, Botes JH, Erasmus TP, Luus HG</t>
  </si>
  <si>
    <t>Curr. Ther. Res. Clin. Exp. 56, 1298–1306</t>
  </si>
  <si>
    <t>https://doi.org/10.1016/0011-393X(95)85074-0</t>
  </si>
  <si>
    <t>Critical Time (4-8AM) SBP, mmHg</t>
  </si>
  <si>
    <t>Critical Time (4-8AM) DBP, mmHg</t>
  </si>
  <si>
    <t>DRUG_HALF_LIFE</t>
  </si>
  <si>
    <t>Hermida 2019</t>
  </si>
  <si>
    <t>Zappe 2015</t>
  </si>
  <si>
    <t>Ruben 2019</t>
  </si>
  <si>
    <t>Chipchura 2018</t>
  </si>
  <si>
    <t>Bach-Huynh 2009</t>
  </si>
  <si>
    <t>Racca 2019</t>
  </si>
  <si>
    <t>Tiwari 2020</t>
  </si>
  <si>
    <t>Packard 2020</t>
  </si>
  <si>
    <t>Ren 2019</t>
  </si>
  <si>
    <t>de Bree 2020</t>
  </si>
  <si>
    <t>Bolk 2010</t>
  </si>
  <si>
    <t>Reinberg 1978</t>
  </si>
  <si>
    <t>Reinberg 1966</t>
  </si>
  <si>
    <t>Bonten 2015</t>
  </si>
  <si>
    <t>Wang 2013</t>
  </si>
  <si>
    <t>Ayala 2013</t>
  </si>
  <si>
    <t>Zeng 2011</t>
  </si>
  <si>
    <t>Asmar 2011</t>
  </si>
  <si>
    <t>Hermida 2010</t>
  </si>
  <si>
    <t>Hoshino 2010</t>
  </si>
  <si>
    <t>Hermida 2009</t>
  </si>
  <si>
    <t>Tharavanij 2010</t>
  </si>
  <si>
    <t>Ozaydin 2006</t>
  </si>
  <si>
    <t>Wallace 2003</t>
  </si>
  <si>
    <t>Lund TM 2002</t>
  </si>
  <si>
    <t>Saito Y 1991</t>
  </si>
  <si>
    <t>Brunner-Ziegler 2016</t>
  </si>
  <si>
    <t>Montaigne 2017</t>
  </si>
  <si>
    <t>Buttgereit 2008</t>
  </si>
  <si>
    <t>Arvidson 1997</t>
  </si>
  <si>
    <t>Hendel 1995</t>
  </si>
  <si>
    <t>Morrison 1988</t>
  </si>
  <si>
    <t>Gaultier 1988</t>
  </si>
  <si>
    <t>Beam 1992</t>
  </si>
  <si>
    <t>Long 2016</t>
  </si>
  <si>
    <t>Hermida 2007</t>
  </si>
  <si>
    <t>Hermida 2005</t>
  </si>
  <si>
    <t>Qiu 2003</t>
  </si>
  <si>
    <t>White 1999</t>
  </si>
  <si>
    <t>Morgan 1997</t>
  </si>
  <si>
    <t>Witte 1993</t>
  </si>
  <si>
    <t>Elliott 2001</t>
  </si>
  <si>
    <t>Rajput 2011</t>
  </si>
  <si>
    <t>Ahren 2013</t>
  </si>
  <si>
    <t>Haye 2005</t>
  </si>
  <si>
    <t>Kitahara 2004</t>
  </si>
  <si>
    <t>Mengden 1996</t>
  </si>
  <si>
    <t>Myburgh 1993</t>
  </si>
  <si>
    <t>Hermida 2008</t>
  </si>
  <si>
    <t>glucagon-like peptide-1 receptor agonist</t>
  </si>
  <si>
    <t>retrospective</t>
  </si>
  <si>
    <t>Can an angiotensin-converting enzyme inhibitor with a short half-life effectively lower blood pressure for 24 hours</t>
  </si>
  <si>
    <t>Am. Heart J. 123, 1421–1425</t>
  </si>
  <si>
    <t>Palatini P</t>
  </si>
  <si>
    <t>Greminger 1994</t>
  </si>
  <si>
    <t>Kohno 2000</t>
  </si>
  <si>
    <t>Umeda T 1994</t>
  </si>
  <si>
    <t>24 h MBP, mmHg</t>
  </si>
  <si>
    <t>Early morning MBP, mmHg</t>
  </si>
  <si>
    <t>Krasinska 2020</t>
  </si>
  <si>
    <t>Krasinska 2018</t>
  </si>
  <si>
    <t>Fogari 1993</t>
  </si>
  <si>
    <t>Palatini 1993</t>
  </si>
  <si>
    <t>Chronopharmacology of captopril plus hydrochlorothiazide in hypertension: morning versus evening dosing</t>
  </si>
  <si>
    <t>Chronobiol. Int. 8, 506–510</t>
  </si>
  <si>
    <t>Middeke M, Kluglich M, Holzgreve H</t>
  </si>
  <si>
    <t>ACEi + diuretic</t>
  </si>
  <si>
    <t>Middeke 1992</t>
  </si>
  <si>
    <t>Circadian variation in vascular tone and its relation to alpha-sympathetic vasoconstrictor activity</t>
  </si>
  <si>
    <t>Panza JA, Epstein SE, Quyyumi AA</t>
  </si>
  <si>
    <t>N. Engl. J. Med. 325, 986–990</t>
  </si>
  <si>
    <t>Max decrease in SBP, mmHg (8AM vs 2PM arms)</t>
  </si>
  <si>
    <t>Langner 1998</t>
  </si>
  <si>
    <t>Circadian changes in the pharmacokinetics and cardiovascular effects of oral propranolol in healthy subjects</t>
  </si>
  <si>
    <t>Langner B, Lemmer B</t>
  </si>
  <si>
    <t>Eur. J. Clin. Pharmacol. 33, 619–624</t>
  </si>
  <si>
    <t>Kim 2013</t>
  </si>
  <si>
    <t>Yoon  2011</t>
  </si>
  <si>
    <t>Plakogiannis 2005</t>
  </si>
  <si>
    <t>Triglycerides at week 4, mg/dL</t>
  </si>
  <si>
    <t>prospective</t>
  </si>
  <si>
    <t>DESIGN_SUMMARY</t>
  </si>
  <si>
    <t>NIght DBP, mmHg</t>
  </si>
  <si>
    <t>Day MAP, mmHg</t>
  </si>
  <si>
    <t>normolipidemic subjects</t>
  </si>
  <si>
    <t>Nocturnal forced expiratory volume in 1 second (FEV-1)</t>
  </si>
  <si>
    <t>Overall steady state forced expiratory volume in 1 second (FEV-1)</t>
  </si>
  <si>
    <t>Calverley 2003</t>
  </si>
  <si>
    <t>airway patency</t>
  </si>
  <si>
    <t>24 h HR</t>
  </si>
  <si>
    <t>Day HR</t>
  </si>
  <si>
    <t>Night HR</t>
  </si>
  <si>
    <t>7AM SBP</t>
  </si>
  <si>
    <t>7AM DBP</t>
  </si>
  <si>
    <t>blood pressure</t>
  </si>
  <si>
    <t>coagulation</t>
  </si>
  <si>
    <t>CONSIDERED_MEASURE</t>
  </si>
  <si>
    <t>MEASURE</t>
  </si>
  <si>
    <t>OUTCOME_TERM</t>
  </si>
  <si>
    <t>lipid levels</t>
  </si>
  <si>
    <t>pain</t>
  </si>
  <si>
    <t>surgical outcomes</t>
  </si>
  <si>
    <t>trained immunity</t>
  </si>
  <si>
    <t>allergic reaction</t>
  </si>
  <si>
    <t>Max inhibition of local skin reaction to histamine (as % of control) (terfenadine/wheal)</t>
  </si>
  <si>
    <t>proteinuria, g/24h</t>
  </si>
  <si>
    <t>glomerular filtration rate (GFR), mL/min/1.73m^2</t>
  </si>
  <si>
    <t>myocardial hypertrophy</t>
  </si>
  <si>
    <t>Morning DBP, mmHg</t>
  </si>
  <si>
    <t>pre-hypertension</t>
  </si>
  <si>
    <t>Total-chol, mmol/l</t>
  </si>
  <si>
    <t>LDL-chol at 4 wks, mg/dl</t>
  </si>
  <si>
    <t>LDL-chol at 8 wks, mg/dl</t>
  </si>
  <si>
    <t>Change in HDL-chol, mg/dL</t>
  </si>
  <si>
    <t>Total-LDL, mmol/l</t>
  </si>
  <si>
    <t>Total-chol at 6 weeks, mg/dl</t>
  </si>
  <si>
    <t xml:space="preserve">Total-chol/HDL-chol ratio, </t>
  </si>
  <si>
    <t>HDL-chol at 6 wks, mg/dl</t>
  </si>
  <si>
    <t>LDL-chol at 6 wks, mg/dl</t>
  </si>
  <si>
    <t>Total-chol, mg/dl (5mg dose)</t>
  </si>
  <si>
    <t>Triyglycerides, mg/dl (5mg dose)</t>
  </si>
  <si>
    <t>HDL-chol, mg/dl (5mg dose)</t>
  </si>
  <si>
    <t>LDL-chol, mg/dl (5mg dose)</t>
  </si>
  <si>
    <t>yes</t>
  </si>
  <si>
    <t xml:space="preserve">Morning prothrombin fragment F1+2, nmol L−1 </t>
  </si>
  <si>
    <t>healthy participants</t>
  </si>
  <si>
    <t>Morning plasmin–antiplasmin complex, mg/mL^2</t>
  </si>
  <si>
    <t>duration of morning stiffness,  min</t>
  </si>
  <si>
    <t>pain at rest, visual analog scale</t>
  </si>
  <si>
    <t>Lansbury index</t>
  </si>
  <si>
    <t>Ritchie index</t>
  </si>
  <si>
    <t>IL-6, pg/L</t>
  </si>
  <si>
    <t>projected mean &amp; SD</t>
  </si>
  <si>
    <t>primary outcome; modified release (4 h delay) nightime vs immediate morning</t>
  </si>
  <si>
    <t>change in duration of morning stiffness, min</t>
  </si>
  <si>
    <t>non-dipping, essential hypertension</t>
  </si>
  <si>
    <t>Night SBP, % change from baseline</t>
  </si>
  <si>
    <t>Night DBP, % change from baseline</t>
  </si>
  <si>
    <t>24 h Peak SBP, mmHg</t>
  </si>
  <si>
    <t>24 h Peak DBP, mmHg</t>
  </si>
  <si>
    <t>Day SBP load, ie. % of measures that deviate from normal BP range</t>
  </si>
  <si>
    <t>Day DBP load, ie. % of measures that deviate from normal BP range</t>
  </si>
  <si>
    <t>Night SBP load, ie. % of measures that deviate from normal BP range</t>
  </si>
  <si>
    <t>Night DBP load, ie. % of measures that deviate from normal BP range</t>
  </si>
  <si>
    <t>24 h SBP load, ie. % of measures that deviate from normal BP range</t>
  </si>
  <si>
    <t>Night SBP fall, mmHg</t>
  </si>
  <si>
    <t>Night DBP fall, mmHg</t>
  </si>
  <si>
    <t>24 h SBP, change score, mmHg</t>
  </si>
  <si>
    <t>24 h DBP, change score, mmHg</t>
  </si>
  <si>
    <t>Day SBP, change score, mmHg</t>
  </si>
  <si>
    <t>Day DBP, change score, mmHg</t>
  </si>
  <si>
    <t>Night SBP, change score, mmHg</t>
  </si>
  <si>
    <t>Night DBP, change score, mmHg</t>
  </si>
  <si>
    <t>least squares means; converted SEM to SD</t>
  </si>
  <si>
    <t>inferred SD for morning arm; this is an estimate</t>
  </si>
  <si>
    <t>assumed even sample size b/t arms, not specified</t>
  </si>
  <si>
    <t>study reported subset analyses, ie. single time point analysis and dipper status that were unregistered; thus not included in meta-analysis</t>
  </si>
  <si>
    <t>crossover arm 2 (Evening first)</t>
  </si>
  <si>
    <t>crossover arm 1 (Morning first)</t>
  </si>
  <si>
    <t>projected mean &amp; SE, converted SEM to SD; this is a best estimate</t>
  </si>
  <si>
    <t>mild-to-moderate essential hypertension</t>
  </si>
  <si>
    <t>Hashimoto's thyroiditis hypothyroidism</t>
  </si>
  <si>
    <t>glucose levels</t>
  </si>
  <si>
    <t>Change in HbA1c from baseline, mmol/mol</t>
  </si>
  <si>
    <t xml:space="preserve">Change in total symptom score (TSS) </t>
  </si>
  <si>
    <t>Day HR, bpm</t>
  </si>
  <si>
    <t>Night HR, bpm</t>
  </si>
  <si>
    <t>Day MBP, mmHg</t>
  </si>
  <si>
    <t>Night MBP, mmHg</t>
  </si>
  <si>
    <t>LDL-Chol at week 8, mg/dL</t>
  </si>
  <si>
    <t>Total-chol at week 8, mg/dL</t>
  </si>
  <si>
    <t>HDL-Chol at week 8, mg/dL</t>
  </si>
  <si>
    <t>computed SEM from CI for differences in means, then computed within-group SDs from this; primary endpoint % change in LDL-Chol; least squares mean</t>
  </si>
  <si>
    <t>LDL-Chol, change at week 6, %</t>
  </si>
  <si>
    <t>Total-Chol at week 4, mg/dL</t>
  </si>
  <si>
    <t>LDL-C holat week 4, mg/dL</t>
  </si>
  <si>
    <t>HDL-Chol at week 4, mg/dL</t>
  </si>
  <si>
    <t>hyperlipidemia in PCI; single-vessel disease who underwent first elective PCI</t>
  </si>
  <si>
    <t>Total-chol at 6 mo, mg/dl</t>
  </si>
  <si>
    <t>Triglyceride at 6 mo, mg/dl</t>
  </si>
  <si>
    <t>HDL-chol at 6 mo, mg/dl</t>
  </si>
  <si>
    <t>LDL-chol at 6 mo, mg/dl</t>
  </si>
  <si>
    <t>Stenosis diameter on angiography, %</t>
  </si>
  <si>
    <t>elderly patients with grade 1–2 essential hypertension</t>
  </si>
  <si>
    <t>uncomplicated grade 1 and 2 hypertension</t>
  </si>
  <si>
    <t>previously untreated grade 1 or 2 uncomplicated essential hypertension</t>
  </si>
  <si>
    <t>previously untreated and uncomplicated essential hypertension</t>
  </si>
  <si>
    <t>Events</t>
  </si>
  <si>
    <t>mild to moderate hypertension</t>
  </si>
  <si>
    <t>previously untreated and uncomplicated grade1-2 essential hypertension</t>
  </si>
  <si>
    <t>essential hypertension</t>
  </si>
  <si>
    <t>24 h MAP, mmHg</t>
  </si>
  <si>
    <t>Morning_Afternoon_Night</t>
  </si>
  <si>
    <t>Pulmonary resistance before:after treatment ratio</t>
  </si>
  <si>
    <t>visual estimation from plot; selected 7.30A (max) vs 11.30AM (min) as two times</t>
  </si>
  <si>
    <t>Smolensky 1987</t>
  </si>
  <si>
    <t>visual estimation from plot; selected 6.00A (min) vs 9PM (max) as two times</t>
  </si>
  <si>
    <t>Multiple</t>
  </si>
  <si>
    <t>Barnes 1982</t>
  </si>
  <si>
    <t>M1 and M2 are different outcome measures (by time) from different treatments (by time); differences should be interpreted accordingly</t>
  </si>
  <si>
    <t>24 h Raw, cm H20/l sec</t>
  </si>
  <si>
    <t>24 h FVC, %</t>
  </si>
  <si>
    <t>24 h FEV-1, %</t>
  </si>
  <si>
    <t>24 h Gsaw, cm H20/sec</t>
  </si>
  <si>
    <t>Acute PEF, l/min</t>
  </si>
  <si>
    <t>Nocturnal (supine) gastric pH</t>
  </si>
  <si>
    <t>GERD; moderate or severe oesophagitis</t>
  </si>
  <si>
    <t>gastric reflux</t>
  </si>
  <si>
    <t>reports only mean difference</t>
  </si>
  <si>
    <t>24 h gastric pH</t>
  </si>
  <si>
    <t>Overnight (4AM) FEV-1</t>
  </si>
  <si>
    <t>Bedtime (8PM) FEV-1</t>
  </si>
  <si>
    <t>Total white cells, x10^4/mL</t>
  </si>
  <si>
    <t>selected 1500 (best) vs 800 (worst) as two times for comparison</t>
  </si>
  <si>
    <t>&gt;2</t>
  </si>
  <si>
    <t>Hermida 2005(ii)</t>
  </si>
  <si>
    <t>parallel</t>
  </si>
  <si>
    <t>crossover</t>
  </si>
  <si>
    <t>FDA_TIMING_DIRECTIVE</t>
  </si>
  <si>
    <t>DOSE</t>
  </si>
  <si>
    <t>75mg</t>
  </si>
  <si>
    <t>80mg</t>
  </si>
  <si>
    <t>100mg</t>
  </si>
  <si>
    <t>CVD</t>
  </si>
  <si>
    <t>CVD + hypertension</t>
  </si>
  <si>
    <t>no</t>
  </si>
  <si>
    <t>mild hypertension</t>
  </si>
  <si>
    <t>J Am Coll Cardiol</t>
  </si>
  <si>
    <t>Hermida RC, Ayala DE, Calvo C, Lopez JE</t>
  </si>
  <si>
    <t>Aspirin administered at bedtime, but not on awakening, has an effect on ambulatory blood pressure in hypertensive patients</t>
  </si>
  <si>
    <t>Administration time-dependent influence of aspirin on blood pressure in pregnant women</t>
  </si>
  <si>
    <t>Hermida RC, Ayala DE, Iglesias M</t>
  </si>
  <si>
    <t>Hypertension. 2003 Mar;41(3 Pt 2):651-6.</t>
  </si>
  <si>
    <t>PATIENT_BLIND</t>
  </si>
  <si>
    <t>healthy</t>
  </si>
  <si>
    <t>MEAN_AGE</t>
  </si>
  <si>
    <t>PCT_FEMALE</t>
  </si>
  <si>
    <t>Indian J Nephrol</t>
  </si>
  <si>
    <t>CKD + nondipping BP</t>
  </si>
  <si>
    <t>mild-to-moderate hypertension</t>
  </si>
  <si>
    <t>moderate essential hypertension</t>
  </si>
  <si>
    <t>untreated dipper stage I or II hypertension</t>
  </si>
  <si>
    <t>untreated nondipper stage I or II hypertension</t>
  </si>
  <si>
    <t>essential hypertension stage I or II</t>
  </si>
  <si>
    <t>uncontrolled hypertension w/nondipping pattern</t>
  </si>
  <si>
    <t>Blood Press Monit</t>
  </si>
  <si>
    <t xml:space="preserve">Farah R, Makhoul N, Arraf Z, Khamisy-Farah R </t>
  </si>
  <si>
    <t>Switching therapy to bedtime for uncontrolled hypertension with a nondipping pattern: a prospective randomized-controlled study</t>
  </si>
  <si>
    <t>Farah 2013</t>
  </si>
  <si>
    <t>Fujiwara F, Hoshide S, Yano Y, Kanegae H, Kario K</t>
  </si>
  <si>
    <t>The Journal of Clinical Hypertension</t>
  </si>
  <si>
    <t>Comparison of morning vs bedtime administration of the combination of valsartan/amlodipine on nocturnal brachial and central blood pressure in patients with hypertension</t>
  </si>
  <si>
    <t>Fujiwara 2017</t>
  </si>
  <si>
    <t>essential hypertension; mixed T2D, CKD, dipper status</t>
  </si>
  <si>
    <t>losartan, indapamide</t>
  </si>
  <si>
    <t>angiotensin receptor blocker + diuretic</t>
  </si>
  <si>
    <t>ARB/diuretic</t>
  </si>
  <si>
    <t>2, 16</t>
  </si>
  <si>
    <t>essential hypertension stage II to III</t>
  </si>
  <si>
    <t>Int. J. Clin. Exp. Med.</t>
  </si>
  <si>
    <t>Huangfu W, Duan P, Xiang D, Gao R</t>
  </si>
  <si>
    <t>Administration time-dependent effects of combination therapy on ambulatory blood pressure in hypertensive subjects</t>
  </si>
  <si>
    <t>ARB + diuretic</t>
  </si>
  <si>
    <t>Huangfu 2015</t>
  </si>
  <si>
    <t>24h SBP, change score, mmHg</t>
  </si>
  <si>
    <t>40, 24</t>
  </si>
  <si>
    <t>Hypertension w/paroxysmal atrial fibrillation</t>
  </si>
  <si>
    <t>J. Clin. Hypertens.</t>
  </si>
  <si>
    <t>K. Kario, et al</t>
  </si>
  <si>
    <t>Dose Timing of an Angiotensin II Receptor Blocker/Calcium Channel Blocker Combination in Hypertensive Patients With Paroxysmal Atrial Fibrillation</t>
  </si>
  <si>
    <t>amlodipine, telmisartan</t>
  </si>
  <si>
    <t>hypertension w/paroxysmal atrial fibrillation</t>
  </si>
  <si>
    <t>Kario 2016</t>
  </si>
  <si>
    <t>ClinicalTrials.gov_NCT01748253</t>
  </si>
  <si>
    <t>registered primary endpoint</t>
  </si>
  <si>
    <t>aspirin, lisiniopril, simvastatin, hydrochlorothiazide</t>
  </si>
  <si>
    <t>polypill inc. statin</t>
  </si>
  <si>
    <t>cardiovascular disease</t>
  </si>
  <si>
    <t>M. Lafeber, et al</t>
  </si>
  <si>
    <t>Comparison of a morning polypill, evening polypill and individual pills on LDL-cholesterol, ambulatory blood pressure and adherence in high-risk patients; a randomized crossover trial</t>
  </si>
  <si>
    <t>International Journal of Cardiology</t>
  </si>
  <si>
    <t>Lafeber 2015</t>
  </si>
  <si>
    <t>ClinicalTrials.gov_NCT01506505</t>
  </si>
  <si>
    <t>athersclerotic CVD wi/an indication for the use of cardiovascular medication</t>
  </si>
  <si>
    <t>LDL-chol, mmol/L</t>
  </si>
  <si>
    <t>Total-chol, mmol/L</t>
  </si>
  <si>
    <t>HDL-chol, mmol/L</t>
  </si>
  <si>
    <t>Hypertension Research 36, 202–207 (2013)</t>
  </si>
  <si>
    <t>H. Mori, et al</t>
  </si>
  <si>
    <t>Comparison of effects of angiotensin II receptor blocker on morning home blood pressure and cardiorenal protection between morning administration and evening administration in hypertensive patients: the COMPATIBLE study</t>
  </si>
  <si>
    <t>H. Mori 2013</t>
  </si>
  <si>
    <t>UMIN- CTR; trial No. UMIN000013519</t>
  </si>
  <si>
    <t>previously untreated primary hypertension</t>
  </si>
  <si>
    <t>morning home SBP,  change score, mmHg</t>
  </si>
  <si>
    <t>morning home DBP,  change score, mmHg</t>
  </si>
  <si>
    <t>hypertension w/nondipper profile</t>
  </si>
  <si>
    <t>K. Ushijima, et al.</t>
  </si>
  <si>
    <t>J. Pharmacol. Sci. 127, 62–68 (2015)</t>
  </si>
  <si>
    <t>Different chronotherapeutic effects of valsartan and olmesartan in non-dipper hypertensive patients during valsartan treatment at morning</t>
  </si>
  <si>
    <t>Ushijima 2015</t>
  </si>
  <si>
    <t>did not include non-randomized valsartan trial arms</t>
  </si>
  <si>
    <t>Serum creatinine, mg/dL</t>
  </si>
  <si>
    <t>eGFR, mL/min/1.73m2</t>
  </si>
  <si>
    <t>Journal of Hypertension 33, 393–400 (2015)</t>
  </si>
  <si>
    <t>Evening versus morning dosing of antihypertensive drugs in hypertensive patients with sleep apnoea</t>
  </si>
  <si>
    <t>A. Kasiakogias, et al.</t>
  </si>
  <si>
    <t>Kasiakogias 2015</t>
  </si>
  <si>
    <t xml:space="preserve">stage I–II untreated essential hypertension and at least moderate OSA newly diagnosed </t>
  </si>
  <si>
    <t>Y. Serinel, et al.</t>
  </si>
  <si>
    <t>Thorax 72, 550–558 (2017)</t>
  </si>
  <si>
    <t>Chronotherapy for hypertension in obstructive sleep apnoea (CHOSA): a randomised, double-blind, placebo-controlled crossover trial</t>
  </si>
  <si>
    <t>moderate to severe OSA with stage I/II hypertension</t>
  </si>
  <si>
    <t>Serinel 2017</t>
  </si>
  <si>
    <t>ACTRN12611000216910</t>
  </si>
  <si>
    <t>Administration-time-dependent effects of hypertension treatment on ambulatory blood pressure in patients with chronic kidney disease</t>
  </si>
  <si>
    <t>hypertension w/CKD</t>
  </si>
  <si>
    <t>Crespo, Juan J; Piñeiro, Luis; Otero, Alfonso; Castiñeira, Carmen; Ríos, María T; Regueiro, Antonio; Mojón, Artemio; Lorenzo, Sonia; Ayala, Diana E; Hermida, Ramón C; {Hygia Project Investigators}</t>
  </si>
  <si>
    <t>Chronobiol. Int.</t>
  </si>
  <si>
    <t>African Americans with hypertensive chronic kidney disease (CKD) and controlled office BP</t>
  </si>
  <si>
    <t>Rahman, Mahboob; Greene, Tom; Phillips, Robert A; Agodoa, Lawrence Y; Bakris, George L; Charleston, Jeanne; Contreras, Gabriel; Gabbai, Francis; Hiremath, Leena; Jamerson, Kenneth; Kendrick, Cynthia; Kusek, John W; Lash, James P; Lea, Janice; Miller 3rd, Edgar R; Rostand, Stephen; Toto, Robert; Wang, Xulei; Wright Jr, Jackson T; Appel, Lawrence J</t>
  </si>
  <si>
    <t>A trial of 2 strategies to reduce nocturnal blood pressure in blacks with chronic kidney disease</t>
  </si>
  <si>
    <t>Hypertension</t>
  </si>
  <si>
    <t>Rahman 2013</t>
  </si>
  <si>
    <t>Clinical trials.gov_NCT00582777</t>
  </si>
  <si>
    <t>Day-Night SBP diff, mmHg</t>
  </si>
  <si>
    <t>Day-Night DBP diff, mmHg</t>
  </si>
  <si>
    <t>hypertension w/o diabetes</t>
  </si>
  <si>
    <t>Bedtime ingestion of hypertension medications reduces the risk of new-onset type 2 diabetes: a randomised controlled trial</t>
  </si>
  <si>
    <t>Hermida, Ramón C; Ayala, Diana E; Mojón, Artemio; Fernández, José R</t>
  </si>
  <si>
    <t>Diabetologia</t>
  </si>
  <si>
    <t>Hjortkjær, Henrik Øder; Jensen, Tonny; Kofoed, Klaus F; Mogensen, Ulrik M; Sigvardsen, Per Ejlstrup; Køber, Lars; Hilsted, Karen Lisa; Corinth, Helle; Theilade, Simone; Hilsted, Jannik</t>
  </si>
  <si>
    <t>Nocturnal antihypertensive treatment in patients with type 1 diabetes with autonomic neuropathy and non-dipping: a randomised, placebo-controlled, double-blind cross-over trial</t>
  </si>
  <si>
    <t>BMJ open</t>
  </si>
  <si>
    <t>Hjortkjær 2016</t>
  </si>
  <si>
    <t>EudraCT2012-002136-90</t>
  </si>
  <si>
    <t xml:space="preserve">normoalbuminuric patients with T1D with cardiovascular autonomic neuropathy (CAN) and non-dipping hypertension </t>
  </si>
  <si>
    <t>SBP dipping, %</t>
  </si>
  <si>
    <t>DBP dipping, %</t>
  </si>
  <si>
    <t>MAP dipping, %</t>
  </si>
  <si>
    <t xml:space="preserve">type 2 diabetes mellitus and nocturnal hypertension </t>
  </si>
  <si>
    <t>Rossen, Niklas Blach; Knudsen, Søren Tang; Fleischer, Jesper; Hvas, Anne-Mette; Ebbehøj, Eva; Poulsen, Per Løgstrup; Hansen, Klavs Würgler</t>
  </si>
  <si>
    <t>Targeting nocturnal hypertension in type 2 diabetes mellitus</t>
  </si>
  <si>
    <t>Rossen 2014</t>
  </si>
  <si>
    <t>ClinicalTrials.gov_NCT01158625</t>
  </si>
  <si>
    <t>untreated mild hypertension</t>
  </si>
  <si>
    <t>SEX DIFFERENCES IN THE ADMINISTRATION-TIME-DEPENDENT EFFECTS OF LOW-DOSE ASPIRIN ON AMBULATORY BLOOD PRESSURE IN HYPERTENSIVE SUBJECTS</t>
  </si>
  <si>
    <t>Ayala, Diana E; Hermida, Ramón C</t>
  </si>
  <si>
    <t>Chronobiology International</t>
  </si>
  <si>
    <t>treated hypertensive patients routinely taking aspirin for cardiovascular prevention</t>
  </si>
  <si>
    <t>Is there a BP benefit of changing the time of aspirin administration in treated hypertensive patients?</t>
  </si>
  <si>
    <t>Dimitrov, Yves; Baguet, Jean-Philippe; Hottelart, Carine; Marboeuf, Philippe; Tartiere, Jean-Michel; Ducher, Michel; Fauvel, Jean-Pierre</t>
  </si>
  <si>
    <t>Eur. J. Prev. Cardiol.</t>
  </si>
  <si>
    <t>Dimitrov 2012</t>
  </si>
  <si>
    <t>stated primary outcome</t>
  </si>
  <si>
    <t>10.4236/wjcd.2015.53009.</t>
  </si>
  <si>
    <t xml:space="preserve">treated hypertension including combination AH therapy for &gt; 1 year and low-dose ASA (50 - 250 mg/day) </t>
  </si>
  <si>
    <t>World Journal of Cardiovascular Diseases</t>
  </si>
  <si>
    <t>Suomela, I; Varis, J; Kantola, I</t>
  </si>
  <si>
    <t>The antihypertensive effect of ASA lasts less than 24 hours?</t>
  </si>
  <si>
    <t>Suomela 2015</t>
  </si>
  <si>
    <t>Morning SBP, home, mmHg</t>
  </si>
  <si>
    <t>Evening SBP, home, mmHg</t>
  </si>
  <si>
    <t>Morning DBP, home, mmHg</t>
  </si>
  <si>
    <t>Evening DBP, home, mmHg</t>
  </si>
  <si>
    <t>warfarin</t>
  </si>
  <si>
    <t>doxazosin</t>
  </si>
  <si>
    <t>nocturia</t>
  </si>
  <si>
    <t>rocuronium</t>
  </si>
  <si>
    <t>mixed surgery</t>
  </si>
  <si>
    <t>healthy volunteers</t>
  </si>
  <si>
    <t>temozolomide (TMZ)</t>
  </si>
  <si>
    <t>ipratropium bromide</t>
  </si>
  <si>
    <t xml:space="preserve">methotrexate </t>
  </si>
  <si>
    <t>ranitidine</t>
  </si>
  <si>
    <t>duodenal ulcer, oesophagitis, and healthy volunteers known to be gastric nocturnal hypersecretors</t>
  </si>
  <si>
    <t>rheumatoid arthritis</t>
  </si>
  <si>
    <t>mometasone furoate</t>
  </si>
  <si>
    <t>adult mild to moderate asthma with &gt; = 3-month history of ICS</t>
  </si>
  <si>
    <t xml:space="preserve">theophylline </t>
  </si>
  <si>
    <t>nocturnal asthma</t>
  </si>
  <si>
    <t>insulin glargine</t>
  </si>
  <si>
    <t>inject</t>
  </si>
  <si>
    <t>multiple sclerosis</t>
  </si>
  <si>
    <t>raloxifene</t>
  </si>
  <si>
    <t>post-menopausal osteoporosis</t>
  </si>
  <si>
    <t>selective estrogen receptor modulator</t>
  </si>
  <si>
    <t>SERM</t>
  </si>
  <si>
    <t>guanfacine extended release (GXR)</t>
  </si>
  <si>
    <t>pediatric attention-deficit/hyperactivity disorder (ADHD)</t>
  </si>
  <si>
    <t>centrally acting alpha2A-adrenergic receptor agonists</t>
  </si>
  <si>
    <t>A2-agonist</t>
  </si>
  <si>
    <t>beta blocker</t>
  </si>
  <si>
    <t>beta  blocker</t>
  </si>
  <si>
    <t>growth hormone (GH)</t>
  </si>
  <si>
    <t>peptide hormone</t>
  </si>
  <si>
    <t>growth hormone-deficiency</t>
  </si>
  <si>
    <t>SKF 94482</t>
  </si>
  <si>
    <t>histamine H2 antagonist</t>
  </si>
  <si>
    <t>antihistamine</t>
  </si>
  <si>
    <t>nitrate</t>
  </si>
  <si>
    <t>Clin. Exp. Hypertens.</t>
  </si>
  <si>
    <t>Khodadoustan, Samira; Nasri Ashrafi, Iran; Vanaja Satheesh, K; Kumar, Chethan; Hs, Shekar; S, Chikkalingaiah</t>
  </si>
  <si>
    <t>Evaluation of the effect of time dependent dosing on pharmacokinetic and pharmacodynamics of amlodipine in normotensive and hypertensive human subjects</t>
  </si>
  <si>
    <t>primary hypertension</t>
  </si>
  <si>
    <t>Khodadoustan 2017</t>
  </si>
  <si>
    <t>anticoagulant</t>
  </si>
  <si>
    <t>established evening warfarin users</t>
  </si>
  <si>
    <t xml:space="preserve">ClinicalTrials.gov_NCT02376803 </t>
  </si>
  <si>
    <t>The Effect of Warfarin Administration Time on Anticoagulation Stability (INRange): A Pragmatic Randomized Controlled Trial</t>
  </si>
  <si>
    <t>Garrison, Scott R; Green, Lee; Kolber, Michael R; Korownyk, Christina S; Olivier, Nicole M; Heran, Balraj S; Flesher, Mary E; Allan, G Michael</t>
  </si>
  <si>
    <t>Ann. Fam. Med.</t>
  </si>
  <si>
    <t>Garrison 2020</t>
  </si>
  <si>
    <t>Absolute change in time within therapeutic range TTR, %</t>
  </si>
  <si>
    <t>Percent change in the proportion of time spent outside the target INR range @ 7 months post-treatment, %</t>
  </si>
  <si>
    <t>CCB</t>
  </si>
  <si>
    <t>CCB/diuretic</t>
  </si>
  <si>
    <t>relapsing multiple sclerosis</t>
  </si>
  <si>
    <t>interferon</t>
  </si>
  <si>
    <t>immunomodulator</t>
  </si>
  <si>
    <t>IFN-β1a</t>
  </si>
  <si>
    <t>Administration of subcutaneous interferon beta 1a in the evening: data from RELIEF study</t>
  </si>
  <si>
    <t>Patti, Francesco; {RELIEF Study Group}; Zimatore, Giovanni Bosco; Morra, Vincenzo Brescia; Aguglia, Umberto; Bossio, Roberto Bruno; Marziolo, Roberto; Valentino, Paola; Chisari, Clara Grazia; Capacchione, Antonio; Zappia, Mario</t>
  </si>
  <si>
    <t>Journal of Neurology</t>
  </si>
  <si>
    <t>CCB + diuretic</t>
  </si>
  <si>
    <t>CCB + ARB</t>
  </si>
  <si>
    <t>PPI</t>
  </si>
  <si>
    <t>glucagonR-i</t>
  </si>
  <si>
    <t>PDEi</t>
  </si>
  <si>
    <t>VKA</t>
  </si>
  <si>
    <t>cytokine</t>
  </si>
  <si>
    <t>Patti 2020</t>
  </si>
  <si>
    <t>ClinicalTrials.gov_NCT02064816</t>
  </si>
  <si>
    <t xml:space="preserve"> Flu-like symptom severity, end of study wk12, MSTCQ score</t>
  </si>
  <si>
    <t>Effect of time of administration on the pharmacokinetics and tolerance of doxazosin in healthy male volunteers</t>
  </si>
  <si>
    <t>Vashi, V; Chung, M; Dias, N; Phillips, K</t>
  </si>
  <si>
    <t>J. Clin. Pharmacol.</t>
  </si>
  <si>
    <t>The effect of time of day on the duration of neuromuscular blockade elicited by rocuronium</t>
  </si>
  <si>
    <t>Cheeseman, J F; Merry, A F; Pawley, M D M; de Souza, R L; Warman, G R</t>
  </si>
  <si>
    <t>Anaesthesia</t>
  </si>
  <si>
    <t>Cheeseman 2007</t>
  </si>
  <si>
    <t>selected max 8-11AM vs min 2-5PM 3-hr bins for SMD; converted 95CIs to SD</t>
  </si>
  <si>
    <t>metrifonate</t>
  </si>
  <si>
    <t>acetylcholinesterase inhibitor</t>
  </si>
  <si>
    <t>AChEI</t>
  </si>
  <si>
    <t>nAChRI</t>
  </si>
  <si>
    <t>mAChRI</t>
  </si>
  <si>
    <t>The effect of food and time of administration on the pharmacokinetic and pharmacodynamic profile of metrifonate</t>
  </si>
  <si>
    <t>Heinig, R; Sachse, R</t>
  </si>
  <si>
    <t>Int. J. Clin. Pharmacol. Ther.</t>
  </si>
  <si>
    <t>Boaventura, L C; Araujo, A C; Martinez, J B; Vianna, E O</t>
  </si>
  <si>
    <t>Effects of ipratropium on exercise-induced bronchospasm</t>
  </si>
  <si>
    <t>Int. J. Sports Med.</t>
  </si>
  <si>
    <t>moderate or severe asthma w/exercise-induced bronchospasm (EIB)</t>
  </si>
  <si>
    <t>folic acid antagonist</t>
  </si>
  <si>
    <t>Methotrexate chronotherapy is effective against rheumatoid arthritis</t>
  </si>
  <si>
    <t>To, Hideto; Yoshimatsu, Hiromichi; Tomonari, Mari; Ida, Hiroaki; Tsurumoto, Toshiyuki; Tsuji, Yasuhiro; Sonemoto, Emi; Shimasaki, Noriko; Koyanagi, Satoru; Sasaki, Hitoshi; Ieiri, Ichiro; Higuchi, Shun; Kawakami, Atsushi; Ueki, Yukitaka; Eguchi, Katsumi</t>
  </si>
  <si>
    <t>H2RAs</t>
  </si>
  <si>
    <t>MECHANISM</t>
  </si>
  <si>
    <t>MECHANISM_ABBREV</t>
  </si>
  <si>
    <t>H2 histamine receptor antagonist</t>
  </si>
  <si>
    <t>antimetabolite</t>
  </si>
  <si>
    <t>Vitamin K antagonist</t>
  </si>
  <si>
    <t>anti-FA</t>
  </si>
  <si>
    <t>Time of administration influences gastric inhibitory effects of ranitidine</t>
  </si>
  <si>
    <t>Johnston, D A; Wormsley, K G</t>
  </si>
  <si>
    <t>Scand. J. Gastroenterol.</t>
  </si>
  <si>
    <t>H1 histamine receptor antagonist</t>
  </si>
  <si>
    <t>H1RAs</t>
  </si>
  <si>
    <t>methylprednisolone</t>
  </si>
  <si>
    <t>J. Neurol. Neurosurg. Psychiatry</t>
  </si>
  <si>
    <t>Glass-Marmor, Lea; Paperna, Tamar; Ben-Yosef, Yaara; Miller, Ariel</t>
  </si>
  <si>
    <t>Chronotherapy using corticosteroids for multiple sclerosis relapses</t>
  </si>
  <si>
    <t>Duration of anesthetic effect (neuromuscular blockade), mins</t>
  </si>
  <si>
    <t>Zetterström, O; Dahl, R; Lindqvist, A; Olsson, P</t>
  </si>
  <si>
    <t>Respir. Med.</t>
  </si>
  <si>
    <t>Comparable morning versus evening administration of once-daily mometasone furoate dry powder inhaler</t>
  </si>
  <si>
    <t>Zetterstrom 2008</t>
  </si>
  <si>
    <t>DRUG_MECHANISM</t>
  </si>
  <si>
    <t>DRUG_MECHANISM_ABBREV</t>
  </si>
  <si>
    <t>corticosertoid</t>
  </si>
  <si>
    <t>vitamin K antagonist</t>
  </si>
  <si>
    <t>Reduction in daytime asthma symptom score, baseline to week 12</t>
  </si>
  <si>
    <t>Reduction in nightime asthma symptom score, baseline to week 12</t>
  </si>
  <si>
    <t>vasodilator/Ca2+ channel blocker</t>
  </si>
  <si>
    <t>factorXaI</t>
  </si>
  <si>
    <t>PDEI</t>
  </si>
  <si>
    <t>Theophylline chronotherapy of nocturnal asthma using bathyphase of circadian rhythm in peak expiratory flow rate</t>
  </si>
  <si>
    <t>Burioka, N; Sako, T; Tomita, K; Miyata, M; Suyama, H; Igishi, T; Shimizu, E</t>
  </si>
  <si>
    <t>Biomed. Pharmacother.</t>
  </si>
  <si>
    <t>type 2 diabetes mellitus</t>
  </si>
  <si>
    <t>long-acting insulin</t>
  </si>
  <si>
    <t>Lucidi, P; Cioli, P; Candeloro, P; Andreoli, A M; {others}</t>
  </si>
  <si>
    <t>Diabetes</t>
  </si>
  <si>
    <t>Pharmacokinetics and pharmacodynamics of insulin glargine given in the evening as compared with in the morning in type 2 diabetes</t>
  </si>
  <si>
    <t>Lucidi 2015</t>
  </si>
  <si>
    <t>type 2 diabetes mellitus, receiving insulin glargine with evening meal</t>
  </si>
  <si>
    <t>24 h exogenous glucose infusion rate during euglycemic clamp, GIR-AUC (0-24h)</t>
  </si>
  <si>
    <t>24 h plasma glucose, mg/dL</t>
  </si>
  <si>
    <t>24 h  free fatty acid AUC (0-24h)</t>
  </si>
  <si>
    <t>type 1 diabetes</t>
  </si>
  <si>
    <t>Improved glycemic control without an increase in severe hypoglycemic episodes in intensively treated patients with type 1 diabetes receiving morning, evening, or split dose insulin glargine</t>
  </si>
  <si>
    <t>Garg, Satish K; Gottlieb, Peter A; Hisatomi, Mary E; D'Souza, Anna; Walker, Andrew J; Izuora, Kenneth E; Chase, H Peter</t>
  </si>
  <si>
    <t>Diabetes Res. Clin. Pract.</t>
  </si>
  <si>
    <t xml:space="preserve">NCT03108027 </t>
  </si>
  <si>
    <t>PMID_DOI_NCTID</t>
  </si>
  <si>
    <t>Assess Bronchodilator Effect QVM149 Dosed Either in the Morning or Evening Compared to Placebo in Patients With Asthma (QVM149)</t>
  </si>
  <si>
    <t>Novartis QVM149: indacaterol acetate + glycopyrronium bromide + mometasone furoate</t>
  </si>
  <si>
    <t>beta adrenergic agonist + anticholinergic + immunomodulator</t>
  </si>
  <si>
    <t>beta adrenergic agonist + mAchRI + CORT</t>
  </si>
  <si>
    <t>asthma, receiving daily treatment with an inhaled corticosteroid at a low or medium daily dose</t>
  </si>
  <si>
    <t>inhaled</t>
  </si>
  <si>
    <t>34, 53, 5</t>
  </si>
  <si>
    <t>ClinicalTrials.gov_NCT03108027</t>
  </si>
  <si>
    <t>SELECTED_d</t>
  </si>
  <si>
    <t>Trough FEV1 after  24h, L</t>
  </si>
  <si>
    <t>fluticasone furoate</t>
  </si>
  <si>
    <t>persistent bronchial asthma</t>
  </si>
  <si>
    <t>24 h FEV1, standardized AUC 0-24h</t>
  </si>
  <si>
    <t>Kempsford, R D; Bal, J; Baines, A; Renaux, J; Ravindranath, R; Thomas, P S</t>
  </si>
  <si>
    <t>The efficacy of fluticasone furoate administered in the morning or evening is comparable in patients with persistent asthma</t>
  </si>
  <si>
    <t>ClinicalTrials.gov_NCT01808339</t>
  </si>
  <si>
    <t>Kempsford 2016</t>
  </si>
  <si>
    <t>NCT03108027 2019</t>
  </si>
  <si>
    <t>registered primary endpoint; converted 90CIs to SD</t>
  </si>
  <si>
    <t>fluticasone furoate + vilanterol</t>
  </si>
  <si>
    <t>immunomodulator + beta adrenergic agonist</t>
  </si>
  <si>
    <t>CORT + beta adrenergic agonist</t>
  </si>
  <si>
    <t>24, 2.5</t>
  </si>
  <si>
    <t>persistent asthma, treated with an ICS with or without a short-acting beta-agonist (SABA) for at least 12 weeks prior to screening</t>
  </si>
  <si>
    <t>The efficacy of once-daily fluticasone furoate/vilanterol in asthma is comparable with morning or evening dosing</t>
  </si>
  <si>
    <t>Kempsford, Rodger D; Oliver, Amanda; Bal, Joanne; Tombs, Lee; Quinn, Dean</t>
  </si>
  <si>
    <t>Kempsford 2013</t>
  </si>
  <si>
    <t>ClinicalTrials.gov_ NCT01287065</t>
  </si>
  <si>
    <t>24-h FEV1, difference in adjusted mean, relative to placebo</t>
  </si>
  <si>
    <t>AM pre-treatment FEV1, difference in adjusted mean, relative to placebo</t>
  </si>
  <si>
    <t>PM pre-treatment FEV1, difference in adjusted mean, relative to placebo</t>
  </si>
  <si>
    <t>AM pre-treatment (trough) FEV1, difference in adjusted mean, relative to placebo</t>
  </si>
  <si>
    <t>PM pre-treatment (trough) FEV1, difference in adjusted mean, relative to placebo</t>
  </si>
  <si>
    <t>Randomized Crossover Trial of the Impact of Morning or Evening Dosing of Antihypertensive Agents on 24-Hour Ambulatory Blood Pressure</t>
  </si>
  <si>
    <t>Poulter, Neil R; Savopoulos, Christos; Anjum, Aisha; Apostolopoulou, Martha; Chapman, Neil; Cross, Mary; Falaschetti, Emanuela; Fotiadis, Spiros; James, Rebecca M; Kanellos, Ilias; Szigeti, Matyas; Thom, Simon; Sever, Peter; Thompson, David; Hatzitolios, Apostolos I</t>
  </si>
  <si>
    <t>controlled hypertension on stable therapy of ≥1 antihypertensive agent</t>
  </si>
  <si>
    <t>Poulter 2018</t>
  </si>
  <si>
    <t>ClinicalTrials.gov_NCT01669928</t>
  </si>
  <si>
    <t>Glycaemic control and hypoglycaemia during 12 months of randomized treatment with insulin glargine 300 U/mL versus glargine 100 U/mL in people with type 1 diabetes (EDITION 4)</t>
  </si>
  <si>
    <t>Home, Philip D; Bergenstal, Richard M; Bolli, Geremia B; Ziemen, Monika; Rojeski, Maria; Espinasse, Melanie; Riddle, Matthew C</t>
  </si>
  <si>
    <t>Diabetes Obes. Metab.</t>
  </si>
  <si>
    <t>mineralocorticoid receptor antagonist</t>
  </si>
  <si>
    <t>aldosterone antagonist</t>
  </si>
  <si>
    <t>metabolic syndrome</t>
  </si>
  <si>
    <t>Diurnal Variation of Plasminogen Activator Inhibitor-1</t>
  </si>
  <si>
    <t>ClinicalTrials.gov_NCT00515021</t>
  </si>
  <si>
    <t>NCT00515021</t>
  </si>
  <si>
    <t>eplerenone</t>
  </si>
  <si>
    <t>anti-aldosterone</t>
  </si>
  <si>
    <t>MRA</t>
  </si>
  <si>
    <t>Plasminogen Activator Inhibitor-1 (PAI-1) levels at 6-weeks, ng/ml</t>
  </si>
  <si>
    <t>NCT00515021 2019</t>
  </si>
  <si>
    <t>Garg 2004</t>
  </si>
  <si>
    <t>A1C, %</t>
  </si>
  <si>
    <t>Body weight gain, kg</t>
  </si>
  <si>
    <t>coronary heart disease</t>
  </si>
  <si>
    <t>Chronotherapy in coronary heart disease: comparison of two nitrate treatments</t>
  </si>
  <si>
    <t>Wortmann, A; Bachmann, K</t>
  </si>
  <si>
    <t xml:space="preserve">subcutaneous immunotherapy (SCIT) </t>
  </si>
  <si>
    <t>SCIT</t>
  </si>
  <si>
    <t>Diurnal Variations in Subcutaneous Allergen Immunotherapy Reactions</t>
  </si>
  <si>
    <t>Journal of Allergy and Clinical Immunology</t>
  </si>
  <si>
    <t>Bavishi, Aakash; Pongracic, Jacqueline A; Grammer, Leslie C; Greenberger, Paul A; Fishbein, Anna B</t>
  </si>
  <si>
    <t>Do H2 receptor antagonists have to be given at night? A study of the antisecretory profile of SKF 94482, a new H2 receptor antagonist which has a profound effect on daytime acidity</t>
  </si>
  <si>
    <t>Chiverton, S G; Burget, D W; Hunt, R H</t>
  </si>
  <si>
    <t>Gut</t>
  </si>
  <si>
    <t>Chiverton 1989</t>
  </si>
  <si>
    <t>24-h pH</t>
  </si>
  <si>
    <t>Night pH</t>
  </si>
  <si>
    <t>Afternoon pH</t>
  </si>
  <si>
    <t>Morning pH</t>
  </si>
  <si>
    <t>Evening pH</t>
  </si>
  <si>
    <t>Evening versus morning injections of growth hormone (GH) in GH-deficient patients: effects on 24-hour patterns of circulating hormones and metabolites</t>
  </si>
  <si>
    <t>J. Clin. Endocrinol. Metab.</t>
  </si>
  <si>
    <t>Jørgensen, J O; Møller, N; Lauritzen, T; Alberti, K G; Orskov, H; Christiansen, J S</t>
  </si>
  <si>
    <t>Dosing time-dependent effect of raloxifene on plasma plasminogen activator inhibitor-1 concentrations in post-menopausal women with osteoporosis</t>
  </si>
  <si>
    <t>Ando, Hitoshi; Otoda, Toshiki; Ookami, Hitoshi; Nagai, Yukihiro; Inano, Akihiro; Takamura, Toshinari; Ushijima, Kentarou; Hosohata, Keiko; Matsushita, Eiki; Saito, Tetsuo; Kaneko, Shuichi; Fujimura, Akio</t>
  </si>
  <si>
    <t>Clin. Exp. Pharmacol. Physiol.</t>
  </si>
  <si>
    <t>Ando 2013</t>
  </si>
  <si>
    <t>osteoporosis</t>
  </si>
  <si>
    <t>Japan UMIN000002322</t>
  </si>
  <si>
    <t>Japan UMIN000003238</t>
  </si>
  <si>
    <t>Japan UMIN000003776</t>
  </si>
  <si>
    <t>Plasminogen activator inhibitor (PAI)-1, % change from baseline at 12mo</t>
  </si>
  <si>
    <t>registered primary endpoint (one of several registered primary endpoints, no others were significant)</t>
  </si>
  <si>
    <t>ADHD</t>
  </si>
  <si>
    <t>Clinician-rated ADHD-RS-IV score, placebo-adjusted least squares mean change from baseline</t>
  </si>
  <si>
    <t>Randomized, double-blind trial of guanfacine extended release in children with attention-deficit/hyperactivity disorder: morning or evening administration</t>
  </si>
  <si>
    <t>Newcorn, Jeffrey H; Stein, Mark A; Childress, Ann C; Youcha, Sharon; White, Carla; Enright, Gail; Rubin, Jonathan</t>
  </si>
  <si>
    <t>J. Am. Acad. Child Adolesc. Psychiatry</t>
  </si>
  <si>
    <t>Newcorn 2013</t>
  </si>
  <si>
    <t>ClinicalTrials.gov_NCT00997984</t>
  </si>
  <si>
    <t>statin + aspirin + other AH</t>
  </si>
  <si>
    <t>secondary prevention of CVD</t>
  </si>
  <si>
    <t>stable CVD</t>
  </si>
  <si>
    <t>Platelets</t>
  </si>
  <si>
    <t>van Diemen, J J K; Madsen, M C; Vrancken, P; de Bie, K; van der Bom, J G; Veen, G; Bonten, T N; Fuijkschot, W W; Smulders, Y M; Thijs, A</t>
  </si>
  <si>
    <t>Evening aspirin intake results in higher levels of platelet inhibition and a reduction in reticulated platelets - a window of opportunity for patients with cardiovascular disease?</t>
  </si>
  <si>
    <t>van Diemen 2021</t>
  </si>
  <si>
    <t>NOTES</t>
  </si>
  <si>
    <t>means and SDs are best visual approximations from plot</t>
  </si>
  <si>
    <t>DECLARED_ENDPOINT</t>
  </si>
  <si>
    <t>8 AM platelet inhibition (serum thromboxane B2, ng/mL)</t>
  </si>
  <si>
    <t>8 AM platelet inhibition (closer time, seconds )</t>
  </si>
  <si>
    <t>8 AM platelet inhibition (VerifyNow, ARU)</t>
  </si>
  <si>
    <t>means and SDs not reported</t>
  </si>
  <si>
    <t>8 AM platelet turnover (immature platelet fraction, %)</t>
  </si>
  <si>
    <t>registered secondary</t>
  </si>
  <si>
    <t>registered primary</t>
  </si>
  <si>
    <t>CV events</t>
  </si>
  <si>
    <t>binary outcome</t>
  </si>
  <si>
    <t>kidney function</t>
  </si>
  <si>
    <t>NSPAIN</t>
  </si>
  <si>
    <t>stenosis diameter</t>
  </si>
  <si>
    <t>ClinicalTrials.gov_NCT02812901</t>
  </si>
  <si>
    <t>imunnological</t>
  </si>
  <si>
    <t>gastric</t>
  </si>
  <si>
    <t>immunological</t>
  </si>
  <si>
    <t>not used b/c it is unclear how 'dipping' was calculated</t>
  </si>
  <si>
    <t xml:space="preserve"> least-squares mean change</t>
  </si>
  <si>
    <t>8 AM platelet inhibition (serum thromboxane B2, pg)</t>
  </si>
  <si>
    <t>mean and SDs based on closest approximation of mean and SD from median and IQR</t>
  </si>
  <si>
    <t>estimated SD from plot</t>
  </si>
  <si>
    <t>estimated means &amp; SE from plot; converted SE to SD</t>
  </si>
  <si>
    <t>thyroid function</t>
  </si>
  <si>
    <t>Excluded if:</t>
  </si>
  <si>
    <t>paper unavailable after request from library; data missing</t>
  </si>
  <si>
    <t>only binary outcome</t>
  </si>
  <si>
    <t>variance not reported or intervention not exactly the same between different times of day</t>
  </si>
  <si>
    <t>possible overlapping patients with other included study</t>
  </si>
  <si>
    <t>did not use b/c difference in medians is by Hodges–Lehmann estimation</t>
  </si>
  <si>
    <t>Platelet aggregation, ARU (assay time of day unspecified)</t>
  </si>
  <si>
    <t>Platelet count, 10-9/L (assay time of day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</si>
</sst>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0" xfId="0" applyAlignment="1">
      <alignment horizontal="left" indent="1"/>
    </xf>
    <xf numFmtId="2" fontId="0" fillId="0" borderId="0" xfId="0" applyNumberFormat="1" applyAlignment="1">
      <alignment horizontal="left" indent="1"/>
    </xf>
    <xf numFmtId="0" fontId="18" fillId="0" borderId="0" xfId="0" applyFont="1" applyAlignment="1">
      <alignment horizontal="left" indent="1"/>
    </xf>
    <xf numFmtId="0" fontId="0" fillId="0" borderId="0" xfId="0" applyFill="1" applyAlignment="1">
      <alignment horizontal="left" indent="1"/>
    </xf>
    <xf numFmtId="0" fontId="0" fillId="0" borderId="0" xfId="0" applyNumberFormat="1" applyAlignment="1">
      <alignment horizontal="left" indent="1"/>
    </xf>
    <xf numFmtId="0" fontId="0" fillId="0" borderId="0" xfId="0" applyFont="1" applyFill="1" applyAlignment="1">
      <alignment horizontal="left" indent="1"/>
    </xf>
    <xf numFmtId="2" fontId="0" fillId="0" borderId="0" xfId="0" applyNumberFormat="1" applyFill="1" applyAlignment="1">
      <alignment horizontal="left" indent="1"/>
    </xf>
    <xf numFmtId="0" fontId="0" fillId="0" borderId="0" xfId="0" applyAlignment="1">
      <alignment horizontal="left" vertical="center" indent="1"/>
    </xf>
    <xf numFmtId="2" fontId="0" fillId="0" borderId="0" xfId="0" applyNumberFormat="1" applyAlignment="1">
      <alignment horizontal="left" vertical="center" indent="1"/>
    </xf>
    <xf numFmtId="0" fontId="0" fillId="0" borderId="0" xfId="0" applyFill="1" applyAlignment="1">
      <alignment horizontal="left" vertical="center" indent="1"/>
    </xf>
    <xf numFmtId="0" fontId="0" fillId="0" borderId="0" xfId="0" applyFont="1" applyFill="1" applyAlignment="1">
      <alignment horizontal="left" vertical="center" indent="1"/>
    </xf>
    <xf numFmtId="2" fontId="0" fillId="0" borderId="0" xfId="0" applyNumberFormat="1" applyFill="1" applyAlignment="1">
      <alignment horizontal="left" vertical="center" indent="1"/>
    </xf>
    <xf numFmtId="164" fontId="0" fillId="0" borderId="0" xfId="0" applyNumberFormat="1" applyFill="1" applyAlignment="1">
      <alignment horizontal="left" vertical="center" indent="1"/>
    </xf>
    <xf numFmtId="1" fontId="0" fillId="0" borderId="0" xfId="0" applyNumberFormat="1" applyAlignment="1">
      <alignment horizontal="left" vertical="center" indent="1"/>
    </xf>
    <xf numFmtId="1" fontId="0" fillId="0" borderId="0" xfId="0" applyNumberFormat="1" applyFill="1" applyAlignment="1">
      <alignment horizontal="left" vertical="center" indent="1"/>
    </xf>
    <xf numFmtId="1" fontId="0" fillId="0" borderId="0" xfId="0" applyNumberFormat="1" applyFill="1" applyAlignment="1">
      <alignment horizontal="left" indent="1"/>
    </xf>
    <xf numFmtId="1" fontId="0" fillId="0" borderId="0" xfId="0" applyNumberFormat="1" applyFont="1" applyFill="1" applyAlignment="1">
      <alignment horizontal="left" vertical="center" indent="1"/>
    </xf>
    <xf numFmtId="2" fontId="0" fillId="0" borderId="0" xfId="0" applyNumberFormat="1" applyFont="1" applyFill="1" applyAlignment="1">
      <alignment horizontal="left" vertical="center" indent="1"/>
    </xf>
    <xf numFmtId="0" fontId="0" fillId="0" borderId="0" xfId="0" applyNumberFormat="1" applyFill="1" applyAlignment="1">
      <alignment horizontal="left" vertical="center" indent="1"/>
    </xf>
    <xf numFmtId="2" fontId="1" fillId="0" borderId="0" xfId="1" applyNumberFormat="1" applyFont="1" applyFill="1" applyAlignment="1">
      <alignment horizontal="left" vertical="center" indent="1"/>
    </xf>
    <xf numFmtId="1" fontId="1" fillId="0" borderId="0" xfId="1" applyNumberFormat="1" applyFont="1" applyFill="1" applyAlignment="1">
      <alignment horizontal="left" vertical="center" indent="1"/>
    </xf>
    <xf numFmtId="0" fontId="16" fillId="33" borderId="0" xfId="0" applyFont="1" applyFill="1" applyAlignment="1">
      <alignment horizontal="left" indent="1"/>
    </xf>
    <xf numFmtId="0" fontId="16" fillId="35" borderId="0" xfId="0" applyFont="1" applyFill="1" applyAlignment="1">
      <alignment horizontal="left" indent="1"/>
    </xf>
    <xf numFmtId="0" fontId="16" fillId="34" borderId="0" xfId="0" applyFont="1" applyFill="1" applyAlignment="1">
      <alignment horizontal="left" indent="1"/>
    </xf>
    <xf numFmtId="0" fontId="16" fillId="0" borderId="0" xfId="0" applyFont="1" applyFill="1" applyAlignment="1">
      <alignment horizontal="left" indent="1"/>
    </xf>
    <xf numFmtId="0" fontId="16" fillId="0" borderId="0" xfId="0" applyFont="1" applyAlignment="1">
      <alignment horizontal="left" indent="1"/>
    </xf>
    <xf numFmtId="0" fontId="0" fillId="36" borderId="0" xfId="0" applyFill="1" applyAlignment="1">
      <alignment horizontal="left" indent="1"/>
    </xf>
    <xf numFmtId="0" fontId="0" fillId="0" borderId="8" xfId="16" applyFont="1" applyFill="1" applyAlignment="1">
      <alignment horizontal="left" vertical="center" indent="1"/>
    </xf>
    <xf numFmtId="2" fontId="0" fillId="0" borderId="8" xfId="16" applyNumberFormat="1" applyFont="1" applyFill="1" applyAlignment="1">
      <alignment horizontal="left" vertical="center" indent="1"/>
    </xf>
    <xf numFmtId="1" fontId="0" fillId="0" borderId="8" xfId="16" applyNumberFormat="1" applyFont="1" applyFill="1" applyAlignment="1">
      <alignment horizontal="left" vertical="center" indent="1"/>
    </xf>
    <xf numFmtId="164" fontId="0" fillId="0" borderId="0" xfId="0" applyNumberFormat="1" applyAlignment="1">
      <alignment horizontal="left" vertical="center" indent="1"/>
    </xf>
    <xf numFmtId="164" fontId="0" fillId="0" borderId="0" xfId="0" applyNumberFormat="1" applyFill="1" applyAlignment="1">
      <alignment horizontal="left" indent="1"/>
    </xf>
    <xf numFmtId="164" fontId="0" fillId="0" borderId="0" xfId="0" applyNumberFormat="1" applyAlignment="1">
      <alignment horizontal="left" indent="1"/>
    </xf>
    <xf numFmtId="164" fontId="0" fillId="0" borderId="8" xfId="16" applyNumberFormat="1" applyFont="1" applyFill="1" applyAlignment="1">
      <alignment horizontal="left" vertical="center" indent="1"/>
    </xf>
    <xf numFmtId="0" fontId="18" fillId="0" borderId="0" xfId="0" applyFont="1" applyFill="1" applyAlignment="1">
      <alignment horizontal="left" indent="1"/>
    </xf>
    <xf numFmtId="164" fontId="0" fillId="0" borderId="0" xfId="0" applyNumberFormat="1" applyFont="1" applyFill="1" applyAlignment="1">
      <alignment horizontal="left" vertical="center" indent="1"/>
    </xf>
    <xf numFmtId="0" fontId="16" fillId="0" borderId="0" xfId="0" applyFont="1" applyAlignment="1">
      <alignment horizontal="left" vertical="center" indent="1"/>
    </xf>
    <xf numFmtId="0" fontId="16" fillId="37" borderId="0" xfId="0" applyFont="1" applyFill="1" applyAlignment="1">
      <alignment horizontal="left" vertical="center" indent="1"/>
    </xf>
    <xf numFmtId="0" fontId="16" fillId="35" borderId="0" xfId="0" applyFont="1" applyFill="1" applyAlignment="1">
      <alignment horizontal="left" vertical="center" indent="1"/>
    </xf>
    <xf numFmtId="2" fontId="0" fillId="33" borderId="0" xfId="0" applyNumberFormat="1" applyFill="1" applyAlignment="1">
      <alignment horizontal="left" vertical="center" indent="1"/>
    </xf>
    <xf numFmtId="0" fontId="16" fillId="37" borderId="0" xfId="0" applyFont="1" applyFill="1" applyAlignment="1">
      <alignment horizontal="left" indent="1"/>
    </xf>
    <xf numFmtId="2" fontId="18" fillId="0" borderId="0" xfId="0" applyNumberFormat="1" applyFont="1" applyFill="1" applyAlignment="1">
      <alignment horizontal="left" vertical="center" indent="1"/>
    </xf>
    <xf numFmtId="0" fontId="16" fillId="0" borderId="0" xfId="0" applyFont="1" applyFill="1" applyAlignment="1">
      <alignment horizontal="left" vertical="center" indent="1"/>
    </xf>
    <xf numFmtId="0" fontId="16" fillId="0" borderId="8" xfId="16" applyFont="1" applyFill="1" applyAlignment="1">
      <alignment horizontal="left" vertical="center" indent="1"/>
    </xf>
    <xf numFmtId="0" fontId="19" fillId="0" borderId="0" xfId="0" applyFont="1" applyFill="1"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739C-F8BA-E340-A9A6-2852C56F13E8}">
  <sheetPr filterMode="1"/>
  <dimension ref="A1:AN442"/>
  <sheetViews>
    <sheetView tabSelected="1" zoomScale="90" zoomScaleNormal="90" workbookViewId="0">
      <pane ySplit="1" topLeftCell="A2" activePane="bottomLeft" state="frozen"/>
      <selection pane="bottomLeft" activeCell="W452" sqref="W452"/>
    </sheetView>
  </sheetViews>
  <sheetFormatPr baseColWidth="10" defaultRowHeight="16" x14ac:dyDescent="0.2"/>
  <cols>
    <col min="1" max="1" width="7.33203125" style="8" bestFit="1" customWidth="1"/>
    <col min="2" max="2" width="15.83203125" style="8" customWidth="1"/>
    <col min="3" max="3" width="47.1640625" style="8" customWidth="1"/>
    <col min="4" max="4" width="5.33203125" style="8" customWidth="1"/>
    <col min="5" max="5" width="9.5" style="8" customWidth="1"/>
    <col min="6" max="6" width="9.33203125" style="8" customWidth="1"/>
    <col min="7" max="7" width="11.5" style="8" customWidth="1"/>
    <col min="8" max="8" width="9.5" style="8" customWidth="1"/>
    <col min="9" max="9" width="10.1640625" style="8" customWidth="1"/>
    <col min="10" max="10" width="11.33203125" style="8" customWidth="1"/>
    <col min="11" max="11" width="18.33203125" style="8" customWidth="1"/>
    <col min="12" max="14" width="8.6640625" style="8" customWidth="1"/>
    <col min="15" max="15" width="12.5" style="8" customWidth="1"/>
    <col min="16" max="16" width="8.1640625" style="8" customWidth="1"/>
    <col min="17" max="17" width="7.33203125" style="8" customWidth="1"/>
    <col min="18" max="18" width="11.33203125" style="8" customWidth="1"/>
    <col min="19" max="19" width="10.1640625" style="8" customWidth="1"/>
    <col min="20" max="20" width="8" style="31" customWidth="1"/>
    <col min="21" max="21" width="29.6640625" style="8" customWidth="1"/>
    <col min="22" max="22" width="9" style="8" customWidth="1"/>
    <col min="23" max="24" width="11.1640625" style="9" bestFit="1" customWidth="1"/>
    <col min="25" max="25" width="11.1640625" style="9" customWidth="1"/>
    <col min="26" max="26" width="10" style="9" bestFit="1" customWidth="1"/>
    <col min="27" max="28" width="7.33203125" style="14" bestFit="1" customWidth="1"/>
    <col min="29" max="29" width="11" style="9" customWidth="1"/>
    <col min="30" max="30" width="11.1640625" style="9" bestFit="1" customWidth="1"/>
    <col min="31" max="31" width="8.6640625" style="9" customWidth="1"/>
    <col min="32" max="32" width="9.5" style="9" customWidth="1"/>
    <col min="33" max="33" width="8.33203125" style="9" customWidth="1"/>
    <col min="34" max="34" width="7.1640625" style="9" customWidth="1"/>
    <col min="35" max="35" width="13.5" style="9" customWidth="1"/>
    <col min="36" max="36" width="9.6640625" style="9" customWidth="1"/>
    <col min="37" max="37" width="9.5" style="9" customWidth="1"/>
    <col min="38" max="38" width="7.33203125" style="9" customWidth="1"/>
    <col min="39" max="39" width="16.1640625" style="8" customWidth="1"/>
    <col min="40" max="40" width="15" style="8" customWidth="1"/>
    <col min="41" max="41" width="17.33203125" style="8" customWidth="1"/>
    <col min="42" max="42" width="13.6640625" style="8" bestFit="1" customWidth="1"/>
    <col min="43" max="16384" width="10.83203125" style="8"/>
  </cols>
  <sheetData>
    <row r="1" spans="1:40" x14ac:dyDescent="0.2">
      <c r="A1" s="8" t="s">
        <v>154</v>
      </c>
      <c r="B1" s="8" t="s">
        <v>1190</v>
      </c>
      <c r="C1" s="8" t="s">
        <v>169</v>
      </c>
      <c r="D1" s="8" t="s">
        <v>905</v>
      </c>
      <c r="E1" s="8" t="s">
        <v>904</v>
      </c>
      <c r="F1" s="8" t="s">
        <v>345</v>
      </c>
      <c r="G1" s="8" t="s">
        <v>1163</v>
      </c>
      <c r="H1" s="8" t="s">
        <v>1164</v>
      </c>
      <c r="I1" s="8" t="s">
        <v>685</v>
      </c>
      <c r="J1" s="8" t="s">
        <v>346</v>
      </c>
      <c r="K1" s="8" t="s">
        <v>151</v>
      </c>
      <c r="L1" s="8" t="s">
        <v>155</v>
      </c>
      <c r="M1" s="8" t="s">
        <v>327</v>
      </c>
      <c r="N1" s="8" t="s">
        <v>767</v>
      </c>
      <c r="O1" s="8" t="s">
        <v>670</v>
      </c>
      <c r="P1" s="8" t="s">
        <v>919</v>
      </c>
      <c r="Q1" s="8" t="s">
        <v>152</v>
      </c>
      <c r="R1" s="8" t="s">
        <v>347</v>
      </c>
      <c r="S1" s="8" t="s">
        <v>921</v>
      </c>
      <c r="T1" s="31" t="s">
        <v>922</v>
      </c>
      <c r="U1" s="8" t="s">
        <v>783</v>
      </c>
      <c r="V1" s="8" t="s">
        <v>636</v>
      </c>
      <c r="W1" s="9" t="s">
        <v>633</v>
      </c>
      <c r="X1" s="9" t="s">
        <v>634</v>
      </c>
      <c r="Y1" s="9" t="s">
        <v>626</v>
      </c>
      <c r="Z1" s="9" t="s">
        <v>627</v>
      </c>
      <c r="AA1" s="14" t="s">
        <v>629</v>
      </c>
      <c r="AB1" s="14" t="s">
        <v>630</v>
      </c>
      <c r="AC1" s="9" t="s">
        <v>628</v>
      </c>
      <c r="AD1" s="9" t="s">
        <v>631</v>
      </c>
      <c r="AE1" s="9" t="s">
        <v>632</v>
      </c>
      <c r="AF1" s="9" t="s">
        <v>678</v>
      </c>
      <c r="AG1" s="9" t="s">
        <v>782</v>
      </c>
      <c r="AH1" s="9" t="s">
        <v>1199</v>
      </c>
      <c r="AI1" s="9" t="s">
        <v>784</v>
      </c>
      <c r="AJ1" s="9" t="s">
        <v>325</v>
      </c>
      <c r="AK1" s="9" t="s">
        <v>1292</v>
      </c>
      <c r="AL1" s="9" t="s">
        <v>1290</v>
      </c>
      <c r="AM1" s="8" t="s">
        <v>324</v>
      </c>
      <c r="AN1" s="8" t="s">
        <v>1303</v>
      </c>
    </row>
    <row r="2" spans="1:40" s="10" customFormat="1" x14ac:dyDescent="0.2">
      <c r="A2" s="11">
        <v>2020</v>
      </c>
      <c r="B2" s="43">
        <v>32959110</v>
      </c>
      <c r="C2" s="10" t="s">
        <v>113</v>
      </c>
      <c r="D2" s="10" t="s">
        <v>906</v>
      </c>
      <c r="E2" s="10" t="s">
        <v>157</v>
      </c>
      <c r="F2" s="10" t="s">
        <v>66</v>
      </c>
      <c r="G2" s="10" t="s">
        <v>66</v>
      </c>
      <c r="H2" s="10" t="s">
        <v>66</v>
      </c>
      <c r="I2" s="10">
        <v>1</v>
      </c>
      <c r="J2" s="10" t="s">
        <v>910</v>
      </c>
      <c r="K2" s="10" t="s">
        <v>910</v>
      </c>
      <c r="L2" s="10" t="s">
        <v>156</v>
      </c>
      <c r="M2" s="10" t="s">
        <v>902</v>
      </c>
      <c r="N2" s="10" t="s">
        <v>766</v>
      </c>
      <c r="P2" s="10" t="s">
        <v>911</v>
      </c>
      <c r="Q2" s="10">
        <v>2</v>
      </c>
      <c r="R2" s="10">
        <v>114</v>
      </c>
      <c r="S2" s="10">
        <v>60.1</v>
      </c>
      <c r="T2" s="13">
        <v>33</v>
      </c>
      <c r="U2" s="11" t="s">
        <v>637</v>
      </c>
      <c r="V2" s="11" t="s">
        <v>635</v>
      </c>
      <c r="W2" s="18">
        <v>125.2</v>
      </c>
      <c r="X2" s="18">
        <v>120.1</v>
      </c>
      <c r="Y2" s="18">
        <v>7</v>
      </c>
      <c r="Z2" s="18">
        <v>6.9</v>
      </c>
      <c r="AA2" s="17">
        <v>58</v>
      </c>
      <c r="AB2" s="17">
        <v>56</v>
      </c>
      <c r="AC2" s="18">
        <f>W2-X2</f>
        <v>5.1000000000000085</v>
      </c>
      <c r="AD2" s="18">
        <f>SQRT(((AA2-1)*Y2^2+(AB2-1)*Z2^2)/(AA2+AB2-2))</f>
        <v>6.9510726304855792</v>
      </c>
      <c r="AE2" s="18">
        <f>AC2/AD2</f>
        <v>0.73369971385894428</v>
      </c>
      <c r="AF2" s="20">
        <f>SQRT(((AA2+AB2)/(AA2*AB2)+(AE2^2/(2*(AA2+AB2)))))</f>
        <v>0.19354470815283073</v>
      </c>
      <c r="AG2" s="20" t="s">
        <v>193</v>
      </c>
      <c r="AH2" s="18"/>
      <c r="AI2" s="18" t="s">
        <v>780</v>
      </c>
      <c r="AJ2" s="18" t="s">
        <v>348</v>
      </c>
      <c r="AK2" s="18"/>
      <c r="AL2" s="18"/>
      <c r="AM2" s="10" t="s">
        <v>745</v>
      </c>
      <c r="AN2" s="10" t="s">
        <v>157</v>
      </c>
    </row>
    <row r="3" spans="1:40" s="10" customFormat="1" x14ac:dyDescent="0.2">
      <c r="A3" s="10">
        <v>2020</v>
      </c>
      <c r="B3" s="10">
        <v>32959110</v>
      </c>
      <c r="C3" s="10" t="s">
        <v>113</v>
      </c>
      <c r="D3" s="10" t="s">
        <v>906</v>
      </c>
      <c r="E3" s="10" t="s">
        <v>157</v>
      </c>
      <c r="F3" s="10" t="s">
        <v>66</v>
      </c>
      <c r="G3" s="10" t="s">
        <v>66</v>
      </c>
      <c r="H3" s="10" t="s">
        <v>66</v>
      </c>
      <c r="I3" s="10">
        <v>1</v>
      </c>
      <c r="J3" s="10" t="s">
        <v>910</v>
      </c>
      <c r="K3" s="10" t="s">
        <v>910</v>
      </c>
      <c r="L3" s="10" t="s">
        <v>156</v>
      </c>
      <c r="M3" s="10" t="s">
        <v>902</v>
      </c>
      <c r="N3" s="10" t="s">
        <v>766</v>
      </c>
      <c r="P3" s="10" t="s">
        <v>911</v>
      </c>
      <c r="Q3" s="10">
        <v>2</v>
      </c>
      <c r="R3" s="10">
        <v>114</v>
      </c>
      <c r="S3" s="10">
        <v>60.1</v>
      </c>
      <c r="T3" s="13">
        <v>33</v>
      </c>
      <c r="U3" s="11" t="s">
        <v>638</v>
      </c>
      <c r="V3" s="11" t="s">
        <v>635</v>
      </c>
      <c r="W3" s="18">
        <v>78.400000000000006</v>
      </c>
      <c r="X3" s="18">
        <v>74.5</v>
      </c>
      <c r="Y3" s="18">
        <v>4.5999999999999996</v>
      </c>
      <c r="Z3" s="18">
        <v>5.3</v>
      </c>
      <c r="AA3" s="17">
        <v>58</v>
      </c>
      <c r="AB3" s="17">
        <v>56</v>
      </c>
      <c r="AC3" s="18">
        <f t="shared" ref="AC3:AC9" si="0">W3-X3</f>
        <v>3.9000000000000057</v>
      </c>
      <c r="AD3" s="18">
        <f t="shared" ref="AD3:AD9" si="1">SQRT(((AA3-1)*Y3^2+(AB3-1)*Z3^2)/(AA3+AB3-2))</f>
        <v>4.9561199541576872</v>
      </c>
      <c r="AE3" s="18">
        <f t="shared" ref="AE3:AE9" si="2">AC3/AD3</f>
        <v>0.78690589333462302</v>
      </c>
      <c r="AF3" s="20">
        <f t="shared" ref="AF3:AF9" si="3">SQRT(((AA3+AB3)/(AA3*AB3)+(AE3^2/(2*(AA3+AB3)))))</f>
        <v>0.19445925856562996</v>
      </c>
      <c r="AG3" s="20" t="s">
        <v>193</v>
      </c>
      <c r="AH3" s="18"/>
      <c r="AI3" s="18" t="s">
        <v>780</v>
      </c>
      <c r="AJ3" s="18" t="s">
        <v>348</v>
      </c>
      <c r="AK3" s="18"/>
      <c r="AL3" s="18"/>
      <c r="AM3" s="10" t="s">
        <v>745</v>
      </c>
      <c r="AN3" s="10" t="s">
        <v>157</v>
      </c>
    </row>
    <row r="4" spans="1:40" s="10" customFormat="1" x14ac:dyDescent="0.2">
      <c r="A4" s="10">
        <v>2020</v>
      </c>
      <c r="B4" s="10">
        <v>32959110</v>
      </c>
      <c r="C4" s="10" t="s">
        <v>113</v>
      </c>
      <c r="D4" s="10" t="s">
        <v>906</v>
      </c>
      <c r="E4" s="10" t="s">
        <v>157</v>
      </c>
      <c r="F4" s="10" t="s">
        <v>66</v>
      </c>
      <c r="G4" s="10" t="s">
        <v>66</v>
      </c>
      <c r="H4" s="10" t="s">
        <v>66</v>
      </c>
      <c r="I4" s="10">
        <v>1</v>
      </c>
      <c r="J4" s="10" t="s">
        <v>910</v>
      </c>
      <c r="K4" s="10" t="s">
        <v>910</v>
      </c>
      <c r="L4" s="10" t="s">
        <v>156</v>
      </c>
      <c r="M4" s="10" t="s">
        <v>902</v>
      </c>
      <c r="N4" s="10" t="s">
        <v>766</v>
      </c>
      <c r="P4" s="10" t="s">
        <v>911</v>
      </c>
      <c r="Q4" s="10">
        <v>2</v>
      </c>
      <c r="R4" s="10">
        <v>114</v>
      </c>
      <c r="S4" s="10">
        <v>60.1</v>
      </c>
      <c r="T4" s="13">
        <v>33</v>
      </c>
      <c r="U4" s="11" t="s">
        <v>639</v>
      </c>
      <c r="V4" s="11" t="s">
        <v>635</v>
      </c>
      <c r="W4" s="18">
        <v>94</v>
      </c>
      <c r="X4" s="18">
        <v>89.7</v>
      </c>
      <c r="Y4" s="18">
        <v>3.8</v>
      </c>
      <c r="Z4" s="18">
        <v>4.5999999999999996</v>
      </c>
      <c r="AA4" s="17">
        <v>58</v>
      </c>
      <c r="AB4" s="17">
        <v>56</v>
      </c>
      <c r="AC4" s="18">
        <f t="shared" si="0"/>
        <v>4.2999999999999972</v>
      </c>
      <c r="AD4" s="18">
        <f t="shared" si="1"/>
        <v>4.2118879377305376</v>
      </c>
      <c r="AE4" s="18">
        <f t="shared" si="2"/>
        <v>1.0209198496190135</v>
      </c>
      <c r="AF4" s="20">
        <f t="shared" si="3"/>
        <v>0.19917307550651769</v>
      </c>
      <c r="AG4" s="20" t="s">
        <v>193</v>
      </c>
      <c r="AH4" s="18" t="s">
        <v>193</v>
      </c>
      <c r="AI4" s="18" t="s">
        <v>780</v>
      </c>
      <c r="AJ4" s="18" t="s">
        <v>348</v>
      </c>
      <c r="AK4" s="18"/>
      <c r="AL4" s="18"/>
      <c r="AM4" s="10" t="s">
        <v>745</v>
      </c>
      <c r="AN4" s="10" t="s">
        <v>157</v>
      </c>
    </row>
    <row r="5" spans="1:40" s="10" customFormat="1" x14ac:dyDescent="0.2">
      <c r="A5" s="10">
        <v>2020</v>
      </c>
      <c r="B5" s="10">
        <v>32959110</v>
      </c>
      <c r="C5" s="10" t="s">
        <v>113</v>
      </c>
      <c r="D5" s="10" t="s">
        <v>906</v>
      </c>
      <c r="E5" s="10" t="s">
        <v>157</v>
      </c>
      <c r="F5" s="10" t="s">
        <v>66</v>
      </c>
      <c r="G5" s="10" t="s">
        <v>66</v>
      </c>
      <c r="H5" s="10" t="s">
        <v>66</v>
      </c>
      <c r="I5" s="10">
        <v>1</v>
      </c>
      <c r="J5" s="10" t="s">
        <v>910</v>
      </c>
      <c r="K5" s="10" t="s">
        <v>910</v>
      </c>
      <c r="L5" s="10" t="s">
        <v>156</v>
      </c>
      <c r="M5" s="10" t="s">
        <v>902</v>
      </c>
      <c r="N5" s="10" t="s">
        <v>766</v>
      </c>
      <c r="P5" s="10" t="s">
        <v>911</v>
      </c>
      <c r="Q5" s="10">
        <v>2</v>
      </c>
      <c r="R5" s="10">
        <v>114</v>
      </c>
      <c r="S5" s="10">
        <v>60.1</v>
      </c>
      <c r="T5" s="13">
        <v>33</v>
      </c>
      <c r="U5" s="11" t="s">
        <v>644</v>
      </c>
      <c r="V5" s="11" t="s">
        <v>642</v>
      </c>
      <c r="W5" s="18">
        <v>137.9</v>
      </c>
      <c r="X5" s="18">
        <v>136.5</v>
      </c>
      <c r="Y5" s="18">
        <v>5.5</v>
      </c>
      <c r="Z5" s="18">
        <v>6.7</v>
      </c>
      <c r="AA5" s="17">
        <v>58</v>
      </c>
      <c r="AB5" s="17">
        <v>56</v>
      </c>
      <c r="AC5" s="18">
        <f t="shared" ref="AC5:AC7" si="4">W5-X5</f>
        <v>1.4000000000000057</v>
      </c>
      <c r="AD5" s="18">
        <f t="shared" ref="AD5:AD7" si="5">SQRT(((AA5-1)*Y5^2+(AB5-1)*Z5^2)/(AA5+AB5-2))</f>
        <v>6.1187650481355886</v>
      </c>
      <c r="AE5" s="18">
        <f t="shared" ref="AE5:AE7" si="6">AC5/AD5</f>
        <v>0.22880434025271015</v>
      </c>
      <c r="AF5" s="20">
        <f t="shared" ref="AF5:AF7" si="7">SQRT(((AA5+AB5)/(AA5*AB5)+(AE5^2/(2*(AA5+AB5)))))</f>
        <v>0.18795779761837811</v>
      </c>
      <c r="AG5" s="20" t="s">
        <v>193</v>
      </c>
      <c r="AH5" s="18"/>
      <c r="AI5" s="18" t="s">
        <v>780</v>
      </c>
      <c r="AJ5" s="18" t="s">
        <v>348</v>
      </c>
      <c r="AK5" s="18"/>
      <c r="AL5" s="18"/>
      <c r="AM5" s="10" t="s">
        <v>745</v>
      </c>
      <c r="AN5" s="10" t="s">
        <v>157</v>
      </c>
    </row>
    <row r="6" spans="1:40" s="10" customFormat="1" x14ac:dyDescent="0.2">
      <c r="A6" s="10">
        <v>2020</v>
      </c>
      <c r="B6" s="10">
        <v>32959110</v>
      </c>
      <c r="C6" s="10" t="s">
        <v>113</v>
      </c>
      <c r="D6" s="10" t="s">
        <v>906</v>
      </c>
      <c r="E6" s="10" t="s">
        <v>157</v>
      </c>
      <c r="F6" s="10" t="s">
        <v>66</v>
      </c>
      <c r="G6" s="10" t="s">
        <v>66</v>
      </c>
      <c r="H6" s="10" t="s">
        <v>66</v>
      </c>
      <c r="I6" s="10">
        <v>1</v>
      </c>
      <c r="J6" s="10" t="s">
        <v>910</v>
      </c>
      <c r="K6" s="10" t="s">
        <v>910</v>
      </c>
      <c r="L6" s="10" t="s">
        <v>156</v>
      </c>
      <c r="M6" s="10" t="s">
        <v>902</v>
      </c>
      <c r="N6" s="10" t="s">
        <v>766</v>
      </c>
      <c r="P6" s="10" t="s">
        <v>911</v>
      </c>
      <c r="Q6" s="10">
        <v>2</v>
      </c>
      <c r="R6" s="10">
        <v>114</v>
      </c>
      <c r="S6" s="10">
        <v>60.1</v>
      </c>
      <c r="T6" s="13">
        <v>33</v>
      </c>
      <c r="U6" s="11" t="s">
        <v>645</v>
      </c>
      <c r="V6" s="11" t="s">
        <v>642</v>
      </c>
      <c r="W6" s="18">
        <v>84.9</v>
      </c>
      <c r="X6" s="18">
        <v>84.3</v>
      </c>
      <c r="Y6" s="18">
        <v>5.2</v>
      </c>
      <c r="Z6" s="18">
        <v>6.2</v>
      </c>
      <c r="AA6" s="17">
        <v>58</v>
      </c>
      <c r="AB6" s="17">
        <v>56</v>
      </c>
      <c r="AC6" s="18">
        <f t="shared" si="4"/>
        <v>0.60000000000000853</v>
      </c>
      <c r="AD6" s="18">
        <f t="shared" si="5"/>
        <v>5.7129864594373307</v>
      </c>
      <c r="AE6" s="18">
        <f t="shared" si="6"/>
        <v>0.10502387923725312</v>
      </c>
      <c r="AF6" s="20">
        <f t="shared" si="7"/>
        <v>0.18747506348093565</v>
      </c>
      <c r="AG6" s="20" t="s">
        <v>193</v>
      </c>
      <c r="AH6" s="18"/>
      <c r="AI6" s="18" t="s">
        <v>780</v>
      </c>
      <c r="AJ6" s="18" t="s">
        <v>348</v>
      </c>
      <c r="AK6" s="18"/>
      <c r="AL6" s="18"/>
      <c r="AM6" s="10" t="s">
        <v>745</v>
      </c>
      <c r="AN6" s="10" t="s">
        <v>157</v>
      </c>
    </row>
    <row r="7" spans="1:40" s="10" customFormat="1" x14ac:dyDescent="0.2">
      <c r="A7" s="10">
        <v>2020</v>
      </c>
      <c r="B7" s="10">
        <v>32959110</v>
      </c>
      <c r="C7" s="10" t="s">
        <v>113</v>
      </c>
      <c r="D7" s="10" t="s">
        <v>906</v>
      </c>
      <c r="E7" s="10" t="s">
        <v>157</v>
      </c>
      <c r="F7" s="10" t="s">
        <v>66</v>
      </c>
      <c r="G7" s="10" t="s">
        <v>66</v>
      </c>
      <c r="H7" s="10" t="s">
        <v>66</v>
      </c>
      <c r="I7" s="10">
        <v>1</v>
      </c>
      <c r="J7" s="10" t="s">
        <v>910</v>
      </c>
      <c r="K7" s="10" t="s">
        <v>910</v>
      </c>
      <c r="L7" s="10" t="s">
        <v>156</v>
      </c>
      <c r="M7" s="10" t="s">
        <v>902</v>
      </c>
      <c r="N7" s="10" t="s">
        <v>766</v>
      </c>
      <c r="P7" s="10" t="s">
        <v>911</v>
      </c>
      <c r="Q7" s="10">
        <v>2</v>
      </c>
      <c r="R7" s="10">
        <v>114</v>
      </c>
      <c r="S7" s="10">
        <v>60.1</v>
      </c>
      <c r="T7" s="13">
        <v>33</v>
      </c>
      <c r="U7" s="11" t="s">
        <v>769</v>
      </c>
      <c r="V7" s="11" t="s">
        <v>642</v>
      </c>
      <c r="W7" s="18">
        <v>102.6</v>
      </c>
      <c r="X7" s="18">
        <v>101.7</v>
      </c>
      <c r="Y7" s="18">
        <v>4</v>
      </c>
      <c r="Z7" s="18">
        <v>5.2</v>
      </c>
      <c r="AA7" s="17">
        <v>58</v>
      </c>
      <c r="AB7" s="17">
        <v>56</v>
      </c>
      <c r="AC7" s="18">
        <f t="shared" si="4"/>
        <v>0.89999999999999147</v>
      </c>
      <c r="AD7" s="18">
        <f t="shared" si="5"/>
        <v>4.6283289178091662</v>
      </c>
      <c r="AE7" s="18">
        <f t="shared" si="6"/>
        <v>0.19445463275890282</v>
      </c>
      <c r="AF7" s="20">
        <f t="shared" si="7"/>
        <v>0.18778809047103329</v>
      </c>
      <c r="AG7" s="20" t="s">
        <v>193</v>
      </c>
      <c r="AH7" s="18"/>
      <c r="AI7" s="18" t="s">
        <v>780</v>
      </c>
      <c r="AJ7" s="18" t="s">
        <v>348</v>
      </c>
      <c r="AK7" s="18"/>
      <c r="AL7" s="18"/>
      <c r="AM7" s="10" t="s">
        <v>745</v>
      </c>
      <c r="AN7" s="10" t="s">
        <v>157</v>
      </c>
    </row>
    <row r="8" spans="1:40" s="10" customFormat="1" x14ac:dyDescent="0.2">
      <c r="A8" s="10">
        <v>2020</v>
      </c>
      <c r="B8" s="10">
        <v>32959110</v>
      </c>
      <c r="C8" s="10" t="s">
        <v>113</v>
      </c>
      <c r="D8" s="10" t="s">
        <v>906</v>
      </c>
      <c r="E8" s="10" t="s">
        <v>157</v>
      </c>
      <c r="F8" s="10" t="s">
        <v>66</v>
      </c>
      <c r="G8" s="10" t="s">
        <v>66</v>
      </c>
      <c r="H8" s="10" t="s">
        <v>66</v>
      </c>
      <c r="I8" s="10">
        <v>1</v>
      </c>
      <c r="J8" s="10" t="s">
        <v>910</v>
      </c>
      <c r="K8" s="10" t="s">
        <v>910</v>
      </c>
      <c r="L8" s="10" t="s">
        <v>156</v>
      </c>
      <c r="M8" s="10" t="s">
        <v>902</v>
      </c>
      <c r="N8" s="10" t="s">
        <v>766</v>
      </c>
      <c r="P8" s="10" t="s">
        <v>911</v>
      </c>
      <c r="Q8" s="10">
        <v>2</v>
      </c>
      <c r="R8" s="10">
        <v>114</v>
      </c>
      <c r="S8" s="10">
        <v>60.1</v>
      </c>
      <c r="T8" s="13">
        <v>33</v>
      </c>
      <c r="U8" s="11" t="s">
        <v>640</v>
      </c>
      <c r="V8" s="11" t="s">
        <v>635</v>
      </c>
      <c r="W8" s="18">
        <v>132.80000000000001</v>
      </c>
      <c r="X8" s="18">
        <v>128.9</v>
      </c>
      <c r="Y8" s="18">
        <v>5.7</v>
      </c>
      <c r="Z8" s="18">
        <v>5.8</v>
      </c>
      <c r="AA8" s="17">
        <v>58</v>
      </c>
      <c r="AB8" s="17">
        <v>56</v>
      </c>
      <c r="AC8" s="18">
        <f t="shared" si="0"/>
        <v>3.9000000000000057</v>
      </c>
      <c r="AD8" s="18">
        <f t="shared" si="1"/>
        <v>5.7493244944825594</v>
      </c>
      <c r="AE8" s="18">
        <f t="shared" si="2"/>
        <v>0.67834056048544644</v>
      </c>
      <c r="AF8" s="20">
        <f t="shared" si="3"/>
        <v>0.19265696460183232</v>
      </c>
      <c r="AG8" s="20" t="s">
        <v>193</v>
      </c>
      <c r="AH8" s="18"/>
      <c r="AI8" s="18" t="s">
        <v>780</v>
      </c>
      <c r="AJ8" s="18" t="s">
        <v>348</v>
      </c>
      <c r="AK8" s="18"/>
      <c r="AL8" s="18"/>
      <c r="AM8" s="10" t="s">
        <v>745</v>
      </c>
      <c r="AN8" s="10" t="s">
        <v>157</v>
      </c>
    </row>
    <row r="9" spans="1:40" s="10" customFormat="1" x14ac:dyDescent="0.2">
      <c r="A9" s="10">
        <v>2020</v>
      </c>
      <c r="B9" s="10">
        <v>32959110</v>
      </c>
      <c r="C9" s="10" t="s">
        <v>113</v>
      </c>
      <c r="D9" s="10" t="s">
        <v>906</v>
      </c>
      <c r="E9" s="10" t="s">
        <v>157</v>
      </c>
      <c r="F9" s="10" t="s">
        <v>66</v>
      </c>
      <c r="G9" s="10" t="s">
        <v>66</v>
      </c>
      <c r="H9" s="10" t="s">
        <v>66</v>
      </c>
      <c r="I9" s="10">
        <v>1</v>
      </c>
      <c r="J9" s="10" t="s">
        <v>910</v>
      </c>
      <c r="K9" s="10" t="s">
        <v>910</v>
      </c>
      <c r="L9" s="10" t="s">
        <v>156</v>
      </c>
      <c r="M9" s="10" t="s">
        <v>902</v>
      </c>
      <c r="N9" s="10" t="s">
        <v>766</v>
      </c>
      <c r="P9" s="10" t="s">
        <v>911</v>
      </c>
      <c r="Q9" s="10">
        <v>2</v>
      </c>
      <c r="R9" s="10">
        <v>114</v>
      </c>
      <c r="S9" s="10">
        <v>60.1</v>
      </c>
      <c r="T9" s="13">
        <v>33</v>
      </c>
      <c r="U9" s="11" t="s">
        <v>641</v>
      </c>
      <c r="V9" s="11" t="s">
        <v>635</v>
      </c>
      <c r="W9" s="18">
        <v>82.3</v>
      </c>
      <c r="X9" s="18">
        <v>78.7</v>
      </c>
      <c r="Y9" s="18">
        <v>4.0999999999999996</v>
      </c>
      <c r="Z9" s="18">
        <v>5.9</v>
      </c>
      <c r="AA9" s="17">
        <v>58</v>
      </c>
      <c r="AB9" s="17">
        <v>56</v>
      </c>
      <c r="AC9" s="18">
        <f t="shared" si="0"/>
        <v>3.5999999999999943</v>
      </c>
      <c r="AD9" s="18">
        <f t="shared" si="1"/>
        <v>5.0645123866257569</v>
      </c>
      <c r="AE9" s="18">
        <f t="shared" si="2"/>
        <v>0.71082855074198026</v>
      </c>
      <c r="AF9" s="20">
        <f t="shared" si="3"/>
        <v>0.19317000378651489</v>
      </c>
      <c r="AG9" s="20" t="s">
        <v>193</v>
      </c>
      <c r="AH9" s="18"/>
      <c r="AI9" s="18" t="s">
        <v>780</v>
      </c>
      <c r="AJ9" s="18" t="s">
        <v>348</v>
      </c>
      <c r="AK9" s="18"/>
      <c r="AL9" s="18"/>
      <c r="AM9" s="10" t="s">
        <v>745</v>
      </c>
      <c r="AN9" s="10" t="s">
        <v>157</v>
      </c>
    </row>
    <row r="10" spans="1:40" s="10" customFormat="1" x14ac:dyDescent="0.2">
      <c r="A10" s="11">
        <v>2018</v>
      </c>
      <c r="B10" s="43">
        <v>30484269</v>
      </c>
      <c r="C10" s="10" t="s">
        <v>113</v>
      </c>
      <c r="D10" s="10" t="s">
        <v>906</v>
      </c>
      <c r="E10" s="10" t="s">
        <v>157</v>
      </c>
      <c r="F10" s="10" t="s">
        <v>66</v>
      </c>
      <c r="G10" s="10" t="s">
        <v>66</v>
      </c>
      <c r="H10" s="10" t="s">
        <v>66</v>
      </c>
      <c r="I10" s="10">
        <v>1</v>
      </c>
      <c r="J10" s="10" t="s">
        <v>910</v>
      </c>
      <c r="K10" s="10" t="s">
        <v>910</v>
      </c>
      <c r="L10" s="10" t="s">
        <v>156</v>
      </c>
      <c r="M10" s="10" t="s">
        <v>902</v>
      </c>
      <c r="N10" s="10" t="s">
        <v>766</v>
      </c>
      <c r="P10" s="10" t="s">
        <v>911</v>
      </c>
      <c r="Q10" s="10">
        <v>2</v>
      </c>
      <c r="R10" s="10">
        <v>114</v>
      </c>
      <c r="S10" s="10">
        <v>60.1</v>
      </c>
      <c r="T10" s="13">
        <v>33</v>
      </c>
      <c r="U10" s="10" t="s">
        <v>457</v>
      </c>
      <c r="V10" s="10" t="s">
        <v>635</v>
      </c>
      <c r="W10" s="18">
        <v>487.62</v>
      </c>
      <c r="X10" s="12">
        <v>460.1</v>
      </c>
      <c r="Y10" s="12">
        <v>77.400000000000006</v>
      </c>
      <c r="Z10" s="12">
        <v>82.3</v>
      </c>
      <c r="AA10" s="15">
        <v>58</v>
      </c>
      <c r="AB10" s="15">
        <v>56</v>
      </c>
      <c r="AC10" s="12">
        <f t="shared" ref="AC10" si="8">W10-X10</f>
        <v>27.519999999999982</v>
      </c>
      <c r="AD10" s="12">
        <f t="shared" ref="AD10" si="9">SQRT(((AA10-1)*Y10^2+(AB10-1)*Z10^2)/(AA10+AB10-2))</f>
        <v>79.843835861010589</v>
      </c>
      <c r="AE10" s="12">
        <f t="shared" ref="AE10" si="10">AC10/AD10</f>
        <v>0.34467281917549469</v>
      </c>
      <c r="AF10" s="12">
        <f t="shared" ref="AF10" si="11">SQRT(((AA10+AB10)/(AA10*AB10)+(AE10^2/(2*(AA10+AB10)))))</f>
        <v>0.18873148109995413</v>
      </c>
      <c r="AG10" s="12" t="s">
        <v>193</v>
      </c>
      <c r="AH10" s="12" t="s">
        <v>193</v>
      </c>
      <c r="AI10" s="12" t="s">
        <v>781</v>
      </c>
      <c r="AJ10" s="12" t="s">
        <v>348</v>
      </c>
      <c r="AK10" s="12" t="s">
        <v>1039</v>
      </c>
      <c r="AL10" s="12"/>
      <c r="AM10" s="10" t="s">
        <v>746</v>
      </c>
      <c r="AN10" s="10" t="s">
        <v>157</v>
      </c>
    </row>
    <row r="11" spans="1:40" s="10" customFormat="1" x14ac:dyDescent="0.2">
      <c r="A11" s="11">
        <v>2018</v>
      </c>
      <c r="B11" s="10">
        <v>30484269</v>
      </c>
      <c r="C11" s="10" t="s">
        <v>113</v>
      </c>
      <c r="D11" s="10" t="s">
        <v>906</v>
      </c>
      <c r="E11" s="10" t="s">
        <v>157</v>
      </c>
      <c r="F11" s="10" t="s">
        <v>66</v>
      </c>
      <c r="G11" s="10" t="s">
        <v>66</v>
      </c>
      <c r="H11" s="10" t="s">
        <v>66</v>
      </c>
      <c r="I11" s="10">
        <v>1</v>
      </c>
      <c r="J11" s="10" t="s">
        <v>910</v>
      </c>
      <c r="K11" s="10" t="s">
        <v>910</v>
      </c>
      <c r="L11" s="10" t="s">
        <v>156</v>
      </c>
      <c r="M11" s="10" t="s">
        <v>902</v>
      </c>
      <c r="N11" s="10" t="s">
        <v>766</v>
      </c>
      <c r="P11" s="10" t="s">
        <v>911</v>
      </c>
      <c r="Q11" s="10">
        <v>2</v>
      </c>
      <c r="R11" s="10">
        <v>114</v>
      </c>
      <c r="S11" s="10">
        <v>60.1</v>
      </c>
      <c r="T11" s="13">
        <v>33</v>
      </c>
      <c r="U11" s="10" t="s">
        <v>458</v>
      </c>
      <c r="V11" s="10" t="s">
        <v>635</v>
      </c>
      <c r="W11" s="12">
        <v>226.9</v>
      </c>
      <c r="X11" s="12">
        <v>197.9</v>
      </c>
      <c r="Y11" s="12">
        <v>36.799999999999997</v>
      </c>
      <c r="Z11" s="12">
        <v>41.5</v>
      </c>
      <c r="AA11" s="15">
        <v>58</v>
      </c>
      <c r="AB11" s="15">
        <v>56</v>
      </c>
      <c r="AC11" s="12">
        <f t="shared" ref="AC11:AC12" si="12">W11-X11</f>
        <v>29</v>
      </c>
      <c r="AD11" s="12">
        <f t="shared" ref="AD11:AD12" si="13">SQRT(((AA11-1)*Y11^2+(AB11-1)*Z11^2)/(AA11+AB11-2))</f>
        <v>39.178555313188511</v>
      </c>
      <c r="AE11" s="12">
        <f t="shared" ref="AE11:AE12" si="14">AC11/AD11</f>
        <v>0.74020085141418812</v>
      </c>
      <c r="AF11" s="12">
        <f t="shared" ref="AF11:AF12" si="15">SQRT(((AA11+AB11)/(AA11*AB11)+(AE11^2/(2*(AA11+AB11)))))</f>
        <v>0.19365324810786363</v>
      </c>
      <c r="AG11" s="12" t="s">
        <v>193</v>
      </c>
      <c r="AH11" s="12"/>
      <c r="AI11" s="12" t="s">
        <v>781</v>
      </c>
      <c r="AJ11" s="12" t="s">
        <v>348</v>
      </c>
      <c r="AK11" s="12"/>
      <c r="AL11" s="12"/>
      <c r="AM11" s="10" t="s">
        <v>746</v>
      </c>
      <c r="AN11" s="10" t="s">
        <v>157</v>
      </c>
    </row>
    <row r="12" spans="1:40" s="10" customFormat="1" x14ac:dyDescent="0.2">
      <c r="A12" s="11">
        <v>2018</v>
      </c>
      <c r="B12" s="10">
        <v>30484269</v>
      </c>
      <c r="C12" s="10" t="s">
        <v>113</v>
      </c>
      <c r="D12" s="10" t="s">
        <v>906</v>
      </c>
      <c r="E12" s="10" t="s">
        <v>157</v>
      </c>
      <c r="F12" s="10" t="s">
        <v>66</v>
      </c>
      <c r="G12" s="10" t="s">
        <v>66</v>
      </c>
      <c r="H12" s="10" t="s">
        <v>66</v>
      </c>
      <c r="I12" s="10">
        <v>1</v>
      </c>
      <c r="J12" s="10" t="s">
        <v>910</v>
      </c>
      <c r="K12" s="10" t="s">
        <v>910</v>
      </c>
      <c r="L12" s="10" t="s">
        <v>156</v>
      </c>
      <c r="M12" s="10" t="s">
        <v>902</v>
      </c>
      <c r="N12" s="10" t="s">
        <v>766</v>
      </c>
      <c r="P12" s="10" t="s">
        <v>911</v>
      </c>
      <c r="Q12" s="10">
        <v>2</v>
      </c>
      <c r="R12" s="10">
        <v>114</v>
      </c>
      <c r="S12" s="10">
        <v>60.1</v>
      </c>
      <c r="T12" s="13">
        <v>33</v>
      </c>
      <c r="U12" s="10" t="s">
        <v>459</v>
      </c>
      <c r="V12" s="10" t="s">
        <v>635</v>
      </c>
      <c r="W12" s="12">
        <v>332.7</v>
      </c>
      <c r="X12" s="12">
        <v>379.1</v>
      </c>
      <c r="Y12" s="12">
        <v>105</v>
      </c>
      <c r="Z12" s="12">
        <v>71</v>
      </c>
      <c r="AA12" s="15">
        <v>58</v>
      </c>
      <c r="AB12" s="15">
        <v>56</v>
      </c>
      <c r="AC12" s="12">
        <f t="shared" si="12"/>
        <v>-46.400000000000034</v>
      </c>
      <c r="AD12" s="12">
        <f t="shared" si="13"/>
        <v>89.924571566555557</v>
      </c>
      <c r="AE12" s="12">
        <f t="shared" si="14"/>
        <v>-0.51598800185173155</v>
      </c>
      <c r="AF12" s="12">
        <f t="shared" si="15"/>
        <v>0.1904370167126006</v>
      </c>
      <c r="AG12" s="12" t="s">
        <v>157</v>
      </c>
      <c r="AH12" s="12"/>
      <c r="AI12" s="12" t="s">
        <v>39</v>
      </c>
      <c r="AJ12" s="12" t="s">
        <v>348</v>
      </c>
      <c r="AK12" s="12"/>
      <c r="AL12" s="12"/>
      <c r="AM12" s="10" t="s">
        <v>746</v>
      </c>
      <c r="AN12" s="10" t="s">
        <v>157</v>
      </c>
    </row>
    <row r="13" spans="1:40" s="10" customFormat="1" x14ac:dyDescent="0.2">
      <c r="A13" s="11">
        <v>2019</v>
      </c>
      <c r="B13" s="43">
        <v>31641769</v>
      </c>
      <c r="C13" s="4" t="s">
        <v>358</v>
      </c>
      <c r="E13" s="10" t="s">
        <v>157</v>
      </c>
      <c r="F13" s="10" t="s">
        <v>192</v>
      </c>
      <c r="G13" s="10" t="s">
        <v>559</v>
      </c>
      <c r="H13" s="10" t="s">
        <v>559</v>
      </c>
      <c r="J13" s="10" t="s">
        <v>86</v>
      </c>
      <c r="K13" s="10" t="s">
        <v>86</v>
      </c>
      <c r="L13" s="10" t="s">
        <v>357</v>
      </c>
      <c r="M13" s="10" t="s">
        <v>902</v>
      </c>
      <c r="N13" s="10" t="s">
        <v>766</v>
      </c>
      <c r="O13" s="10" t="s">
        <v>646</v>
      </c>
      <c r="P13" s="10" t="s">
        <v>911</v>
      </c>
      <c r="Q13" s="10">
        <v>2</v>
      </c>
      <c r="R13" s="10">
        <v>19084</v>
      </c>
      <c r="S13" s="10">
        <v>60.5</v>
      </c>
      <c r="T13" s="13">
        <v>44</v>
      </c>
      <c r="U13" s="11" t="s">
        <v>637</v>
      </c>
      <c r="V13" s="11" t="s">
        <v>635</v>
      </c>
      <c r="W13" s="18">
        <v>118</v>
      </c>
      <c r="X13" s="18">
        <v>114</v>
      </c>
      <c r="Y13" s="18">
        <v>16.600000000000001</v>
      </c>
      <c r="Z13" s="18">
        <v>14.6</v>
      </c>
      <c r="AA13" s="17">
        <v>9532</v>
      </c>
      <c r="AB13" s="17">
        <v>9552</v>
      </c>
      <c r="AC13" s="18">
        <f t="shared" ref="AC13" si="16">W13-X13</f>
        <v>4</v>
      </c>
      <c r="AD13" s="18">
        <f t="shared" ref="AD13" si="17">SQRT(((AA13-1)*Y13^2+(AB13-1)*Z13^2)/(AA13+AB13-2))</f>
        <v>15.630972427371864</v>
      </c>
      <c r="AE13" s="18">
        <f t="shared" ref="AE13" si="18">AC13/AD13</f>
        <v>0.25590218513823748</v>
      </c>
      <c r="AF13" s="18">
        <f t="shared" ref="AF13" si="19">SQRT(((AA13+AB13)/(AA13*AB13)+(AE13^2/(2*(AA13+AB13)))))</f>
        <v>1.4536699192802694E-2</v>
      </c>
      <c r="AG13" s="18" t="s">
        <v>193</v>
      </c>
      <c r="AH13" s="18" t="s">
        <v>193</v>
      </c>
      <c r="AI13" s="18" t="s">
        <v>780</v>
      </c>
      <c r="AJ13" s="18" t="s">
        <v>348</v>
      </c>
      <c r="AK13" s="18"/>
      <c r="AL13" s="18"/>
      <c r="AM13" s="10" t="s">
        <v>686</v>
      </c>
      <c r="AN13" s="10" t="s">
        <v>193</v>
      </c>
    </row>
    <row r="14" spans="1:40" s="10" customFormat="1" x14ac:dyDescent="0.2">
      <c r="A14" s="11">
        <v>2019</v>
      </c>
      <c r="B14" s="10">
        <v>31641769</v>
      </c>
      <c r="C14" s="4" t="s">
        <v>358</v>
      </c>
      <c r="E14" s="10" t="s">
        <v>157</v>
      </c>
      <c r="F14" s="10" t="s">
        <v>192</v>
      </c>
      <c r="G14" s="10" t="s">
        <v>559</v>
      </c>
      <c r="H14" s="10" t="s">
        <v>559</v>
      </c>
      <c r="J14" s="10" t="s">
        <v>86</v>
      </c>
      <c r="K14" s="10" t="s">
        <v>86</v>
      </c>
      <c r="L14" s="10" t="s">
        <v>357</v>
      </c>
      <c r="M14" s="10" t="s">
        <v>902</v>
      </c>
      <c r="N14" s="10" t="s">
        <v>766</v>
      </c>
      <c r="O14" s="10" t="s">
        <v>646</v>
      </c>
      <c r="P14" s="10" t="s">
        <v>911</v>
      </c>
      <c r="Q14" s="10">
        <v>2</v>
      </c>
      <c r="R14" s="10">
        <v>19084</v>
      </c>
      <c r="S14" s="10">
        <v>60.5</v>
      </c>
      <c r="T14" s="13">
        <v>44</v>
      </c>
      <c r="U14" s="11" t="s">
        <v>638</v>
      </c>
      <c r="V14" s="11" t="s">
        <v>635</v>
      </c>
      <c r="W14" s="18">
        <v>66.099999999999994</v>
      </c>
      <c r="X14" s="18">
        <v>64.5</v>
      </c>
      <c r="Y14" s="18">
        <v>10.1</v>
      </c>
      <c r="Z14" s="18">
        <v>9.3000000000000007</v>
      </c>
      <c r="AA14" s="17">
        <v>9532</v>
      </c>
      <c r="AB14" s="17">
        <v>9552</v>
      </c>
      <c r="AC14" s="18">
        <f t="shared" ref="AC14:AC18" si="20">W14-X14</f>
        <v>1.5999999999999943</v>
      </c>
      <c r="AD14" s="18">
        <f t="shared" ref="AD14:AD18" si="21">SQRT(((AA14-1)*Y14^2+(AB14-1)*Z14^2)/(AA14+AB14-2))</f>
        <v>9.7078250231780263</v>
      </c>
      <c r="AE14" s="18">
        <f t="shared" ref="AE14:AE18" si="22">AC14/AD14</f>
        <v>0.16481549638357679</v>
      </c>
      <c r="AF14" s="18">
        <f t="shared" ref="AF14:AF18" si="23">SQRT(((AA14+AB14)/(AA14*AB14)+(AE14^2/(2*(AA14+AB14)))))</f>
        <v>1.4502123788573365E-2</v>
      </c>
      <c r="AG14" s="18" t="s">
        <v>193</v>
      </c>
      <c r="AH14" s="18"/>
      <c r="AI14" s="18" t="s">
        <v>780</v>
      </c>
      <c r="AJ14" s="18" t="s">
        <v>348</v>
      </c>
      <c r="AK14" s="18" t="s">
        <v>1298</v>
      </c>
      <c r="AL14" s="18"/>
      <c r="AM14" s="10" t="s">
        <v>686</v>
      </c>
      <c r="AN14" s="10" t="s">
        <v>193</v>
      </c>
    </row>
    <row r="15" spans="1:40" s="10" customFormat="1" x14ac:dyDescent="0.2">
      <c r="A15" s="11">
        <v>2019</v>
      </c>
      <c r="B15" s="10">
        <v>31641769</v>
      </c>
      <c r="C15" s="4" t="s">
        <v>358</v>
      </c>
      <c r="E15" s="10" t="s">
        <v>157</v>
      </c>
      <c r="F15" s="10" t="s">
        <v>192</v>
      </c>
      <c r="G15" s="10" t="s">
        <v>559</v>
      </c>
      <c r="H15" s="10" t="s">
        <v>559</v>
      </c>
      <c r="J15" s="10" t="s">
        <v>86</v>
      </c>
      <c r="K15" s="10" t="s">
        <v>86</v>
      </c>
      <c r="L15" s="10" t="s">
        <v>357</v>
      </c>
      <c r="M15" s="10" t="s">
        <v>902</v>
      </c>
      <c r="N15" s="10" t="s">
        <v>766</v>
      </c>
      <c r="O15" s="10" t="s">
        <v>646</v>
      </c>
      <c r="P15" s="10" t="s">
        <v>911</v>
      </c>
      <c r="Q15" s="10">
        <v>2</v>
      </c>
      <c r="R15" s="10">
        <v>19084</v>
      </c>
      <c r="S15" s="10">
        <v>60.5</v>
      </c>
      <c r="T15" s="13">
        <v>44</v>
      </c>
      <c r="U15" s="11" t="s">
        <v>644</v>
      </c>
      <c r="V15" s="11" t="s">
        <v>642</v>
      </c>
      <c r="W15" s="18">
        <v>129.5</v>
      </c>
      <c r="X15" s="18">
        <v>129.19999999999999</v>
      </c>
      <c r="Y15" s="18">
        <v>14.7</v>
      </c>
      <c r="Z15" s="18">
        <v>13.4</v>
      </c>
      <c r="AA15" s="17">
        <v>9532</v>
      </c>
      <c r="AB15" s="17">
        <v>9552</v>
      </c>
      <c r="AC15" s="18">
        <f t="shared" si="20"/>
        <v>0.30000000000001137</v>
      </c>
      <c r="AD15" s="18">
        <f t="shared" ref="AD15:AD16" si="24">SQRT(((AA15-1)*Y15^2+(AB15-1)*Z15^2)/(AA15+AB15-2))</f>
        <v>14.064346991750829</v>
      </c>
      <c r="AE15" s="18">
        <f t="shared" ref="AE15:AE16" si="25">AC15/AD15</f>
        <v>2.1330531746406041E-2</v>
      </c>
      <c r="AF15" s="18">
        <f t="shared" ref="AF15:AF16" si="26">SQRT(((AA15+AB15)/(AA15*AB15)+(AE15^2/(2*(AA15+AB15)))))</f>
        <v>1.4477976916843242E-2</v>
      </c>
      <c r="AG15" s="18" t="s">
        <v>193</v>
      </c>
      <c r="AH15" s="18"/>
      <c r="AI15" s="18" t="s">
        <v>780</v>
      </c>
      <c r="AJ15" s="18" t="s">
        <v>348</v>
      </c>
      <c r="AK15" s="18" t="s">
        <v>1298</v>
      </c>
      <c r="AL15" s="18"/>
      <c r="AM15" s="10" t="s">
        <v>686</v>
      </c>
      <c r="AN15" s="10" t="s">
        <v>193</v>
      </c>
    </row>
    <row r="16" spans="1:40" s="10" customFormat="1" x14ac:dyDescent="0.2">
      <c r="A16" s="11">
        <v>2019</v>
      </c>
      <c r="B16" s="10">
        <v>31641769</v>
      </c>
      <c r="C16" s="4" t="s">
        <v>358</v>
      </c>
      <c r="E16" s="10" t="s">
        <v>157</v>
      </c>
      <c r="F16" s="10" t="s">
        <v>192</v>
      </c>
      <c r="G16" s="10" t="s">
        <v>559</v>
      </c>
      <c r="H16" s="10" t="s">
        <v>559</v>
      </c>
      <c r="J16" s="10" t="s">
        <v>86</v>
      </c>
      <c r="K16" s="10" t="s">
        <v>86</v>
      </c>
      <c r="L16" s="10" t="s">
        <v>357</v>
      </c>
      <c r="M16" s="10" t="s">
        <v>902</v>
      </c>
      <c r="N16" s="10" t="s">
        <v>766</v>
      </c>
      <c r="O16" s="10" t="s">
        <v>646</v>
      </c>
      <c r="P16" s="10" t="s">
        <v>911</v>
      </c>
      <c r="Q16" s="10">
        <v>2</v>
      </c>
      <c r="R16" s="10">
        <v>19084</v>
      </c>
      <c r="S16" s="10">
        <v>60.5</v>
      </c>
      <c r="T16" s="13">
        <v>44</v>
      </c>
      <c r="U16" s="11" t="s">
        <v>645</v>
      </c>
      <c r="V16" s="11" t="s">
        <v>642</v>
      </c>
      <c r="W16" s="18">
        <v>76.7</v>
      </c>
      <c r="X16" s="18">
        <v>76.3</v>
      </c>
      <c r="Y16" s="18">
        <v>10.6</v>
      </c>
      <c r="Z16" s="18">
        <v>10</v>
      </c>
      <c r="AA16" s="17">
        <v>9532</v>
      </c>
      <c r="AB16" s="17">
        <v>9552</v>
      </c>
      <c r="AC16" s="18">
        <f t="shared" si="20"/>
        <v>0.40000000000000568</v>
      </c>
      <c r="AD16" s="18">
        <f t="shared" si="24"/>
        <v>10.304053701895278</v>
      </c>
      <c r="AE16" s="18">
        <f t="shared" si="25"/>
        <v>3.8819673457877228E-2</v>
      </c>
      <c r="AF16" s="18">
        <f t="shared" si="26"/>
        <v>1.4478928735154136E-2</v>
      </c>
      <c r="AG16" s="18" t="s">
        <v>193</v>
      </c>
      <c r="AH16" s="18"/>
      <c r="AI16" s="18" t="s">
        <v>780</v>
      </c>
      <c r="AJ16" s="18" t="s">
        <v>348</v>
      </c>
      <c r="AK16" s="18" t="s">
        <v>1298</v>
      </c>
      <c r="AL16" s="18"/>
      <c r="AM16" s="10" t="s">
        <v>686</v>
      </c>
      <c r="AN16" s="10" t="s">
        <v>193</v>
      </c>
    </row>
    <row r="17" spans="1:40" s="10" customFormat="1" x14ac:dyDescent="0.2">
      <c r="A17" s="11">
        <v>2019</v>
      </c>
      <c r="B17" s="10">
        <v>31641769</v>
      </c>
      <c r="C17" s="4" t="s">
        <v>358</v>
      </c>
      <c r="E17" s="10" t="s">
        <v>157</v>
      </c>
      <c r="F17" s="10" t="s">
        <v>192</v>
      </c>
      <c r="G17" s="10" t="s">
        <v>559</v>
      </c>
      <c r="H17" s="10" t="s">
        <v>559</v>
      </c>
      <c r="J17" s="10" t="s">
        <v>86</v>
      </c>
      <c r="K17" s="10" t="s">
        <v>86</v>
      </c>
      <c r="L17" s="10" t="s">
        <v>357</v>
      </c>
      <c r="M17" s="10" t="s">
        <v>902</v>
      </c>
      <c r="N17" s="10" t="s">
        <v>766</v>
      </c>
      <c r="O17" s="10" t="s">
        <v>646</v>
      </c>
      <c r="P17" s="10" t="s">
        <v>911</v>
      </c>
      <c r="Q17" s="10">
        <v>2</v>
      </c>
      <c r="R17" s="10">
        <v>19084</v>
      </c>
      <c r="S17" s="10">
        <v>60.5</v>
      </c>
      <c r="T17" s="13">
        <v>44</v>
      </c>
      <c r="U17" s="11" t="s">
        <v>640</v>
      </c>
      <c r="V17" s="11" t="s">
        <v>635</v>
      </c>
      <c r="W17" s="18">
        <v>125.6</v>
      </c>
      <c r="X17" s="18">
        <v>124.3</v>
      </c>
      <c r="Y17" s="18">
        <v>14.5</v>
      </c>
      <c r="Z17" s="18">
        <v>12.9</v>
      </c>
      <c r="AA17" s="17">
        <v>9532</v>
      </c>
      <c r="AB17" s="17">
        <v>9552</v>
      </c>
      <c r="AC17" s="18">
        <f t="shared" si="20"/>
        <v>1.2999999999999972</v>
      </c>
      <c r="AD17" s="18">
        <f t="shared" si="21"/>
        <v>13.722500700274292</v>
      </c>
      <c r="AE17" s="18">
        <f t="shared" si="22"/>
        <v>9.4734919559815514E-2</v>
      </c>
      <c r="AF17" s="18">
        <f t="shared" si="23"/>
        <v>1.4485683682124386E-2</v>
      </c>
      <c r="AG17" s="18" t="s">
        <v>193</v>
      </c>
      <c r="AH17" s="18"/>
      <c r="AI17" s="18" t="s">
        <v>780</v>
      </c>
      <c r="AJ17" s="18" t="s">
        <v>348</v>
      </c>
      <c r="AK17" s="18" t="s">
        <v>1298</v>
      </c>
      <c r="AL17" s="18"/>
      <c r="AM17" s="10" t="s">
        <v>686</v>
      </c>
      <c r="AN17" s="10" t="s">
        <v>193</v>
      </c>
    </row>
    <row r="18" spans="1:40" s="10" customFormat="1" x14ac:dyDescent="0.2">
      <c r="A18" s="11">
        <v>2019</v>
      </c>
      <c r="B18" s="10">
        <v>31641769</v>
      </c>
      <c r="C18" s="4" t="s">
        <v>358</v>
      </c>
      <c r="E18" s="10" t="s">
        <v>157</v>
      </c>
      <c r="F18" s="10" t="s">
        <v>192</v>
      </c>
      <c r="G18" s="10" t="s">
        <v>559</v>
      </c>
      <c r="H18" s="10" t="s">
        <v>559</v>
      </c>
      <c r="J18" s="10" t="s">
        <v>86</v>
      </c>
      <c r="K18" s="10" t="s">
        <v>86</v>
      </c>
      <c r="L18" s="10" t="s">
        <v>357</v>
      </c>
      <c r="M18" s="10" t="s">
        <v>902</v>
      </c>
      <c r="N18" s="10" t="s">
        <v>766</v>
      </c>
      <c r="O18" s="10" t="s">
        <v>646</v>
      </c>
      <c r="P18" s="10" t="s">
        <v>911</v>
      </c>
      <c r="Q18" s="10">
        <v>2</v>
      </c>
      <c r="R18" s="10">
        <v>19084</v>
      </c>
      <c r="S18" s="10">
        <v>60.5</v>
      </c>
      <c r="T18" s="13">
        <v>44</v>
      </c>
      <c r="U18" s="11" t="s">
        <v>641</v>
      </c>
      <c r="V18" s="11" t="s">
        <v>635</v>
      </c>
      <c r="W18" s="18">
        <v>73.099999999999994</v>
      </c>
      <c r="X18" s="18">
        <v>72.2</v>
      </c>
      <c r="Y18" s="18">
        <v>9.9</v>
      </c>
      <c r="Z18" s="18">
        <v>9.1999999999999993</v>
      </c>
      <c r="AA18" s="17">
        <v>9532</v>
      </c>
      <c r="AB18" s="17">
        <v>9552</v>
      </c>
      <c r="AC18" s="18">
        <f t="shared" si="20"/>
        <v>0.89999999999999147</v>
      </c>
      <c r="AD18" s="18">
        <f t="shared" si="21"/>
        <v>9.5560448616003555</v>
      </c>
      <c r="AE18" s="18">
        <f t="shared" si="22"/>
        <v>9.4181223825823279E-2</v>
      </c>
      <c r="AF18" s="18">
        <f t="shared" si="23"/>
        <v>1.4485589086016059E-2</v>
      </c>
      <c r="AG18" s="18" t="s">
        <v>193</v>
      </c>
      <c r="AH18" s="18"/>
      <c r="AI18" s="18" t="s">
        <v>780</v>
      </c>
      <c r="AJ18" s="18" t="s">
        <v>348</v>
      </c>
      <c r="AK18" s="18" t="s">
        <v>1298</v>
      </c>
      <c r="AL18" s="18"/>
      <c r="AM18" s="10" t="s">
        <v>686</v>
      </c>
      <c r="AN18" s="10" t="s">
        <v>193</v>
      </c>
    </row>
    <row r="19" spans="1:40" s="10" customFormat="1" x14ac:dyDescent="0.2">
      <c r="A19" s="11">
        <v>2019</v>
      </c>
      <c r="B19" s="10">
        <v>31641769</v>
      </c>
      <c r="C19" s="4" t="s">
        <v>358</v>
      </c>
      <c r="E19" s="10" t="s">
        <v>157</v>
      </c>
      <c r="F19" s="10" t="s">
        <v>192</v>
      </c>
      <c r="G19" s="10" t="s">
        <v>559</v>
      </c>
      <c r="H19" s="10" t="s">
        <v>559</v>
      </c>
      <c r="J19" s="10" t="s">
        <v>86</v>
      </c>
      <c r="K19" s="10" t="s">
        <v>86</v>
      </c>
      <c r="L19" s="10" t="s">
        <v>357</v>
      </c>
      <c r="M19" s="10" t="s">
        <v>902</v>
      </c>
      <c r="N19" s="10" t="s">
        <v>766</v>
      </c>
      <c r="O19" s="10" t="s">
        <v>646</v>
      </c>
      <c r="P19" s="10" t="s">
        <v>911</v>
      </c>
      <c r="Q19" s="10">
        <v>2</v>
      </c>
      <c r="R19" s="10">
        <v>19084</v>
      </c>
      <c r="S19" s="10">
        <v>60.5</v>
      </c>
      <c r="T19" s="13">
        <v>44</v>
      </c>
      <c r="U19" s="11" t="s">
        <v>460</v>
      </c>
      <c r="V19" s="11" t="s">
        <v>635</v>
      </c>
      <c r="W19" s="18"/>
      <c r="X19" s="18"/>
      <c r="Y19" s="18"/>
      <c r="Z19" s="18"/>
      <c r="AA19" s="17"/>
      <c r="AB19" s="17"/>
      <c r="AC19" s="18"/>
      <c r="AD19" s="18"/>
      <c r="AE19" s="18"/>
      <c r="AF19" s="18"/>
      <c r="AG19" s="18" t="s">
        <v>157</v>
      </c>
      <c r="AH19" s="18"/>
      <c r="AI19" s="18" t="s">
        <v>1300</v>
      </c>
      <c r="AJ19" s="18" t="s">
        <v>348</v>
      </c>
      <c r="AK19" s="18" t="s">
        <v>1299</v>
      </c>
      <c r="AL19" s="18"/>
      <c r="AM19" s="10" t="s">
        <v>686</v>
      </c>
      <c r="AN19" s="10" t="s">
        <v>193</v>
      </c>
    </row>
    <row r="20" spans="1:40" s="10" customFormat="1" x14ac:dyDescent="0.2">
      <c r="A20" s="4">
        <v>2015</v>
      </c>
      <c r="B20" s="43">
        <v>25259546</v>
      </c>
      <c r="C20" s="4" t="s">
        <v>107</v>
      </c>
      <c r="D20" s="4"/>
      <c r="E20" s="4" t="s">
        <v>157</v>
      </c>
      <c r="F20" s="4" t="s">
        <v>108</v>
      </c>
      <c r="G20" s="4" t="s">
        <v>109</v>
      </c>
      <c r="H20" s="4" t="s">
        <v>109</v>
      </c>
      <c r="I20" s="4">
        <v>7</v>
      </c>
      <c r="J20" s="10" t="s">
        <v>86</v>
      </c>
      <c r="K20" s="10" t="s">
        <v>86</v>
      </c>
      <c r="L20" s="10" t="s">
        <v>156</v>
      </c>
      <c r="M20" s="10" t="s">
        <v>902</v>
      </c>
      <c r="N20" s="10" t="s">
        <v>766</v>
      </c>
      <c r="O20" s="10" t="s">
        <v>643</v>
      </c>
      <c r="P20" s="10" t="s">
        <v>809</v>
      </c>
      <c r="Q20" s="10">
        <v>2</v>
      </c>
      <c r="R20" s="4">
        <v>639</v>
      </c>
      <c r="S20" s="4">
        <v>61.4</v>
      </c>
      <c r="T20" s="32">
        <v>44</v>
      </c>
      <c r="U20" s="11" t="s">
        <v>640</v>
      </c>
      <c r="V20" s="11" t="s">
        <v>642</v>
      </c>
      <c r="W20" s="18">
        <v>130.1</v>
      </c>
      <c r="X20" s="18">
        <v>130.19999999999999</v>
      </c>
      <c r="Y20" s="18">
        <v>12.3</v>
      </c>
      <c r="Z20" s="18">
        <v>12.5</v>
      </c>
      <c r="AA20" s="17">
        <v>316</v>
      </c>
      <c r="AB20" s="17">
        <v>323</v>
      </c>
      <c r="AC20" s="18">
        <f t="shared" ref="AC20" si="27">W20-X20</f>
        <v>-9.9999999999994316E-2</v>
      </c>
      <c r="AD20" s="18">
        <f t="shared" ref="AD20" si="28">SQRT(((AA20-1)*Y20^2+(AB20-1)*Z20^2)/(AA20+AB20-2))</f>
        <v>12.401502035933097</v>
      </c>
      <c r="AE20" s="18">
        <f t="shared" ref="AE20" si="29">AC20/AD20</f>
        <v>-8.063539376943726E-3</v>
      </c>
      <c r="AF20" s="18">
        <f t="shared" ref="AF20" si="30">SQRT(((AA20+AB20)/(AA20*AB20)+(AE20^2/(2*(AA20+AB20)))))</f>
        <v>7.9123846412538085E-2</v>
      </c>
      <c r="AG20" s="18" t="s">
        <v>193</v>
      </c>
      <c r="AH20" s="18" t="s">
        <v>193</v>
      </c>
      <c r="AI20" s="18" t="s">
        <v>780</v>
      </c>
      <c r="AJ20" s="18" t="s">
        <v>328</v>
      </c>
      <c r="AK20" s="18" t="s">
        <v>1299</v>
      </c>
      <c r="AL20" s="18"/>
      <c r="AM20" s="10" t="s">
        <v>687</v>
      </c>
      <c r="AN20" s="10" t="s">
        <v>157</v>
      </c>
    </row>
    <row r="21" spans="1:40" s="10" customFormat="1" x14ac:dyDescent="0.2">
      <c r="A21" s="4">
        <v>2015</v>
      </c>
      <c r="B21" s="10">
        <v>25259546</v>
      </c>
      <c r="C21" s="4" t="s">
        <v>107</v>
      </c>
      <c r="D21" s="4"/>
      <c r="E21" s="4" t="s">
        <v>157</v>
      </c>
      <c r="F21" s="4" t="s">
        <v>108</v>
      </c>
      <c r="G21" s="4" t="s">
        <v>109</v>
      </c>
      <c r="H21" s="4" t="s">
        <v>109</v>
      </c>
      <c r="I21" s="4">
        <v>7</v>
      </c>
      <c r="J21" s="10" t="s">
        <v>86</v>
      </c>
      <c r="K21" s="10" t="s">
        <v>86</v>
      </c>
      <c r="L21" s="10" t="s">
        <v>156</v>
      </c>
      <c r="M21" s="10" t="s">
        <v>902</v>
      </c>
      <c r="N21" s="10" t="s">
        <v>766</v>
      </c>
      <c r="O21" s="10" t="s">
        <v>643</v>
      </c>
      <c r="P21" s="10" t="s">
        <v>809</v>
      </c>
      <c r="Q21" s="10">
        <v>2</v>
      </c>
      <c r="R21" s="4">
        <v>639</v>
      </c>
      <c r="S21" s="4">
        <v>61.4</v>
      </c>
      <c r="T21" s="32">
        <v>44</v>
      </c>
      <c r="U21" s="11" t="s">
        <v>641</v>
      </c>
      <c r="V21" s="11" t="s">
        <v>642</v>
      </c>
      <c r="W21" s="18">
        <v>76.699999999999989</v>
      </c>
      <c r="X21" s="18">
        <v>76.600000000000009</v>
      </c>
      <c r="Y21" s="18">
        <v>7.4</v>
      </c>
      <c r="Z21" s="18">
        <v>7.9</v>
      </c>
      <c r="AA21" s="17">
        <v>316</v>
      </c>
      <c r="AB21" s="17">
        <v>323</v>
      </c>
      <c r="AC21" s="18">
        <f t="shared" ref="AC21:AC25" si="31">W21-X21</f>
        <v>9.9999999999980105E-2</v>
      </c>
      <c r="AD21" s="18">
        <f t="shared" ref="AD21:AD25" si="32">SQRT(((AA21-1)*Y21^2+(AB21-1)*Z21^2)/(AA21+AB21-2))</f>
        <v>7.6568291718591297</v>
      </c>
      <c r="AE21" s="18">
        <f t="shared" ref="AE21:AE25" si="33">AC21/AD21</f>
        <v>1.3060236522907749E-2</v>
      </c>
      <c r="AF21" s="18">
        <f t="shared" ref="AF21:AF25" si="34">SQRT(((AA21+AB21)/(AA21*AB21)+(AE21^2/(2*(AA21+AB21)))))</f>
        <v>7.9124368309664586E-2</v>
      </c>
      <c r="AG21" s="18" t="s">
        <v>193</v>
      </c>
      <c r="AH21" s="18"/>
      <c r="AI21" s="18" t="s">
        <v>780</v>
      </c>
      <c r="AJ21" s="18" t="s">
        <v>348</v>
      </c>
      <c r="AK21" s="18" t="s">
        <v>1298</v>
      </c>
      <c r="AL21" s="18"/>
      <c r="AM21" s="10" t="s">
        <v>687</v>
      </c>
      <c r="AN21" s="10" t="s">
        <v>157</v>
      </c>
    </row>
    <row r="22" spans="1:40" s="10" customFormat="1" x14ac:dyDescent="0.2">
      <c r="A22" s="4">
        <v>2015</v>
      </c>
      <c r="B22" s="10">
        <v>25259546</v>
      </c>
      <c r="C22" s="4" t="s">
        <v>107</v>
      </c>
      <c r="D22" s="4"/>
      <c r="E22" s="4" t="s">
        <v>157</v>
      </c>
      <c r="F22" s="4" t="s">
        <v>108</v>
      </c>
      <c r="G22" s="4" t="s">
        <v>109</v>
      </c>
      <c r="H22" s="4" t="s">
        <v>109</v>
      </c>
      <c r="I22" s="4">
        <v>7</v>
      </c>
      <c r="J22" s="10" t="s">
        <v>86</v>
      </c>
      <c r="K22" s="10" t="s">
        <v>86</v>
      </c>
      <c r="L22" s="10" t="s">
        <v>156</v>
      </c>
      <c r="M22" s="10" t="s">
        <v>902</v>
      </c>
      <c r="N22" s="10" t="s">
        <v>766</v>
      </c>
      <c r="O22" s="10" t="s">
        <v>643</v>
      </c>
      <c r="P22" s="10" t="s">
        <v>809</v>
      </c>
      <c r="Q22" s="10">
        <v>2</v>
      </c>
      <c r="R22" s="4">
        <v>639</v>
      </c>
      <c r="S22" s="4">
        <v>61.4</v>
      </c>
      <c r="T22" s="32">
        <v>44</v>
      </c>
      <c r="U22" s="11" t="s">
        <v>644</v>
      </c>
      <c r="V22" s="11" t="s">
        <v>642</v>
      </c>
      <c r="W22" s="18">
        <v>134.19999999999999</v>
      </c>
      <c r="X22" s="18">
        <v>134.69999999999999</v>
      </c>
      <c r="Y22" s="18">
        <v>13.1</v>
      </c>
      <c r="Z22" s="18">
        <v>13.8</v>
      </c>
      <c r="AA22" s="17">
        <v>316</v>
      </c>
      <c r="AB22" s="17">
        <v>323</v>
      </c>
      <c r="AC22" s="18">
        <f t="shared" si="31"/>
        <v>-0.5</v>
      </c>
      <c r="AD22" s="18">
        <f t="shared" si="32"/>
        <v>13.458397435744775</v>
      </c>
      <c r="AE22" s="18">
        <f t="shared" si="33"/>
        <v>-3.7151525832639407E-2</v>
      </c>
      <c r="AF22" s="18">
        <f t="shared" si="34"/>
        <v>7.9130349367314001E-2</v>
      </c>
      <c r="AG22" s="18" t="s">
        <v>193</v>
      </c>
      <c r="AH22" s="18"/>
      <c r="AI22" s="18" t="s">
        <v>780</v>
      </c>
      <c r="AJ22" s="18" t="s">
        <v>328</v>
      </c>
      <c r="AK22" s="18" t="s">
        <v>1298</v>
      </c>
      <c r="AL22" s="18"/>
      <c r="AM22" s="10" t="s">
        <v>687</v>
      </c>
      <c r="AN22" s="10" t="s">
        <v>157</v>
      </c>
    </row>
    <row r="23" spans="1:40" s="10" customFormat="1" x14ac:dyDescent="0.2">
      <c r="A23" s="4">
        <v>2015</v>
      </c>
      <c r="B23" s="10">
        <v>25259546</v>
      </c>
      <c r="C23" s="4" t="s">
        <v>107</v>
      </c>
      <c r="D23" s="4"/>
      <c r="E23" s="4" t="s">
        <v>157</v>
      </c>
      <c r="F23" s="4" t="s">
        <v>108</v>
      </c>
      <c r="G23" s="4" t="s">
        <v>109</v>
      </c>
      <c r="H23" s="4" t="s">
        <v>109</v>
      </c>
      <c r="I23" s="4">
        <v>7</v>
      </c>
      <c r="J23" s="10" t="s">
        <v>86</v>
      </c>
      <c r="K23" s="10" t="s">
        <v>86</v>
      </c>
      <c r="L23" s="10" t="s">
        <v>156</v>
      </c>
      <c r="M23" s="10" t="s">
        <v>902</v>
      </c>
      <c r="N23" s="10" t="s">
        <v>766</v>
      </c>
      <c r="O23" s="10" t="s">
        <v>643</v>
      </c>
      <c r="P23" s="10" t="s">
        <v>809</v>
      </c>
      <c r="Q23" s="10">
        <v>2</v>
      </c>
      <c r="R23" s="4">
        <v>639</v>
      </c>
      <c r="S23" s="4">
        <v>61.4</v>
      </c>
      <c r="T23" s="32">
        <v>44</v>
      </c>
      <c r="U23" s="11" t="s">
        <v>645</v>
      </c>
      <c r="V23" s="11" t="s">
        <v>642</v>
      </c>
      <c r="W23" s="18">
        <v>79.900000000000006</v>
      </c>
      <c r="X23" s="18">
        <v>80.099999999999994</v>
      </c>
      <c r="Y23" s="18">
        <v>8.3000000000000007</v>
      </c>
      <c r="Z23" s="18">
        <v>9</v>
      </c>
      <c r="AA23" s="17">
        <v>316</v>
      </c>
      <c r="AB23" s="17">
        <v>323</v>
      </c>
      <c r="AC23" s="18">
        <f t="shared" si="31"/>
        <v>-0.19999999999998863</v>
      </c>
      <c r="AD23" s="18">
        <f t="shared" si="32"/>
        <v>8.6609201856118307</v>
      </c>
      <c r="AE23" s="18">
        <f t="shared" si="33"/>
        <v>-2.309223451016713E-2</v>
      </c>
      <c r="AF23" s="18">
        <f t="shared" si="34"/>
        <v>7.912616159499733E-2</v>
      </c>
      <c r="AG23" s="18" t="s">
        <v>193</v>
      </c>
      <c r="AH23" s="18"/>
      <c r="AI23" s="18" t="s">
        <v>780</v>
      </c>
      <c r="AJ23" s="18" t="s">
        <v>348</v>
      </c>
      <c r="AK23" s="18" t="s">
        <v>1298</v>
      </c>
      <c r="AL23" s="18"/>
      <c r="AM23" s="10" t="s">
        <v>687</v>
      </c>
      <c r="AN23" s="10" t="s">
        <v>157</v>
      </c>
    </row>
    <row r="24" spans="1:40" s="10" customFormat="1" x14ac:dyDescent="0.2">
      <c r="A24" s="4">
        <v>2015</v>
      </c>
      <c r="B24" s="10">
        <v>25259546</v>
      </c>
      <c r="C24" s="4" t="s">
        <v>107</v>
      </c>
      <c r="D24" s="4"/>
      <c r="E24" s="4" t="s">
        <v>157</v>
      </c>
      <c r="F24" s="4" t="s">
        <v>108</v>
      </c>
      <c r="G24" s="4" t="s">
        <v>109</v>
      </c>
      <c r="H24" s="4" t="s">
        <v>109</v>
      </c>
      <c r="I24" s="4">
        <v>7</v>
      </c>
      <c r="J24" s="10" t="s">
        <v>86</v>
      </c>
      <c r="K24" s="10" t="s">
        <v>86</v>
      </c>
      <c r="L24" s="10" t="s">
        <v>156</v>
      </c>
      <c r="M24" s="10" t="s">
        <v>902</v>
      </c>
      <c r="N24" s="10" t="s">
        <v>766</v>
      </c>
      <c r="O24" s="10" t="s">
        <v>643</v>
      </c>
      <c r="P24" s="10" t="s">
        <v>809</v>
      </c>
      <c r="Q24" s="10">
        <v>2</v>
      </c>
      <c r="R24" s="4">
        <v>639</v>
      </c>
      <c r="S24" s="4">
        <v>61.4</v>
      </c>
      <c r="T24" s="32">
        <v>44</v>
      </c>
      <c r="U24" s="11" t="s">
        <v>637</v>
      </c>
      <c r="V24" s="11" t="s">
        <v>642</v>
      </c>
      <c r="W24" s="18">
        <v>120.2</v>
      </c>
      <c r="X24" s="18">
        <v>119.60000000000001</v>
      </c>
      <c r="Y24" s="18">
        <v>15.6</v>
      </c>
      <c r="Z24" s="18">
        <v>14.1</v>
      </c>
      <c r="AA24" s="17">
        <v>316</v>
      </c>
      <c r="AB24" s="17">
        <v>323</v>
      </c>
      <c r="AC24" s="18">
        <f t="shared" si="31"/>
        <v>0.59999999999999432</v>
      </c>
      <c r="AD24" s="18">
        <f t="shared" si="32"/>
        <v>14.860693785292117</v>
      </c>
      <c r="AE24" s="18">
        <f t="shared" si="33"/>
        <v>4.0374965574879455E-2</v>
      </c>
      <c r="AF24" s="18">
        <f t="shared" si="34"/>
        <v>7.9131584923110621E-2</v>
      </c>
      <c r="AG24" s="18" t="s">
        <v>193</v>
      </c>
      <c r="AH24" s="18"/>
      <c r="AI24" s="18" t="s">
        <v>780</v>
      </c>
      <c r="AJ24" s="18" t="s">
        <v>348</v>
      </c>
      <c r="AK24" s="18" t="s">
        <v>1298</v>
      </c>
      <c r="AL24" s="18"/>
      <c r="AM24" s="10" t="s">
        <v>687</v>
      </c>
      <c r="AN24" s="10" t="s">
        <v>157</v>
      </c>
    </row>
    <row r="25" spans="1:40" s="10" customFormat="1" x14ac:dyDescent="0.2">
      <c r="A25" s="4">
        <v>2015</v>
      </c>
      <c r="B25" s="10">
        <v>25259546</v>
      </c>
      <c r="C25" s="4" t="s">
        <v>107</v>
      </c>
      <c r="D25" s="4"/>
      <c r="E25" s="4" t="s">
        <v>157</v>
      </c>
      <c r="F25" s="4" t="s">
        <v>108</v>
      </c>
      <c r="G25" s="4" t="s">
        <v>109</v>
      </c>
      <c r="H25" s="4" t="s">
        <v>109</v>
      </c>
      <c r="I25" s="4">
        <v>7</v>
      </c>
      <c r="J25" s="10" t="s">
        <v>86</v>
      </c>
      <c r="K25" s="10" t="s">
        <v>86</v>
      </c>
      <c r="L25" s="10" t="s">
        <v>156</v>
      </c>
      <c r="M25" s="10" t="s">
        <v>902</v>
      </c>
      <c r="N25" s="10" t="s">
        <v>766</v>
      </c>
      <c r="O25" s="10" t="s">
        <v>643</v>
      </c>
      <c r="P25" s="10" t="s">
        <v>809</v>
      </c>
      <c r="Q25" s="10">
        <v>2</v>
      </c>
      <c r="R25" s="4">
        <v>639</v>
      </c>
      <c r="S25" s="4">
        <v>61.4</v>
      </c>
      <c r="T25" s="32">
        <v>44</v>
      </c>
      <c r="U25" s="11" t="s">
        <v>638</v>
      </c>
      <c r="V25" s="11" t="s">
        <v>642</v>
      </c>
      <c r="W25" s="18">
        <v>69.399999999999991</v>
      </c>
      <c r="X25" s="18">
        <v>68.800000000000011</v>
      </c>
      <c r="Y25" s="18">
        <v>9.1999999999999993</v>
      </c>
      <c r="Z25" s="18">
        <v>9</v>
      </c>
      <c r="AA25" s="17">
        <v>316</v>
      </c>
      <c r="AB25" s="17">
        <v>323</v>
      </c>
      <c r="AC25" s="18">
        <f t="shared" si="31"/>
        <v>0.5999999999999801</v>
      </c>
      <c r="AD25" s="18">
        <f t="shared" si="32"/>
        <v>9.0994505328618605</v>
      </c>
      <c r="AE25" s="18">
        <f t="shared" si="33"/>
        <v>6.5938047339576519E-2</v>
      </c>
      <c r="AF25" s="18">
        <f t="shared" si="34"/>
        <v>7.9145020368084948E-2</v>
      </c>
      <c r="AG25" s="18" t="s">
        <v>193</v>
      </c>
      <c r="AI25" s="10" t="s">
        <v>780</v>
      </c>
      <c r="AJ25" s="18" t="s">
        <v>348</v>
      </c>
      <c r="AK25" s="18" t="s">
        <v>1298</v>
      </c>
      <c r="AL25" s="18"/>
      <c r="AM25" s="10" t="s">
        <v>687</v>
      </c>
      <c r="AN25" s="10" t="s">
        <v>157</v>
      </c>
    </row>
    <row r="26" spans="1:40" s="10" customFormat="1" x14ac:dyDescent="0.2">
      <c r="A26" s="10">
        <v>2019</v>
      </c>
      <c r="B26" s="43">
        <v>31575744</v>
      </c>
      <c r="C26" s="10" t="s">
        <v>199</v>
      </c>
      <c r="E26" s="10" t="s">
        <v>157</v>
      </c>
      <c r="F26" s="10" t="s">
        <v>1169</v>
      </c>
      <c r="G26" s="10" t="s">
        <v>1100</v>
      </c>
      <c r="H26" s="10" t="s">
        <v>1100</v>
      </c>
      <c r="I26" s="10">
        <v>4</v>
      </c>
      <c r="J26" s="10" t="s">
        <v>86</v>
      </c>
      <c r="K26" s="10" t="s">
        <v>86</v>
      </c>
      <c r="L26" s="10" t="s">
        <v>242</v>
      </c>
      <c r="M26" s="10" t="s">
        <v>736</v>
      </c>
      <c r="N26" s="10" t="s">
        <v>736</v>
      </c>
      <c r="P26" s="10" t="s">
        <v>911</v>
      </c>
      <c r="Q26" s="10" t="s">
        <v>900</v>
      </c>
      <c r="R26" s="10">
        <v>1000</v>
      </c>
      <c r="T26" s="13">
        <v>43</v>
      </c>
      <c r="U26" s="11" t="s">
        <v>471</v>
      </c>
      <c r="V26" s="11" t="s">
        <v>635</v>
      </c>
      <c r="W26" s="18">
        <v>7.8</v>
      </c>
      <c r="X26" s="12">
        <v>11</v>
      </c>
      <c r="Y26" s="18">
        <v>10.199999999999999</v>
      </c>
      <c r="Z26" s="18">
        <v>10.45</v>
      </c>
      <c r="AA26" s="17">
        <v>1000</v>
      </c>
      <c r="AB26" s="17">
        <v>1000</v>
      </c>
      <c r="AC26" s="18">
        <f t="shared" ref="AC26:AC27" si="35">W26-X26</f>
        <v>-3.2</v>
      </c>
      <c r="AD26" s="18">
        <f t="shared" ref="AD26:AD27" si="36">SQRT(((AA26-1)*Y26^2+(AB26-1)*Z26^2)/(AA26+AB26-2))</f>
        <v>10.32575663087214</v>
      </c>
      <c r="AE26" s="18">
        <f t="shared" ref="AE26:AE27" si="37">AC26/AD26</f>
        <v>-0.30990465051564164</v>
      </c>
      <c r="AF26" s="18">
        <f t="shared" ref="AF26:AF27" si="38">SQRT(((AA26+AB26)/(AA26*AB26)+(AE26^2/(2*(AA26+AB26)))))</f>
        <v>4.4989001134752987E-2</v>
      </c>
      <c r="AG26" s="18" t="s">
        <v>193</v>
      </c>
      <c r="AH26" s="18" t="s">
        <v>193</v>
      </c>
      <c r="AI26" s="18" t="s">
        <v>780</v>
      </c>
      <c r="AJ26" s="18" t="s">
        <v>348</v>
      </c>
      <c r="AK26" s="18"/>
      <c r="AL26" s="18"/>
      <c r="AM26" s="10" t="s">
        <v>688</v>
      </c>
      <c r="AN26" s="10" t="s">
        <v>157</v>
      </c>
    </row>
    <row r="27" spans="1:40" s="10" customFormat="1" x14ac:dyDescent="0.2">
      <c r="A27" s="11">
        <v>2018</v>
      </c>
      <c r="B27" s="43">
        <v>30364286</v>
      </c>
      <c r="C27" s="10" t="s">
        <v>217</v>
      </c>
      <c r="F27" s="10" t="s">
        <v>218</v>
      </c>
      <c r="G27" s="10" t="s">
        <v>218</v>
      </c>
      <c r="H27" s="10" t="s">
        <v>218</v>
      </c>
      <c r="I27" s="11">
        <v>94</v>
      </c>
      <c r="J27" s="10" t="s">
        <v>351</v>
      </c>
      <c r="K27" s="10" t="s">
        <v>352</v>
      </c>
      <c r="L27" s="10" t="s">
        <v>220</v>
      </c>
      <c r="M27" s="10" t="s">
        <v>736</v>
      </c>
      <c r="N27" s="10" t="s">
        <v>736</v>
      </c>
      <c r="R27" s="10">
        <v>143</v>
      </c>
      <c r="T27" s="13"/>
      <c r="U27" s="11" t="s">
        <v>799</v>
      </c>
      <c r="V27" s="11" t="s">
        <v>635</v>
      </c>
      <c r="W27" s="18">
        <v>0.2</v>
      </c>
      <c r="X27" s="18">
        <v>-3.8</v>
      </c>
      <c r="Y27" s="18">
        <f>0.9*SQRT(90)</f>
        <v>8.538149682454625</v>
      </c>
      <c r="Z27" s="18">
        <f>1.3*SQRT(50)</f>
        <v>9.1923881554251192</v>
      </c>
      <c r="AA27" s="17">
        <v>90</v>
      </c>
      <c r="AB27" s="17">
        <v>53</v>
      </c>
      <c r="AC27" s="18">
        <f t="shared" si="35"/>
        <v>4</v>
      </c>
      <c r="AD27" s="18">
        <f t="shared" si="36"/>
        <v>8.7851018311910973</v>
      </c>
      <c r="AE27" s="18">
        <f t="shared" si="37"/>
        <v>0.45531629306767796</v>
      </c>
      <c r="AF27" s="18">
        <f t="shared" si="38"/>
        <v>0.17522530072054357</v>
      </c>
      <c r="AG27" s="18" t="s">
        <v>193</v>
      </c>
      <c r="AH27" s="18" t="s">
        <v>193</v>
      </c>
      <c r="AI27" s="18" t="s">
        <v>785</v>
      </c>
      <c r="AJ27" s="18" t="s">
        <v>328</v>
      </c>
      <c r="AK27" s="18"/>
      <c r="AL27" s="18"/>
      <c r="AM27" s="10" t="s">
        <v>689</v>
      </c>
      <c r="AN27" s="10" t="s">
        <v>157</v>
      </c>
    </row>
    <row r="28" spans="1:40" s="10" customFormat="1" x14ac:dyDescent="0.2">
      <c r="A28" s="11">
        <v>2009</v>
      </c>
      <c r="B28" s="43">
        <v>19584184</v>
      </c>
      <c r="C28" s="10" t="s">
        <v>141</v>
      </c>
      <c r="F28" s="10" t="s">
        <v>142</v>
      </c>
      <c r="G28" s="10" t="s">
        <v>141</v>
      </c>
      <c r="H28" s="10" t="s">
        <v>141</v>
      </c>
      <c r="I28" s="10">
        <v>48</v>
      </c>
      <c r="J28" s="10" t="s">
        <v>143</v>
      </c>
      <c r="K28" s="10" t="s">
        <v>350</v>
      </c>
      <c r="L28" s="10" t="s">
        <v>220</v>
      </c>
      <c r="M28" s="10" t="s">
        <v>903</v>
      </c>
      <c r="N28" s="10" t="s">
        <v>766</v>
      </c>
      <c r="R28" s="10">
        <v>65</v>
      </c>
      <c r="T28" s="13"/>
      <c r="U28" s="10" t="s">
        <v>461</v>
      </c>
      <c r="V28" s="10" t="s">
        <v>635</v>
      </c>
      <c r="W28" s="12">
        <v>1.54</v>
      </c>
      <c r="X28" s="12">
        <v>3.74</v>
      </c>
      <c r="Y28" s="12">
        <v>1.27</v>
      </c>
      <c r="Z28" s="12">
        <v>3.55</v>
      </c>
      <c r="AA28" s="15">
        <v>65</v>
      </c>
      <c r="AB28" s="15">
        <v>65</v>
      </c>
      <c r="AC28" s="18">
        <f t="shared" ref="AC28:AC45" si="39">W28-X28</f>
        <v>-2.2000000000000002</v>
      </c>
      <c r="AD28" s="18">
        <f t="shared" ref="AD28:AD45" si="40">SQRT(((AA28-1)*Y28^2+(AB28-1)*Z28^2)/(AA28+AB28-2))</f>
        <v>2.666027006614899</v>
      </c>
      <c r="AE28" s="18">
        <f t="shared" ref="AE28:AE45" si="41">AC28/AD28</f>
        <v>-0.82519794230943611</v>
      </c>
      <c r="AF28" s="18">
        <f t="shared" ref="AF28:AF45" si="42">SQRT(((AA28+AB28)/(AA28*AB28)+(AE28^2/(2*(AA28+AB28)))))</f>
        <v>0.18272458935188318</v>
      </c>
      <c r="AG28" s="18" t="s">
        <v>193</v>
      </c>
      <c r="AH28" s="12" t="s">
        <v>193</v>
      </c>
      <c r="AI28" s="12" t="s">
        <v>1315</v>
      </c>
      <c r="AJ28" s="12" t="s">
        <v>328</v>
      </c>
      <c r="AK28" s="12"/>
      <c r="AL28" s="12"/>
      <c r="AM28" s="10" t="s">
        <v>690</v>
      </c>
      <c r="AN28" s="10" t="s">
        <v>157</v>
      </c>
    </row>
    <row r="29" spans="1:40" s="10" customFormat="1" x14ac:dyDescent="0.2">
      <c r="A29" s="11">
        <v>2019</v>
      </c>
      <c r="B29" s="43">
        <v>30346860</v>
      </c>
      <c r="C29" s="10" t="s">
        <v>113</v>
      </c>
      <c r="D29" s="10" t="s">
        <v>907</v>
      </c>
      <c r="E29" s="10" t="s">
        <v>157</v>
      </c>
      <c r="F29" s="10" t="s">
        <v>66</v>
      </c>
      <c r="G29" s="10" t="s">
        <v>66</v>
      </c>
      <c r="H29" s="10" t="s">
        <v>66</v>
      </c>
      <c r="I29" s="10">
        <v>1</v>
      </c>
      <c r="J29" s="10" t="s">
        <v>920</v>
      </c>
      <c r="K29" s="10" t="s">
        <v>920</v>
      </c>
      <c r="L29" s="10" t="s">
        <v>238</v>
      </c>
      <c r="M29" s="10" t="s">
        <v>903</v>
      </c>
      <c r="N29" s="10" t="s">
        <v>766</v>
      </c>
      <c r="O29" s="10" t="s">
        <v>647</v>
      </c>
      <c r="P29" s="10" t="s">
        <v>911</v>
      </c>
      <c r="Q29" s="10">
        <v>2</v>
      </c>
      <c r="R29" s="10">
        <v>12</v>
      </c>
      <c r="S29" s="10">
        <v>22.3</v>
      </c>
      <c r="T29" s="13">
        <v>58.3</v>
      </c>
      <c r="U29" s="10" t="s">
        <v>1311</v>
      </c>
      <c r="V29" s="10" t="s">
        <v>635</v>
      </c>
      <c r="W29" s="12">
        <v>7258</v>
      </c>
      <c r="X29" s="12">
        <v>2971</v>
      </c>
      <c r="Y29" s="12">
        <v>4940</v>
      </c>
      <c r="Z29" s="12">
        <v>1850</v>
      </c>
      <c r="AA29" s="15">
        <v>12</v>
      </c>
      <c r="AB29" s="15">
        <v>12</v>
      </c>
      <c r="AC29" s="18">
        <f t="shared" si="39"/>
        <v>4287</v>
      </c>
      <c r="AD29" s="18">
        <f t="shared" si="40"/>
        <v>3730.0201071844103</v>
      </c>
      <c r="AE29" s="18">
        <f t="shared" si="41"/>
        <v>1.1493235630936112</v>
      </c>
      <c r="AF29" s="18">
        <f t="shared" si="42"/>
        <v>0.44066579959293306</v>
      </c>
      <c r="AG29" s="18" t="s">
        <v>193</v>
      </c>
      <c r="AH29" s="12" t="s">
        <v>193</v>
      </c>
      <c r="AI29" s="12" t="s">
        <v>781</v>
      </c>
      <c r="AJ29" s="12" t="s">
        <v>348</v>
      </c>
      <c r="AK29" s="12" t="s">
        <v>1299</v>
      </c>
      <c r="AL29" s="12" t="s">
        <v>1312</v>
      </c>
      <c r="AM29" s="10" t="s">
        <v>691</v>
      </c>
      <c r="AN29" s="10" t="s">
        <v>157</v>
      </c>
    </row>
    <row r="30" spans="1:40" s="10" customFormat="1" x14ac:dyDescent="0.2">
      <c r="A30" s="11">
        <v>2019</v>
      </c>
      <c r="B30" s="10">
        <v>30346860</v>
      </c>
      <c r="C30" s="10" t="s">
        <v>113</v>
      </c>
      <c r="D30" s="10" t="s">
        <v>907</v>
      </c>
      <c r="E30" s="10" t="s">
        <v>157</v>
      </c>
      <c r="F30" s="10" t="s">
        <v>66</v>
      </c>
      <c r="G30" s="10" t="s">
        <v>66</v>
      </c>
      <c r="H30" s="10" t="s">
        <v>66</v>
      </c>
      <c r="I30" s="10">
        <v>1</v>
      </c>
      <c r="J30" s="10" t="s">
        <v>920</v>
      </c>
      <c r="K30" s="10" t="s">
        <v>920</v>
      </c>
      <c r="L30" s="10" t="s">
        <v>238</v>
      </c>
      <c r="M30" s="10" t="s">
        <v>903</v>
      </c>
      <c r="N30" s="10" t="s">
        <v>766</v>
      </c>
      <c r="O30" s="10" t="s">
        <v>647</v>
      </c>
      <c r="P30" s="10" t="s">
        <v>911</v>
      </c>
      <c r="Q30" s="10">
        <v>2</v>
      </c>
      <c r="R30" s="10">
        <v>12</v>
      </c>
      <c r="S30" s="10">
        <v>22.3</v>
      </c>
      <c r="T30" s="13">
        <v>58.3</v>
      </c>
      <c r="U30" s="10" t="s">
        <v>1294</v>
      </c>
      <c r="V30" s="10" t="s">
        <v>642</v>
      </c>
      <c r="W30" s="12">
        <v>256</v>
      </c>
      <c r="X30" s="12">
        <v>282</v>
      </c>
      <c r="Y30" s="12">
        <v>104</v>
      </c>
      <c r="Z30" s="12">
        <v>44</v>
      </c>
      <c r="AA30" s="15">
        <v>12</v>
      </c>
      <c r="AB30" s="15">
        <v>12</v>
      </c>
      <c r="AC30" s="18">
        <f t="shared" ref="AC30:AC31" si="43">W30-X30</f>
        <v>-26</v>
      </c>
      <c r="AD30" s="18">
        <f t="shared" ref="AD30:AD31" si="44">SQRT(((AA30-1)*Y30^2+(AB30-1)*Z30^2)/(AA30+AB30-2))</f>
        <v>79.849859110708522</v>
      </c>
      <c r="AE30" s="18">
        <f t="shared" ref="AE30:AE31" si="45">AC30/AD30</f>
        <v>-0.32561109424065582</v>
      </c>
      <c r="AF30" s="18">
        <f t="shared" ref="AF30:AF31" si="46">SQRT(((AA30+AB30)/(AA30*AB30)+(AE30^2/(2*(AA30+AB30)))))</f>
        <v>0.41094460759867518</v>
      </c>
      <c r="AG30" s="18" t="s">
        <v>193</v>
      </c>
      <c r="AH30" s="12"/>
      <c r="AI30" s="12" t="s">
        <v>781</v>
      </c>
      <c r="AJ30" s="12" t="s">
        <v>328</v>
      </c>
      <c r="AK30" s="12" t="s">
        <v>1298</v>
      </c>
      <c r="AL30" s="12" t="s">
        <v>1312</v>
      </c>
      <c r="AM30" s="10" t="s">
        <v>691</v>
      </c>
      <c r="AN30" s="10" t="s">
        <v>157</v>
      </c>
    </row>
    <row r="31" spans="1:40" s="10" customFormat="1" x14ac:dyDescent="0.2">
      <c r="A31" s="11">
        <v>2019</v>
      </c>
      <c r="B31" s="10">
        <v>30346860</v>
      </c>
      <c r="C31" s="10" t="s">
        <v>113</v>
      </c>
      <c r="D31" s="10" t="s">
        <v>907</v>
      </c>
      <c r="E31" s="10" t="s">
        <v>157</v>
      </c>
      <c r="F31" s="10" t="s">
        <v>66</v>
      </c>
      <c r="G31" s="10" t="s">
        <v>66</v>
      </c>
      <c r="H31" s="10" t="s">
        <v>66</v>
      </c>
      <c r="I31" s="10">
        <v>1</v>
      </c>
      <c r="J31" s="10" t="s">
        <v>920</v>
      </c>
      <c r="K31" s="10" t="s">
        <v>920</v>
      </c>
      <c r="L31" s="10" t="s">
        <v>238</v>
      </c>
      <c r="M31" s="10" t="s">
        <v>903</v>
      </c>
      <c r="N31" s="10" t="s">
        <v>766</v>
      </c>
      <c r="O31" s="10" t="s">
        <v>647</v>
      </c>
      <c r="P31" s="10" t="s">
        <v>911</v>
      </c>
      <c r="Q31" s="10">
        <v>2</v>
      </c>
      <c r="R31" s="10">
        <v>12</v>
      </c>
      <c r="S31" s="10">
        <v>22.3</v>
      </c>
      <c r="T31" s="13">
        <v>58.3</v>
      </c>
      <c r="U31" s="10" t="s">
        <v>1295</v>
      </c>
      <c r="V31" s="10" t="s">
        <v>642</v>
      </c>
      <c r="W31" s="12">
        <v>490</v>
      </c>
      <c r="X31" s="12">
        <v>503</v>
      </c>
      <c r="Y31" s="12">
        <v>121</v>
      </c>
      <c r="Z31" s="12">
        <v>37</v>
      </c>
      <c r="AA31" s="15">
        <v>12</v>
      </c>
      <c r="AB31" s="15">
        <v>12</v>
      </c>
      <c r="AC31" s="18">
        <f t="shared" si="43"/>
        <v>-13</v>
      </c>
      <c r="AD31" s="18">
        <f t="shared" si="44"/>
        <v>89.470665583754325</v>
      </c>
      <c r="AE31" s="18">
        <f t="shared" si="45"/>
        <v>-0.14529901968629683</v>
      </c>
      <c r="AF31" s="18">
        <f t="shared" si="46"/>
        <v>0.40878661418891576</v>
      </c>
      <c r="AG31" s="18" t="s">
        <v>193</v>
      </c>
      <c r="AH31" s="12"/>
      <c r="AI31" s="12" t="s">
        <v>781</v>
      </c>
      <c r="AJ31" s="12" t="s">
        <v>328</v>
      </c>
      <c r="AK31" s="12" t="s">
        <v>1298</v>
      </c>
      <c r="AL31" s="12" t="s">
        <v>1312</v>
      </c>
      <c r="AM31" s="10" t="s">
        <v>691</v>
      </c>
      <c r="AN31" s="10" t="s">
        <v>157</v>
      </c>
    </row>
    <row r="32" spans="1:40" s="10" customFormat="1" x14ac:dyDescent="0.2">
      <c r="A32" s="4">
        <v>2021</v>
      </c>
      <c r="B32" s="25">
        <v>32838616</v>
      </c>
      <c r="C32" s="4" t="s">
        <v>113</v>
      </c>
      <c r="D32" s="4" t="s">
        <v>907</v>
      </c>
      <c r="E32" s="10" t="s">
        <v>157</v>
      </c>
      <c r="F32" s="4" t="s">
        <v>66</v>
      </c>
      <c r="G32" s="4" t="s">
        <v>66</v>
      </c>
      <c r="H32" s="4" t="s">
        <v>66</v>
      </c>
      <c r="I32" s="4">
        <v>1</v>
      </c>
      <c r="J32" s="4" t="s">
        <v>1285</v>
      </c>
      <c r="K32" s="4" t="s">
        <v>909</v>
      </c>
      <c r="L32" s="4" t="s">
        <v>156</v>
      </c>
      <c r="M32" s="4" t="s">
        <v>903</v>
      </c>
      <c r="N32" s="4" t="s">
        <v>766</v>
      </c>
      <c r="O32" s="10" t="s">
        <v>647</v>
      </c>
      <c r="P32" s="10" t="s">
        <v>911</v>
      </c>
      <c r="Q32" s="10">
        <v>2</v>
      </c>
      <c r="R32" s="10">
        <v>22</v>
      </c>
      <c r="T32" s="13"/>
      <c r="U32" s="10" t="s">
        <v>1293</v>
      </c>
      <c r="V32" s="10" t="s">
        <v>635</v>
      </c>
      <c r="W32" s="12">
        <v>5</v>
      </c>
      <c r="X32" s="12">
        <v>3.5</v>
      </c>
      <c r="Y32" s="12">
        <f>0.75*SQRT(AA32)</f>
        <v>3.5178118198675721</v>
      </c>
      <c r="Z32" s="42">
        <f>0.75*SQRT(AB32)</f>
        <v>3.5178118198675721</v>
      </c>
      <c r="AA32" s="15">
        <v>22</v>
      </c>
      <c r="AB32" s="15">
        <v>22</v>
      </c>
      <c r="AC32" s="18">
        <f t="shared" ref="AC32:AC35" si="47">W32-X32</f>
        <v>1.5</v>
      </c>
      <c r="AD32" s="18">
        <f t="shared" ref="AD32:AD35" si="48">SQRT(((AA32-1)*Y32^2+(AB32-1)*Z32^2)/(AA32+AB32-2))</f>
        <v>3.5178118198675721</v>
      </c>
      <c r="AE32" s="18">
        <f t="shared" ref="AE32:AE35" si="49">AC32/AD32</f>
        <v>0.42640143271122088</v>
      </c>
      <c r="AF32" s="18">
        <f t="shared" ref="AF32:AF35" si="50">SQRT(((AA32+AB32)/(AA32*AB32)+(AE32^2/(2*(AA32+AB32)))))</f>
        <v>0.30491836056815314</v>
      </c>
      <c r="AG32" s="18" t="s">
        <v>193</v>
      </c>
      <c r="AH32" s="12" t="s">
        <v>193</v>
      </c>
      <c r="AI32" s="12" t="s">
        <v>781</v>
      </c>
      <c r="AJ32" s="12" t="s">
        <v>348</v>
      </c>
      <c r="AK32" s="12" t="s">
        <v>1299</v>
      </c>
      <c r="AL32" s="12" t="s">
        <v>1291</v>
      </c>
      <c r="AM32" s="10" t="s">
        <v>1289</v>
      </c>
      <c r="AN32" s="10" t="s">
        <v>157</v>
      </c>
    </row>
    <row r="33" spans="1:40" s="10" customFormat="1" x14ac:dyDescent="0.2">
      <c r="A33" s="4">
        <v>2021</v>
      </c>
      <c r="B33" s="6">
        <v>32838616</v>
      </c>
      <c r="C33" s="4" t="s">
        <v>113</v>
      </c>
      <c r="D33" s="4" t="s">
        <v>907</v>
      </c>
      <c r="E33" s="10" t="s">
        <v>157</v>
      </c>
      <c r="F33" s="4" t="s">
        <v>66</v>
      </c>
      <c r="G33" s="4" t="s">
        <v>66</v>
      </c>
      <c r="H33" s="4" t="s">
        <v>66</v>
      </c>
      <c r="I33" s="4">
        <v>1</v>
      </c>
      <c r="J33" s="4" t="s">
        <v>1285</v>
      </c>
      <c r="K33" s="4" t="s">
        <v>909</v>
      </c>
      <c r="L33" s="4" t="s">
        <v>156</v>
      </c>
      <c r="M33" s="4" t="s">
        <v>903</v>
      </c>
      <c r="N33" s="4" t="s">
        <v>766</v>
      </c>
      <c r="O33" s="10" t="s">
        <v>647</v>
      </c>
      <c r="P33" s="10" t="s">
        <v>911</v>
      </c>
      <c r="Q33" s="10">
        <v>2</v>
      </c>
      <c r="R33" s="10">
        <v>22</v>
      </c>
      <c r="T33" s="13"/>
      <c r="U33" s="10" t="s">
        <v>1294</v>
      </c>
      <c r="V33" s="10" t="s">
        <v>635</v>
      </c>
      <c r="W33" s="12"/>
      <c r="X33" s="12"/>
      <c r="Y33" s="12"/>
      <c r="Z33" s="12"/>
      <c r="AA33" s="15">
        <v>22</v>
      </c>
      <c r="AB33" s="15">
        <v>22</v>
      </c>
      <c r="AC33" s="18"/>
      <c r="AD33" s="18"/>
      <c r="AE33" s="18"/>
      <c r="AF33" s="18"/>
      <c r="AG33" s="18" t="s">
        <v>157</v>
      </c>
      <c r="AH33" s="12"/>
      <c r="AI33" s="12" t="s">
        <v>781</v>
      </c>
      <c r="AJ33" s="12"/>
      <c r="AK33" s="12" t="s">
        <v>1299</v>
      </c>
      <c r="AL33" s="12" t="s">
        <v>1296</v>
      </c>
      <c r="AM33" s="10" t="s">
        <v>1289</v>
      </c>
      <c r="AN33" s="10" t="s">
        <v>157</v>
      </c>
    </row>
    <row r="34" spans="1:40" s="10" customFormat="1" x14ac:dyDescent="0.2">
      <c r="A34" s="4">
        <v>2021</v>
      </c>
      <c r="B34" s="6">
        <v>32838616</v>
      </c>
      <c r="C34" s="4" t="s">
        <v>113</v>
      </c>
      <c r="D34" s="4" t="s">
        <v>907</v>
      </c>
      <c r="E34" s="10" t="s">
        <v>157</v>
      </c>
      <c r="F34" s="4" t="s">
        <v>66</v>
      </c>
      <c r="G34" s="4" t="s">
        <v>66</v>
      </c>
      <c r="H34" s="4" t="s">
        <v>66</v>
      </c>
      <c r="I34" s="4">
        <v>1</v>
      </c>
      <c r="J34" s="4" t="s">
        <v>1285</v>
      </c>
      <c r="K34" s="4" t="s">
        <v>909</v>
      </c>
      <c r="L34" s="4" t="s">
        <v>156</v>
      </c>
      <c r="M34" s="4" t="s">
        <v>903</v>
      </c>
      <c r="N34" s="4" t="s">
        <v>766</v>
      </c>
      <c r="O34" s="10" t="s">
        <v>647</v>
      </c>
      <c r="P34" s="10" t="s">
        <v>911</v>
      </c>
      <c r="Q34" s="10">
        <v>2</v>
      </c>
      <c r="R34" s="10">
        <v>22</v>
      </c>
      <c r="T34" s="13"/>
      <c r="U34" s="10" t="s">
        <v>1295</v>
      </c>
      <c r="V34" s="10" t="s">
        <v>642</v>
      </c>
      <c r="W34" s="12">
        <v>445</v>
      </c>
      <c r="X34" s="12">
        <v>437</v>
      </c>
      <c r="Y34" s="12">
        <f>12.5*SQRT(AA34)</f>
        <v>58.630196997792872</v>
      </c>
      <c r="Z34" s="12">
        <f>12.5*SQRT(AB34)</f>
        <v>58.630196997792872</v>
      </c>
      <c r="AA34" s="15">
        <v>22</v>
      </c>
      <c r="AB34" s="15">
        <v>22</v>
      </c>
      <c r="AC34" s="18">
        <f t="shared" si="47"/>
        <v>8</v>
      </c>
      <c r="AD34" s="18">
        <f t="shared" si="48"/>
        <v>58.630196997792879</v>
      </c>
      <c r="AE34" s="18">
        <f t="shared" si="49"/>
        <v>0.13644845846759066</v>
      </c>
      <c r="AF34" s="18">
        <f t="shared" si="50"/>
        <v>0.30186199024889637</v>
      </c>
      <c r="AG34" s="18" t="s">
        <v>193</v>
      </c>
      <c r="AH34" s="12"/>
      <c r="AI34" s="12" t="s">
        <v>781</v>
      </c>
      <c r="AJ34" s="12" t="s">
        <v>348</v>
      </c>
      <c r="AK34" s="12" t="s">
        <v>1299</v>
      </c>
      <c r="AL34" s="12" t="s">
        <v>1291</v>
      </c>
      <c r="AM34" s="10" t="s">
        <v>1289</v>
      </c>
      <c r="AN34" s="10" t="s">
        <v>157</v>
      </c>
    </row>
    <row r="35" spans="1:40" s="10" customFormat="1" x14ac:dyDescent="0.2">
      <c r="A35" s="4">
        <v>2021</v>
      </c>
      <c r="B35" s="6">
        <v>32838616</v>
      </c>
      <c r="C35" s="4" t="s">
        <v>113</v>
      </c>
      <c r="D35" s="4" t="s">
        <v>907</v>
      </c>
      <c r="E35" s="10" t="s">
        <v>157</v>
      </c>
      <c r="F35" s="4" t="s">
        <v>66</v>
      </c>
      <c r="G35" s="4" t="s">
        <v>66</v>
      </c>
      <c r="H35" s="4" t="s">
        <v>66</v>
      </c>
      <c r="I35" s="4">
        <v>1</v>
      </c>
      <c r="J35" s="4" t="s">
        <v>1285</v>
      </c>
      <c r="K35" s="4" t="s">
        <v>909</v>
      </c>
      <c r="L35" s="4" t="s">
        <v>156</v>
      </c>
      <c r="M35" s="4" t="s">
        <v>903</v>
      </c>
      <c r="N35" s="4" t="s">
        <v>766</v>
      </c>
      <c r="O35" s="10" t="s">
        <v>647</v>
      </c>
      <c r="P35" s="10" t="s">
        <v>911</v>
      </c>
      <c r="Q35" s="10">
        <v>2</v>
      </c>
      <c r="R35" s="10">
        <v>22</v>
      </c>
      <c r="T35" s="13"/>
      <c r="U35" s="10" t="s">
        <v>1297</v>
      </c>
      <c r="V35" s="10" t="s">
        <v>642</v>
      </c>
      <c r="W35" s="12">
        <v>4.0999999999999996</v>
      </c>
      <c r="X35" s="12">
        <v>3.7</v>
      </c>
      <c r="Y35" s="12">
        <f>1.9*SQRT(AA35)</f>
        <v>8.911789943664516</v>
      </c>
      <c r="Z35" s="12">
        <f>1.7*SQRT(AB35)</f>
        <v>7.9737067916998301</v>
      </c>
      <c r="AA35" s="15">
        <v>22</v>
      </c>
      <c r="AB35" s="15">
        <v>22</v>
      </c>
      <c r="AC35" s="18">
        <f t="shared" si="47"/>
        <v>0.39999999999999947</v>
      </c>
      <c r="AD35" s="18">
        <f t="shared" si="48"/>
        <v>8.4557672626438816</v>
      </c>
      <c r="AE35" s="18">
        <f t="shared" si="49"/>
        <v>4.7304991679126544E-2</v>
      </c>
      <c r="AF35" s="18">
        <f t="shared" si="50"/>
        <v>0.30155351104808764</v>
      </c>
      <c r="AG35" s="18" t="s">
        <v>193</v>
      </c>
      <c r="AH35" s="12"/>
      <c r="AI35" s="12" t="s">
        <v>781</v>
      </c>
      <c r="AJ35" s="12" t="s">
        <v>642</v>
      </c>
      <c r="AK35" s="12" t="s">
        <v>1298</v>
      </c>
      <c r="AL35" s="12" t="s">
        <v>1291</v>
      </c>
      <c r="AM35" s="10" t="s">
        <v>1289</v>
      </c>
      <c r="AN35" s="10" t="s">
        <v>157</v>
      </c>
    </row>
    <row r="36" spans="1:40" s="10" customFormat="1" x14ac:dyDescent="0.2">
      <c r="A36" s="4">
        <v>2013</v>
      </c>
      <c r="B36" s="25">
        <v>23172931</v>
      </c>
      <c r="C36" s="4" t="s">
        <v>358</v>
      </c>
      <c r="D36" s="4"/>
      <c r="F36" s="4" t="s">
        <v>559</v>
      </c>
      <c r="G36" s="4" t="s">
        <v>559</v>
      </c>
      <c r="H36" s="4" t="s">
        <v>559</v>
      </c>
      <c r="I36" s="4"/>
      <c r="J36" s="4" t="s">
        <v>1004</v>
      </c>
      <c r="K36" s="4" t="s">
        <v>86</v>
      </c>
      <c r="L36" s="4" t="s">
        <v>156</v>
      </c>
      <c r="M36" s="4" t="s">
        <v>903</v>
      </c>
      <c r="N36" s="4" t="s">
        <v>766</v>
      </c>
      <c r="O36" s="4" t="s">
        <v>1009</v>
      </c>
      <c r="P36" s="4" t="s">
        <v>911</v>
      </c>
      <c r="Q36" s="4">
        <v>2</v>
      </c>
      <c r="R36" s="4">
        <v>147</v>
      </c>
      <c r="S36" s="10">
        <v>65.400000000000006</v>
      </c>
      <c r="T36" s="13">
        <v>46.1</v>
      </c>
      <c r="U36" s="10" t="s">
        <v>640</v>
      </c>
      <c r="V36" s="10" t="s">
        <v>642</v>
      </c>
      <c r="W36" s="12">
        <v>129</v>
      </c>
      <c r="X36" s="12">
        <v>129.69999999999999</v>
      </c>
      <c r="Y36" s="12">
        <f>1.05*SQRT(AA36)</f>
        <v>12.730573435631248</v>
      </c>
      <c r="Z36" s="12">
        <f>1.05*SQRT(AB36)</f>
        <v>12.730573435631248</v>
      </c>
      <c r="AA36" s="15">
        <v>147</v>
      </c>
      <c r="AB36" s="15">
        <v>147</v>
      </c>
      <c r="AC36" s="18">
        <f t="shared" ref="AC36:AC43" si="51">W36-X36</f>
        <v>-0.69999999999998863</v>
      </c>
      <c r="AD36" s="18">
        <f t="shared" ref="AD36:AD43" si="52">SQRT(((AA36-1)*Y36^2+(AB36-1)*Z36^2)/(AA36+AB36-2))</f>
        <v>12.730573435631248</v>
      </c>
      <c r="AE36" s="18">
        <f t="shared" ref="AE36:AE43" si="53">AC36/AD36</f>
        <v>-5.498573992282061E-2</v>
      </c>
      <c r="AF36" s="18">
        <f t="shared" ref="AF36:AF43" si="54">SQRT(((AA36+AB36)/(AA36*AB36)+(AE36^2/(2*(AA36+AB36)))))</f>
        <v>0.11666440788577379</v>
      </c>
      <c r="AG36" s="18" t="s">
        <v>193</v>
      </c>
      <c r="AH36" s="12"/>
      <c r="AI36" s="12" t="s">
        <v>780</v>
      </c>
      <c r="AJ36" s="12" t="s">
        <v>328</v>
      </c>
      <c r="AK36" s="12" t="s">
        <v>1298</v>
      </c>
      <c r="AL36" s="12"/>
      <c r="AM36" s="10" t="s">
        <v>1008</v>
      </c>
      <c r="AN36" s="10" t="s">
        <v>157</v>
      </c>
    </row>
    <row r="37" spans="1:40" s="10" customFormat="1" x14ac:dyDescent="0.2">
      <c r="A37" s="4">
        <v>2013</v>
      </c>
      <c r="B37" s="6">
        <v>23172931</v>
      </c>
      <c r="C37" s="4" t="s">
        <v>358</v>
      </c>
      <c r="D37" s="4"/>
      <c r="F37" s="4" t="s">
        <v>559</v>
      </c>
      <c r="G37" s="4" t="s">
        <v>559</v>
      </c>
      <c r="H37" s="4" t="s">
        <v>559</v>
      </c>
      <c r="I37" s="4"/>
      <c r="J37" s="4" t="s">
        <v>1004</v>
      </c>
      <c r="K37" s="4" t="s">
        <v>86</v>
      </c>
      <c r="L37" s="4" t="s">
        <v>156</v>
      </c>
      <c r="M37" s="4" t="s">
        <v>903</v>
      </c>
      <c r="N37" s="4" t="s">
        <v>766</v>
      </c>
      <c r="O37" s="4" t="s">
        <v>1009</v>
      </c>
      <c r="P37" s="4" t="s">
        <v>911</v>
      </c>
      <c r="Q37" s="4">
        <v>2</v>
      </c>
      <c r="R37" s="4">
        <v>147</v>
      </c>
      <c r="S37" s="10">
        <v>65.400000000000006</v>
      </c>
      <c r="T37" s="13">
        <v>46.1</v>
      </c>
      <c r="U37" s="10" t="s">
        <v>641</v>
      </c>
      <c r="V37" s="10" t="s">
        <v>642</v>
      </c>
      <c r="W37" s="12">
        <v>75.900000000000006</v>
      </c>
      <c r="X37" s="12">
        <v>76.5</v>
      </c>
      <c r="Y37" s="12">
        <f>0.65*SQRT(AA37)</f>
        <v>7.8808311744383914</v>
      </c>
      <c r="Z37" s="12">
        <f>0.65*SQRT(AB37)</f>
        <v>7.8808311744383914</v>
      </c>
      <c r="AA37" s="15">
        <v>147</v>
      </c>
      <c r="AB37" s="15">
        <v>147</v>
      </c>
      <c r="AC37" s="18">
        <f t="shared" si="51"/>
        <v>-0.59999999999999432</v>
      </c>
      <c r="AD37" s="18">
        <f t="shared" si="52"/>
        <v>7.8808311744383914</v>
      </c>
      <c r="AE37" s="18">
        <f t="shared" si="53"/>
        <v>-7.6134101431598281E-2</v>
      </c>
      <c r="AF37" s="18">
        <f t="shared" si="54"/>
        <v>0.11668461767680566</v>
      </c>
      <c r="AG37" s="18" t="s">
        <v>193</v>
      </c>
      <c r="AH37" s="12"/>
      <c r="AI37" s="12" t="s">
        <v>780</v>
      </c>
      <c r="AJ37" s="12" t="s">
        <v>328</v>
      </c>
      <c r="AK37" s="12" t="s">
        <v>1298</v>
      </c>
      <c r="AL37" s="12"/>
      <c r="AM37" s="10" t="s">
        <v>1008</v>
      </c>
      <c r="AN37" s="10" t="s">
        <v>157</v>
      </c>
    </row>
    <row r="38" spans="1:40" s="10" customFormat="1" x14ac:dyDescent="0.2">
      <c r="A38" s="4">
        <v>2013</v>
      </c>
      <c r="B38" s="6">
        <v>23172931</v>
      </c>
      <c r="C38" s="4" t="s">
        <v>358</v>
      </c>
      <c r="D38" s="4"/>
      <c r="F38" s="4" t="s">
        <v>559</v>
      </c>
      <c r="G38" s="4" t="s">
        <v>559</v>
      </c>
      <c r="H38" s="4" t="s">
        <v>559</v>
      </c>
      <c r="I38" s="4"/>
      <c r="J38" s="4" t="s">
        <v>1004</v>
      </c>
      <c r="K38" s="4" t="s">
        <v>86</v>
      </c>
      <c r="L38" s="4" t="s">
        <v>156</v>
      </c>
      <c r="M38" s="4" t="s">
        <v>903</v>
      </c>
      <c r="N38" s="4" t="s">
        <v>766</v>
      </c>
      <c r="O38" s="4" t="s">
        <v>1009</v>
      </c>
      <c r="P38" s="4" t="s">
        <v>911</v>
      </c>
      <c r="Q38" s="4">
        <v>2</v>
      </c>
      <c r="R38" s="4">
        <v>147</v>
      </c>
      <c r="S38" s="10">
        <v>65.400000000000006</v>
      </c>
      <c r="T38" s="13">
        <v>46.1</v>
      </c>
      <c r="U38" s="10" t="s">
        <v>644</v>
      </c>
      <c r="V38" s="10" t="s">
        <v>642</v>
      </c>
      <c r="W38" s="12">
        <v>130.1</v>
      </c>
      <c r="X38" s="12">
        <v>131.69999999999999</v>
      </c>
      <c r="Y38" s="12">
        <f>1.1*SQRT(AA38)</f>
        <v>13.336791218280355</v>
      </c>
      <c r="Z38" s="12">
        <f>1.1*SQRT(AB38)</f>
        <v>13.336791218280355</v>
      </c>
      <c r="AA38" s="15">
        <v>147</v>
      </c>
      <c r="AB38" s="15">
        <v>147</v>
      </c>
      <c r="AC38" s="18">
        <f t="shared" si="51"/>
        <v>-1.5999999999999943</v>
      </c>
      <c r="AD38" s="18">
        <f t="shared" si="52"/>
        <v>13.336791218280355</v>
      </c>
      <c r="AE38" s="18">
        <f t="shared" si="53"/>
        <v>-0.1199688871043374</v>
      </c>
      <c r="AF38" s="18">
        <f t="shared" si="54"/>
        <v>0.11674724525784026</v>
      </c>
      <c r="AG38" s="18" t="s">
        <v>193</v>
      </c>
      <c r="AH38" s="12"/>
      <c r="AI38" s="12" t="s">
        <v>780</v>
      </c>
      <c r="AJ38" s="12" t="s">
        <v>328</v>
      </c>
      <c r="AK38" s="12" t="s">
        <v>1298</v>
      </c>
      <c r="AL38" s="12"/>
      <c r="AM38" s="10" t="s">
        <v>1008</v>
      </c>
      <c r="AN38" s="10" t="s">
        <v>157</v>
      </c>
    </row>
    <row r="39" spans="1:40" s="10" customFormat="1" x14ac:dyDescent="0.2">
      <c r="A39" s="4">
        <v>2013</v>
      </c>
      <c r="B39" s="6">
        <v>23172931</v>
      </c>
      <c r="C39" s="4" t="s">
        <v>358</v>
      </c>
      <c r="D39" s="4"/>
      <c r="F39" s="4" t="s">
        <v>559</v>
      </c>
      <c r="G39" s="4" t="s">
        <v>559</v>
      </c>
      <c r="H39" s="4" t="s">
        <v>559</v>
      </c>
      <c r="I39" s="4"/>
      <c r="J39" s="4" t="s">
        <v>1004</v>
      </c>
      <c r="K39" s="4" t="s">
        <v>86</v>
      </c>
      <c r="L39" s="4" t="s">
        <v>156</v>
      </c>
      <c r="M39" s="4" t="s">
        <v>903</v>
      </c>
      <c r="N39" s="4" t="s">
        <v>766</v>
      </c>
      <c r="O39" s="4" t="s">
        <v>1009</v>
      </c>
      <c r="P39" s="4" t="s">
        <v>911</v>
      </c>
      <c r="Q39" s="4">
        <v>2</v>
      </c>
      <c r="R39" s="4">
        <v>147</v>
      </c>
      <c r="S39" s="10">
        <v>65.400000000000006</v>
      </c>
      <c r="T39" s="13">
        <v>46.1</v>
      </c>
      <c r="U39" s="10" t="s">
        <v>645</v>
      </c>
      <c r="V39" s="10" t="s">
        <v>642</v>
      </c>
      <c r="W39" s="12">
        <v>77.2</v>
      </c>
      <c r="X39" s="12">
        <v>78.099999999999994</v>
      </c>
      <c r="Y39" s="12">
        <f>0.68*SQRT(AA39)</f>
        <v>8.2445618440278565</v>
      </c>
      <c r="Z39" s="12">
        <f>0.68*SQRT(AB39)</f>
        <v>8.2445618440278565</v>
      </c>
      <c r="AA39" s="15">
        <v>147</v>
      </c>
      <c r="AB39" s="15">
        <v>147</v>
      </c>
      <c r="AC39" s="18">
        <f t="shared" si="51"/>
        <v>-0.89999999999999147</v>
      </c>
      <c r="AD39" s="18">
        <f t="shared" si="52"/>
        <v>8.2445618440278565</v>
      </c>
      <c r="AE39" s="18">
        <f t="shared" si="53"/>
        <v>-0.10916286602324753</v>
      </c>
      <c r="AF39" s="18">
        <f t="shared" si="54"/>
        <v>0.11672920965463586</v>
      </c>
      <c r="AG39" s="18" t="s">
        <v>193</v>
      </c>
      <c r="AH39" s="12"/>
      <c r="AI39" s="12" t="s">
        <v>780</v>
      </c>
      <c r="AJ39" s="12" t="s">
        <v>328</v>
      </c>
      <c r="AK39" s="12" t="s">
        <v>1298</v>
      </c>
      <c r="AL39" s="12"/>
      <c r="AM39" s="10" t="s">
        <v>1008</v>
      </c>
      <c r="AN39" s="10" t="s">
        <v>157</v>
      </c>
    </row>
    <row r="40" spans="1:40" s="10" customFormat="1" x14ac:dyDescent="0.2">
      <c r="A40" s="4">
        <v>2013</v>
      </c>
      <c r="B40" s="6">
        <v>23172931</v>
      </c>
      <c r="C40" s="4" t="s">
        <v>358</v>
      </c>
      <c r="D40" s="4"/>
      <c r="F40" s="4" t="s">
        <v>559</v>
      </c>
      <c r="G40" s="4" t="s">
        <v>559</v>
      </c>
      <c r="H40" s="4" t="s">
        <v>559</v>
      </c>
      <c r="I40" s="4"/>
      <c r="J40" s="4" t="s">
        <v>1004</v>
      </c>
      <c r="K40" s="4" t="s">
        <v>86</v>
      </c>
      <c r="L40" s="4" t="s">
        <v>156</v>
      </c>
      <c r="M40" s="4" t="s">
        <v>903</v>
      </c>
      <c r="N40" s="4" t="s">
        <v>766</v>
      </c>
      <c r="O40" s="4" t="s">
        <v>1009</v>
      </c>
      <c r="P40" s="4" t="s">
        <v>911</v>
      </c>
      <c r="Q40" s="4">
        <v>2</v>
      </c>
      <c r="R40" s="4">
        <v>147</v>
      </c>
      <c r="S40" s="10">
        <v>65.400000000000006</v>
      </c>
      <c r="T40" s="13">
        <v>46.1</v>
      </c>
      <c r="U40" s="10" t="s">
        <v>637</v>
      </c>
      <c r="V40" s="10" t="s">
        <v>642</v>
      </c>
      <c r="W40" s="10">
        <v>125.6</v>
      </c>
      <c r="X40" s="12">
        <v>123.9</v>
      </c>
      <c r="Y40" s="12">
        <f>1.17*SQRT(AA40)</f>
        <v>14.185496113989103</v>
      </c>
      <c r="Z40" s="12">
        <f>1.17*SQRT(AB40)</f>
        <v>14.185496113989103</v>
      </c>
      <c r="AA40" s="15">
        <v>147</v>
      </c>
      <c r="AB40" s="15">
        <v>147</v>
      </c>
      <c r="AC40" s="18">
        <f t="shared" si="51"/>
        <v>1.6999999999999886</v>
      </c>
      <c r="AD40" s="18">
        <f t="shared" si="52"/>
        <v>14.185496113989103</v>
      </c>
      <c r="AE40" s="18">
        <f t="shared" si="53"/>
        <v>0.11984071521640505</v>
      </c>
      <c r="AF40" s="18">
        <f t="shared" si="54"/>
        <v>0.11674702138273499</v>
      </c>
      <c r="AG40" s="18" t="s">
        <v>193</v>
      </c>
      <c r="AH40" s="12" t="s">
        <v>193</v>
      </c>
      <c r="AI40" s="12" t="s">
        <v>780</v>
      </c>
      <c r="AJ40" s="12" t="s">
        <v>348</v>
      </c>
      <c r="AK40" s="12" t="s">
        <v>1299</v>
      </c>
      <c r="AL40" s="12"/>
      <c r="AM40" s="10" t="s">
        <v>1008</v>
      </c>
      <c r="AN40" s="10" t="s">
        <v>157</v>
      </c>
    </row>
    <row r="41" spans="1:40" s="10" customFormat="1" x14ac:dyDescent="0.2">
      <c r="A41" s="4">
        <v>2013</v>
      </c>
      <c r="B41" s="6">
        <v>23172931</v>
      </c>
      <c r="C41" s="4" t="s">
        <v>358</v>
      </c>
      <c r="D41" s="4"/>
      <c r="F41" s="4" t="s">
        <v>559</v>
      </c>
      <c r="G41" s="4" t="s">
        <v>559</v>
      </c>
      <c r="H41" s="4" t="s">
        <v>559</v>
      </c>
      <c r="I41" s="4"/>
      <c r="J41" s="4" t="s">
        <v>1004</v>
      </c>
      <c r="K41" s="4" t="s">
        <v>86</v>
      </c>
      <c r="L41" s="4" t="s">
        <v>156</v>
      </c>
      <c r="M41" s="4" t="s">
        <v>903</v>
      </c>
      <c r="N41" s="4" t="s">
        <v>766</v>
      </c>
      <c r="O41" s="4" t="s">
        <v>1009</v>
      </c>
      <c r="P41" s="4" t="s">
        <v>911</v>
      </c>
      <c r="Q41" s="4">
        <v>2</v>
      </c>
      <c r="R41" s="4">
        <v>147</v>
      </c>
      <c r="S41" s="10">
        <v>65.400000000000006</v>
      </c>
      <c r="T41" s="13">
        <v>46.1</v>
      </c>
      <c r="U41" s="10" t="s">
        <v>638</v>
      </c>
      <c r="V41" s="10" t="s">
        <v>642</v>
      </c>
      <c r="W41" s="12">
        <v>71.7</v>
      </c>
      <c r="X41" s="12">
        <v>71.7</v>
      </c>
      <c r="Y41" s="12">
        <f>1.05*SQRT(AA41)</f>
        <v>12.730573435631248</v>
      </c>
      <c r="Z41" s="12">
        <f>1.05*SQRT(AB41)</f>
        <v>12.730573435631248</v>
      </c>
      <c r="AA41" s="15">
        <v>147</v>
      </c>
      <c r="AB41" s="15">
        <v>147</v>
      </c>
      <c r="AC41" s="18">
        <f t="shared" si="51"/>
        <v>0</v>
      </c>
      <c r="AD41" s="18">
        <f t="shared" si="52"/>
        <v>12.730573435631248</v>
      </c>
      <c r="AE41" s="18">
        <f t="shared" si="53"/>
        <v>0</v>
      </c>
      <c r="AF41" s="18">
        <f t="shared" si="54"/>
        <v>0.11664236870396086</v>
      </c>
      <c r="AG41" s="18" t="s">
        <v>193</v>
      </c>
      <c r="AH41" s="12"/>
      <c r="AI41" s="12" t="s">
        <v>780</v>
      </c>
      <c r="AJ41" s="12" t="s">
        <v>642</v>
      </c>
      <c r="AK41" s="12" t="s">
        <v>1298</v>
      </c>
      <c r="AL41" s="12"/>
      <c r="AM41" s="10" t="s">
        <v>1008</v>
      </c>
      <c r="AN41" s="10" t="s">
        <v>157</v>
      </c>
    </row>
    <row r="42" spans="1:40" s="10" customFormat="1" x14ac:dyDescent="0.2">
      <c r="A42" s="4">
        <v>2013</v>
      </c>
      <c r="B42" s="6">
        <v>23172931</v>
      </c>
      <c r="C42" s="4" t="s">
        <v>358</v>
      </c>
      <c r="D42" s="4"/>
      <c r="F42" s="4" t="s">
        <v>559</v>
      </c>
      <c r="G42" s="4" t="s">
        <v>559</v>
      </c>
      <c r="H42" s="4" t="s">
        <v>559</v>
      </c>
      <c r="I42" s="4"/>
      <c r="J42" s="4" t="s">
        <v>1004</v>
      </c>
      <c r="K42" s="4" t="s">
        <v>86</v>
      </c>
      <c r="L42" s="4" t="s">
        <v>156</v>
      </c>
      <c r="M42" s="4" t="s">
        <v>903</v>
      </c>
      <c r="N42" s="4" t="s">
        <v>766</v>
      </c>
      <c r="O42" s="4" t="s">
        <v>1009</v>
      </c>
      <c r="P42" s="4" t="s">
        <v>911</v>
      </c>
      <c r="Q42" s="4">
        <v>2</v>
      </c>
      <c r="R42" s="4">
        <v>147</v>
      </c>
      <c r="S42" s="10">
        <v>65.400000000000006</v>
      </c>
      <c r="T42" s="13">
        <v>46.1</v>
      </c>
      <c r="U42" s="10" t="s">
        <v>1010</v>
      </c>
      <c r="V42" s="10" t="s">
        <v>635</v>
      </c>
      <c r="W42" s="12">
        <v>4.5999999999999996</v>
      </c>
      <c r="X42" s="12">
        <v>7.8</v>
      </c>
      <c r="Y42" s="12">
        <f>0.8*SQRT(AA42)</f>
        <v>9.6994845223857133</v>
      </c>
      <c r="Z42" s="12">
        <f>0.8*SQRT(AB42)</f>
        <v>9.6994845223857133</v>
      </c>
      <c r="AA42" s="15">
        <v>147</v>
      </c>
      <c r="AB42" s="15">
        <v>147</v>
      </c>
      <c r="AC42" s="18">
        <f t="shared" si="51"/>
        <v>-3.2</v>
      </c>
      <c r="AD42" s="18">
        <f t="shared" si="52"/>
        <v>9.6994845223857133</v>
      </c>
      <c r="AE42" s="18">
        <f t="shared" si="53"/>
        <v>-0.32991443953692901</v>
      </c>
      <c r="AF42" s="18">
        <f t="shared" si="54"/>
        <v>0.11743317348049026</v>
      </c>
      <c r="AG42" s="18" t="s">
        <v>157</v>
      </c>
      <c r="AH42" s="12"/>
      <c r="AI42" s="12" t="s">
        <v>780</v>
      </c>
      <c r="AJ42" s="12" t="s">
        <v>348</v>
      </c>
      <c r="AK42" s="12" t="s">
        <v>1298</v>
      </c>
      <c r="AL42" s="12"/>
      <c r="AM42" s="10" t="s">
        <v>1008</v>
      </c>
      <c r="AN42" s="10" t="s">
        <v>157</v>
      </c>
    </row>
    <row r="43" spans="1:40" s="10" customFormat="1" x14ac:dyDescent="0.2">
      <c r="A43" s="4">
        <v>2013</v>
      </c>
      <c r="B43" s="6">
        <v>23172931</v>
      </c>
      <c r="C43" s="4" t="s">
        <v>358</v>
      </c>
      <c r="D43" s="4"/>
      <c r="F43" s="4" t="s">
        <v>559</v>
      </c>
      <c r="G43" s="4" t="s">
        <v>559</v>
      </c>
      <c r="H43" s="4" t="s">
        <v>559</v>
      </c>
      <c r="I43" s="4"/>
      <c r="J43" s="4" t="s">
        <v>1004</v>
      </c>
      <c r="K43" s="4" t="s">
        <v>86</v>
      </c>
      <c r="L43" s="4" t="s">
        <v>156</v>
      </c>
      <c r="M43" s="4" t="s">
        <v>903</v>
      </c>
      <c r="N43" s="4" t="s">
        <v>766</v>
      </c>
      <c r="O43" s="4" t="s">
        <v>1009</v>
      </c>
      <c r="P43" s="4" t="s">
        <v>911</v>
      </c>
      <c r="Q43" s="4">
        <v>2</v>
      </c>
      <c r="R43" s="4">
        <v>147</v>
      </c>
      <c r="S43" s="10">
        <v>65.400000000000006</v>
      </c>
      <c r="T43" s="13">
        <v>46.1</v>
      </c>
      <c r="U43" s="10" t="s">
        <v>1011</v>
      </c>
      <c r="V43" s="10" t="s">
        <v>642</v>
      </c>
      <c r="W43" s="12">
        <v>5.6</v>
      </c>
      <c r="X43" s="12">
        <v>6.4</v>
      </c>
      <c r="Y43" s="12">
        <f>0.55*SQRT(AA43)</f>
        <v>6.6683956091401777</v>
      </c>
      <c r="Z43" s="12">
        <f>0.54*SQRT(AB43)</f>
        <v>6.5471520526103566</v>
      </c>
      <c r="AA43" s="15">
        <v>147</v>
      </c>
      <c r="AB43" s="15">
        <v>147</v>
      </c>
      <c r="AC43" s="18">
        <f t="shared" si="51"/>
        <v>-0.80000000000000071</v>
      </c>
      <c r="AD43" s="18">
        <f t="shared" si="52"/>
        <v>6.6080519065757954</v>
      </c>
      <c r="AE43" s="18">
        <f t="shared" si="53"/>
        <v>-0.12106442432813003</v>
      </c>
      <c r="AF43" s="18">
        <f t="shared" si="54"/>
        <v>0.11674916855621653</v>
      </c>
      <c r="AG43" s="18" t="s">
        <v>157</v>
      </c>
      <c r="AH43" s="12"/>
      <c r="AI43" s="12" t="s">
        <v>780</v>
      </c>
      <c r="AJ43" s="12" t="s">
        <v>348</v>
      </c>
      <c r="AK43" s="12" t="s">
        <v>1298</v>
      </c>
      <c r="AL43" s="12"/>
      <c r="AM43" s="10" t="s">
        <v>1008</v>
      </c>
      <c r="AN43" s="10" t="s">
        <v>157</v>
      </c>
    </row>
    <row r="44" spans="1:40" s="10" customFormat="1" x14ac:dyDescent="0.2">
      <c r="A44" s="11">
        <v>2020</v>
      </c>
      <c r="B44" s="43">
        <v>33994681</v>
      </c>
      <c r="C44" s="4" t="s">
        <v>358</v>
      </c>
      <c r="E44" s="10" t="s">
        <v>157</v>
      </c>
      <c r="F44" s="10" t="s">
        <v>192</v>
      </c>
      <c r="G44" s="10" t="s">
        <v>559</v>
      </c>
      <c r="H44" s="10" t="s">
        <v>559</v>
      </c>
      <c r="J44" s="10" t="s">
        <v>924</v>
      </c>
      <c r="K44" s="10" t="s">
        <v>86</v>
      </c>
      <c r="L44" s="10" t="s">
        <v>156</v>
      </c>
      <c r="M44" s="10" t="s">
        <v>902</v>
      </c>
      <c r="N44" s="10" t="s">
        <v>766</v>
      </c>
      <c r="P44" s="10" t="s">
        <v>911</v>
      </c>
      <c r="R44" s="10">
        <v>75</v>
      </c>
      <c r="S44" s="10">
        <v>52</v>
      </c>
      <c r="T44" s="13">
        <v>69</v>
      </c>
      <c r="U44" s="10" t="s">
        <v>640</v>
      </c>
      <c r="V44" s="10" t="s">
        <v>642</v>
      </c>
      <c r="W44" s="12">
        <v>129.83000000000001</v>
      </c>
      <c r="X44" s="12">
        <v>126.92</v>
      </c>
      <c r="Y44" s="12">
        <v>8.02</v>
      </c>
      <c r="Z44" s="12">
        <v>12.23</v>
      </c>
      <c r="AA44" s="15">
        <v>36</v>
      </c>
      <c r="AB44" s="15">
        <v>39</v>
      </c>
      <c r="AC44" s="18">
        <f t="shared" si="39"/>
        <v>2.9100000000000108</v>
      </c>
      <c r="AD44" s="18">
        <f t="shared" si="40"/>
        <v>10.425853140085474</v>
      </c>
      <c r="AE44" s="18">
        <f t="shared" si="41"/>
        <v>0.27911384909227233</v>
      </c>
      <c r="AF44" s="18">
        <f t="shared" si="42"/>
        <v>0.2322459192834988</v>
      </c>
      <c r="AG44" s="18" t="s">
        <v>193</v>
      </c>
      <c r="AH44" s="12"/>
      <c r="AI44" s="12"/>
      <c r="AJ44" s="12" t="s">
        <v>348</v>
      </c>
      <c r="AK44" s="12"/>
      <c r="AL44" s="12"/>
      <c r="AM44" s="10" t="s">
        <v>692</v>
      </c>
      <c r="AN44" s="10" t="s">
        <v>157</v>
      </c>
    </row>
    <row r="45" spans="1:40" s="10" customFormat="1" x14ac:dyDescent="0.2">
      <c r="A45" s="11">
        <v>2020</v>
      </c>
      <c r="B45" s="10">
        <v>33994681</v>
      </c>
      <c r="C45" s="4" t="s">
        <v>358</v>
      </c>
      <c r="E45" s="10" t="s">
        <v>157</v>
      </c>
      <c r="F45" s="10" t="s">
        <v>192</v>
      </c>
      <c r="G45" s="10" t="s">
        <v>559</v>
      </c>
      <c r="H45" s="10" t="s">
        <v>559</v>
      </c>
      <c r="J45" s="10" t="s">
        <v>924</v>
      </c>
      <c r="K45" s="10" t="s">
        <v>86</v>
      </c>
      <c r="L45" s="10" t="s">
        <v>156</v>
      </c>
      <c r="M45" s="10" t="s">
        <v>902</v>
      </c>
      <c r="N45" s="10" t="s">
        <v>766</v>
      </c>
      <c r="P45" s="10" t="s">
        <v>911</v>
      </c>
      <c r="R45" s="10">
        <v>75</v>
      </c>
      <c r="S45" s="10">
        <v>52</v>
      </c>
      <c r="T45" s="13">
        <v>69</v>
      </c>
      <c r="U45" s="10" t="s">
        <v>641</v>
      </c>
      <c r="V45" s="10" t="s">
        <v>642</v>
      </c>
      <c r="W45" s="12">
        <v>82.25</v>
      </c>
      <c r="X45" s="12">
        <v>79.099999999999994</v>
      </c>
      <c r="Y45" s="12">
        <v>6.81</v>
      </c>
      <c r="Z45" s="12">
        <v>8.81</v>
      </c>
      <c r="AA45" s="15">
        <v>36</v>
      </c>
      <c r="AB45" s="15">
        <v>39</v>
      </c>
      <c r="AC45" s="18">
        <f t="shared" si="39"/>
        <v>3.1500000000000057</v>
      </c>
      <c r="AD45" s="18">
        <f t="shared" si="40"/>
        <v>7.9144183493304912</v>
      </c>
      <c r="AE45" s="18">
        <f t="shared" si="41"/>
        <v>0.39800777024460371</v>
      </c>
      <c r="AF45" s="18">
        <f t="shared" si="42"/>
        <v>0.23339852467393754</v>
      </c>
      <c r="AG45" s="18" t="s">
        <v>193</v>
      </c>
      <c r="AH45" s="12"/>
      <c r="AI45" s="12"/>
      <c r="AJ45" s="12" t="s">
        <v>348</v>
      </c>
      <c r="AK45" s="12"/>
      <c r="AL45" s="12"/>
      <c r="AM45" s="10" t="s">
        <v>692</v>
      </c>
      <c r="AN45" s="10" t="s">
        <v>157</v>
      </c>
    </row>
    <row r="46" spans="1:40" s="10" customFormat="1" x14ac:dyDescent="0.2">
      <c r="A46" s="11">
        <v>2020</v>
      </c>
      <c r="B46" s="10">
        <v>33994681</v>
      </c>
      <c r="C46" s="4" t="s">
        <v>358</v>
      </c>
      <c r="E46" s="10" t="s">
        <v>157</v>
      </c>
      <c r="F46" s="10" t="s">
        <v>192</v>
      </c>
      <c r="G46" s="10" t="s">
        <v>559</v>
      </c>
      <c r="H46" s="10" t="s">
        <v>559</v>
      </c>
      <c r="J46" s="10" t="s">
        <v>924</v>
      </c>
      <c r="K46" s="10" t="s">
        <v>86</v>
      </c>
      <c r="L46" s="10" t="s">
        <v>156</v>
      </c>
      <c r="M46" s="10" t="s">
        <v>902</v>
      </c>
      <c r="N46" s="10" t="s">
        <v>766</v>
      </c>
      <c r="P46" s="10" t="s">
        <v>911</v>
      </c>
      <c r="R46" s="10">
        <v>75</v>
      </c>
      <c r="S46" s="10">
        <v>52</v>
      </c>
      <c r="T46" s="13">
        <v>69</v>
      </c>
      <c r="U46" s="10" t="s">
        <v>637</v>
      </c>
      <c r="V46" s="10" t="s">
        <v>635</v>
      </c>
      <c r="W46" s="12">
        <v>126.47</v>
      </c>
      <c r="X46" s="12">
        <v>120.03</v>
      </c>
      <c r="Y46" s="12">
        <v>7.14</v>
      </c>
      <c r="Z46" s="12">
        <v>11.85</v>
      </c>
      <c r="AA46" s="15">
        <v>36</v>
      </c>
      <c r="AB46" s="15">
        <v>39</v>
      </c>
      <c r="AC46" s="18">
        <f t="shared" ref="AC46" si="55">W46-X46</f>
        <v>6.4399999999999977</v>
      </c>
      <c r="AD46" s="18">
        <f t="shared" ref="AD46" si="56">SQRT(((AA46-1)*Y46^2+(AB46-1)*Z46^2)/(AA46+AB46-2))</f>
        <v>9.8761793122755304</v>
      </c>
      <c r="AE46" s="18">
        <f t="shared" ref="AE46" si="57">AC46/AD46</f>
        <v>0.65207402542757031</v>
      </c>
      <c r="AF46" s="18">
        <f t="shared" ref="AF46" si="58">SQRT(((AA46+AB46)/(AA46*AB46)+(AE46^2/(2*(AA46+AB46)))))</f>
        <v>0.23717814749617819</v>
      </c>
      <c r="AG46" s="18" t="s">
        <v>193</v>
      </c>
      <c r="AH46" s="12" t="s">
        <v>193</v>
      </c>
      <c r="AI46" s="12" t="s">
        <v>780</v>
      </c>
      <c r="AJ46" s="12" t="s">
        <v>348</v>
      </c>
      <c r="AK46" s="12"/>
      <c r="AL46" s="12"/>
      <c r="AM46" s="10" t="s">
        <v>692</v>
      </c>
      <c r="AN46" s="10" t="s">
        <v>157</v>
      </c>
    </row>
    <row r="47" spans="1:40" s="10" customFormat="1" x14ac:dyDescent="0.2">
      <c r="A47" s="11">
        <v>2020</v>
      </c>
      <c r="B47" s="10">
        <v>33994681</v>
      </c>
      <c r="C47" s="4" t="s">
        <v>358</v>
      </c>
      <c r="E47" s="10" t="s">
        <v>157</v>
      </c>
      <c r="F47" s="10" t="s">
        <v>192</v>
      </c>
      <c r="G47" s="10" t="s">
        <v>559</v>
      </c>
      <c r="H47" s="10" t="s">
        <v>559</v>
      </c>
      <c r="J47" s="10" t="s">
        <v>924</v>
      </c>
      <c r="K47" s="10" t="s">
        <v>86</v>
      </c>
      <c r="L47" s="10" t="s">
        <v>156</v>
      </c>
      <c r="M47" s="10" t="s">
        <v>902</v>
      </c>
      <c r="N47" s="10" t="s">
        <v>766</v>
      </c>
      <c r="P47" s="10" t="s">
        <v>911</v>
      </c>
      <c r="R47" s="10">
        <v>75</v>
      </c>
      <c r="S47" s="10">
        <v>52</v>
      </c>
      <c r="T47" s="13">
        <v>69</v>
      </c>
      <c r="U47" s="10" t="s">
        <v>638</v>
      </c>
      <c r="V47" s="10" t="s">
        <v>635</v>
      </c>
      <c r="W47" s="12">
        <v>79.44</v>
      </c>
      <c r="X47" s="12">
        <v>75.87</v>
      </c>
      <c r="Y47" s="12">
        <v>6.8</v>
      </c>
      <c r="Z47" s="12">
        <v>9.1300000000000008</v>
      </c>
      <c r="AA47" s="15">
        <v>36</v>
      </c>
      <c r="AB47" s="15">
        <v>39</v>
      </c>
      <c r="AC47" s="18">
        <f t="shared" ref="AC47:AC50" si="59">W47-X47</f>
        <v>3.5699999999999932</v>
      </c>
      <c r="AD47" s="18">
        <f t="shared" ref="AD47:AD50" si="60">SQRT(((AA47-1)*Y47^2+(AB47-1)*Z47^2)/(AA47+AB47-2))</f>
        <v>8.0969825260647106</v>
      </c>
      <c r="AE47" s="18">
        <f t="shared" ref="AE47:AE50" si="61">AC47/AD47</f>
        <v>0.44090499003893513</v>
      </c>
      <c r="AF47" s="18">
        <f t="shared" ref="AF47:AF50" si="62">SQRT(((AA47+AB47)/(AA47*AB47)+(AE47^2/(2*(AA47+AB47)))))</f>
        <v>0.23391191679863521</v>
      </c>
      <c r="AG47" s="18" t="s">
        <v>193</v>
      </c>
      <c r="AH47" s="12"/>
      <c r="AI47" s="12" t="s">
        <v>780</v>
      </c>
      <c r="AJ47" s="12" t="s">
        <v>348</v>
      </c>
      <c r="AK47" s="12"/>
      <c r="AL47" s="12"/>
      <c r="AM47" s="10" t="s">
        <v>692</v>
      </c>
      <c r="AN47" s="10" t="s">
        <v>157</v>
      </c>
    </row>
    <row r="48" spans="1:40" s="10" customFormat="1" x14ac:dyDescent="0.2">
      <c r="A48" s="11">
        <v>2020</v>
      </c>
      <c r="B48" s="10">
        <v>33994681</v>
      </c>
      <c r="C48" s="4" t="s">
        <v>358</v>
      </c>
      <c r="E48" s="10" t="s">
        <v>157</v>
      </c>
      <c r="F48" s="10" t="s">
        <v>192</v>
      </c>
      <c r="G48" s="10" t="s">
        <v>559</v>
      </c>
      <c r="H48" s="10" t="s">
        <v>559</v>
      </c>
      <c r="J48" s="10" t="s">
        <v>924</v>
      </c>
      <c r="K48" s="10" t="s">
        <v>86</v>
      </c>
      <c r="L48" s="10" t="s">
        <v>156</v>
      </c>
      <c r="M48" s="10" t="s">
        <v>902</v>
      </c>
      <c r="N48" s="10" t="s">
        <v>766</v>
      </c>
      <c r="P48" s="10" t="s">
        <v>911</v>
      </c>
      <c r="R48" s="10">
        <v>75</v>
      </c>
      <c r="S48" s="10">
        <v>52</v>
      </c>
      <c r="T48" s="13">
        <v>69</v>
      </c>
      <c r="U48" s="10" t="s">
        <v>644</v>
      </c>
      <c r="V48" s="10" t="s">
        <v>642</v>
      </c>
      <c r="W48" s="12">
        <v>134.41999999999999</v>
      </c>
      <c r="X48" s="12">
        <v>130.58000000000001</v>
      </c>
      <c r="Y48" s="12">
        <v>5.98</v>
      </c>
      <c r="Z48" s="12">
        <v>11.9</v>
      </c>
      <c r="AA48" s="15">
        <v>36</v>
      </c>
      <c r="AB48" s="15">
        <v>39</v>
      </c>
      <c r="AC48" s="18">
        <f t="shared" si="59"/>
        <v>3.839999999999975</v>
      </c>
      <c r="AD48" s="18">
        <f t="shared" si="60"/>
        <v>9.5320612556163269</v>
      </c>
      <c r="AE48" s="18">
        <f t="shared" si="61"/>
        <v>0.40285095710410301</v>
      </c>
      <c r="AF48" s="18">
        <f t="shared" si="62"/>
        <v>0.23345391274596655</v>
      </c>
      <c r="AG48" s="18" t="s">
        <v>193</v>
      </c>
      <c r="AH48" s="12"/>
      <c r="AI48" s="12" t="s">
        <v>780</v>
      </c>
      <c r="AJ48" s="12" t="s">
        <v>348</v>
      </c>
      <c r="AK48" s="12"/>
      <c r="AL48" s="12"/>
      <c r="AM48" s="10" t="s">
        <v>692</v>
      </c>
      <c r="AN48" s="10" t="s">
        <v>157</v>
      </c>
    </row>
    <row r="49" spans="1:40" s="10" customFormat="1" x14ac:dyDescent="0.2">
      <c r="A49" s="11">
        <v>2020</v>
      </c>
      <c r="B49" s="10">
        <v>33994681</v>
      </c>
      <c r="C49" s="4" t="s">
        <v>358</v>
      </c>
      <c r="E49" s="10" t="s">
        <v>157</v>
      </c>
      <c r="F49" s="10" t="s">
        <v>192</v>
      </c>
      <c r="G49" s="10" t="s">
        <v>559</v>
      </c>
      <c r="H49" s="10" t="s">
        <v>559</v>
      </c>
      <c r="J49" s="10" t="s">
        <v>924</v>
      </c>
      <c r="K49" s="10" t="s">
        <v>86</v>
      </c>
      <c r="L49" s="10" t="s">
        <v>156</v>
      </c>
      <c r="M49" s="10" t="s">
        <v>902</v>
      </c>
      <c r="N49" s="10" t="s">
        <v>766</v>
      </c>
      <c r="P49" s="10" t="s">
        <v>911</v>
      </c>
      <c r="R49" s="10">
        <v>75</v>
      </c>
      <c r="S49" s="10">
        <v>52</v>
      </c>
      <c r="T49" s="13">
        <v>69</v>
      </c>
      <c r="U49" s="10" t="s">
        <v>645</v>
      </c>
      <c r="V49" s="10" t="s">
        <v>635</v>
      </c>
      <c r="W49" s="12">
        <v>86.22</v>
      </c>
      <c r="X49" s="12">
        <v>82.44</v>
      </c>
      <c r="Y49" s="12">
        <v>6.81</v>
      </c>
      <c r="Z49" s="12">
        <v>8.8800000000000008</v>
      </c>
      <c r="AA49" s="15">
        <v>36</v>
      </c>
      <c r="AB49" s="15">
        <v>39</v>
      </c>
      <c r="AC49" s="18">
        <f t="shared" si="59"/>
        <v>3.7800000000000011</v>
      </c>
      <c r="AD49" s="18">
        <f t="shared" si="60"/>
        <v>7.9550369156130962</v>
      </c>
      <c r="AE49" s="18">
        <f t="shared" si="61"/>
        <v>0.47517064221048633</v>
      </c>
      <c r="AF49" s="18">
        <f t="shared" si="62"/>
        <v>0.23435880826970196</v>
      </c>
      <c r="AG49" s="18" t="s">
        <v>193</v>
      </c>
      <c r="AH49" s="12"/>
      <c r="AI49" s="12" t="s">
        <v>780</v>
      </c>
      <c r="AJ49" s="12" t="s">
        <v>348</v>
      </c>
      <c r="AK49" s="12"/>
      <c r="AL49" s="12"/>
      <c r="AM49" s="10" t="s">
        <v>692</v>
      </c>
      <c r="AN49" s="10" t="s">
        <v>157</v>
      </c>
    </row>
    <row r="50" spans="1:40" s="10" customFormat="1" x14ac:dyDescent="0.2">
      <c r="A50" s="11">
        <v>2020</v>
      </c>
      <c r="B50" s="10">
        <v>33994681</v>
      </c>
      <c r="C50" s="4" t="s">
        <v>358</v>
      </c>
      <c r="E50" s="10" t="s">
        <v>157</v>
      </c>
      <c r="F50" s="10" t="s">
        <v>192</v>
      </c>
      <c r="G50" s="10" t="s">
        <v>559</v>
      </c>
      <c r="H50" s="10" t="s">
        <v>559</v>
      </c>
      <c r="J50" s="10" t="s">
        <v>924</v>
      </c>
      <c r="K50" s="10" t="s">
        <v>86</v>
      </c>
      <c r="L50" s="10" t="s">
        <v>156</v>
      </c>
      <c r="M50" s="10" t="s">
        <v>902</v>
      </c>
      <c r="N50" s="10" t="s">
        <v>766</v>
      </c>
      <c r="P50" s="10" t="s">
        <v>911</v>
      </c>
      <c r="R50" s="10">
        <v>75</v>
      </c>
      <c r="S50" s="10">
        <v>52</v>
      </c>
      <c r="T50" s="13">
        <v>69</v>
      </c>
      <c r="U50" s="10" t="s">
        <v>473</v>
      </c>
      <c r="V50" s="10" t="s">
        <v>635</v>
      </c>
      <c r="W50" s="12">
        <v>29.91</v>
      </c>
      <c r="X50" s="12">
        <v>34.409999999999997</v>
      </c>
      <c r="Y50" s="12">
        <v>9.9700000000000006</v>
      </c>
      <c r="Z50" s="12">
        <v>11.82</v>
      </c>
      <c r="AA50" s="15">
        <v>36</v>
      </c>
      <c r="AB50" s="15">
        <v>39</v>
      </c>
      <c r="AC50" s="18">
        <f t="shared" si="59"/>
        <v>-4.4999999999999964</v>
      </c>
      <c r="AD50" s="18">
        <f t="shared" si="60"/>
        <v>10.972008407449872</v>
      </c>
      <c r="AE50" s="18">
        <f t="shared" si="61"/>
        <v>-0.4101345745364674</v>
      </c>
      <c r="AF50" s="18">
        <f t="shared" si="62"/>
        <v>0.23353844625743775</v>
      </c>
      <c r="AG50" s="18" t="s">
        <v>157</v>
      </c>
      <c r="AH50" s="12"/>
      <c r="AI50" s="12" t="s">
        <v>1302</v>
      </c>
      <c r="AJ50" s="12" t="s">
        <v>348</v>
      </c>
      <c r="AK50" s="12"/>
      <c r="AL50" s="12"/>
      <c r="AM50" s="10" t="s">
        <v>692</v>
      </c>
      <c r="AN50" s="10" t="s">
        <v>157</v>
      </c>
    </row>
    <row r="51" spans="1:40" s="10" customFormat="1" x14ac:dyDescent="0.2">
      <c r="A51" s="11">
        <v>2020</v>
      </c>
      <c r="B51" s="10">
        <v>33994681</v>
      </c>
      <c r="C51" s="4" t="s">
        <v>358</v>
      </c>
      <c r="E51" s="10" t="s">
        <v>157</v>
      </c>
      <c r="F51" s="10" t="s">
        <v>192</v>
      </c>
      <c r="G51" s="10" t="s">
        <v>559</v>
      </c>
      <c r="H51" s="10" t="s">
        <v>559</v>
      </c>
      <c r="J51" s="10" t="s">
        <v>924</v>
      </c>
      <c r="K51" s="10" t="s">
        <v>86</v>
      </c>
      <c r="L51" s="10" t="s">
        <v>156</v>
      </c>
      <c r="M51" s="10" t="s">
        <v>902</v>
      </c>
      <c r="N51" s="10" t="s">
        <v>766</v>
      </c>
      <c r="P51" s="10" t="s">
        <v>911</v>
      </c>
      <c r="R51" s="10">
        <v>75</v>
      </c>
      <c r="S51" s="10">
        <v>52</v>
      </c>
      <c r="T51" s="13">
        <v>69</v>
      </c>
      <c r="U51" s="10" t="s">
        <v>472</v>
      </c>
      <c r="V51" s="10" t="s">
        <v>635</v>
      </c>
      <c r="W51" s="12">
        <v>0</v>
      </c>
      <c r="X51" s="12">
        <v>26</v>
      </c>
      <c r="Y51" s="12"/>
      <c r="Z51" s="12"/>
      <c r="AA51" s="15"/>
      <c r="AB51" s="15"/>
      <c r="AC51" s="12"/>
      <c r="AD51" s="12"/>
      <c r="AE51" s="12"/>
      <c r="AF51" s="12"/>
      <c r="AG51" s="12" t="s">
        <v>157</v>
      </c>
      <c r="AH51" s="12"/>
      <c r="AI51" s="12" t="s">
        <v>780</v>
      </c>
      <c r="AJ51" s="12" t="s">
        <v>348</v>
      </c>
      <c r="AK51" s="12" t="s">
        <v>1039</v>
      </c>
      <c r="AL51" s="12" t="s">
        <v>1301</v>
      </c>
      <c r="AM51" s="10" t="s">
        <v>692</v>
      </c>
      <c r="AN51" s="10" t="s">
        <v>157</v>
      </c>
    </row>
    <row r="52" spans="1:40" s="10" customFormat="1" x14ac:dyDescent="0.2">
      <c r="A52" s="11">
        <v>2020</v>
      </c>
      <c r="B52" s="43">
        <v>33307854</v>
      </c>
      <c r="C52" s="10" t="s">
        <v>337</v>
      </c>
      <c r="F52" s="10" t="s">
        <v>338</v>
      </c>
      <c r="G52" s="10" t="s">
        <v>339</v>
      </c>
      <c r="H52" s="10" t="s">
        <v>339</v>
      </c>
      <c r="J52" s="10" t="s">
        <v>341</v>
      </c>
      <c r="K52" s="10" t="s">
        <v>341</v>
      </c>
      <c r="L52" s="10" t="s">
        <v>234</v>
      </c>
      <c r="M52" s="10" t="s">
        <v>902</v>
      </c>
      <c r="N52" s="10" t="s">
        <v>766</v>
      </c>
      <c r="R52" s="10">
        <v>90</v>
      </c>
      <c r="T52" s="13"/>
      <c r="U52" s="10" t="s">
        <v>474</v>
      </c>
      <c r="V52" s="10" t="s">
        <v>635</v>
      </c>
      <c r="W52" s="12">
        <v>22.37</v>
      </c>
      <c r="X52" s="12">
        <v>10.54</v>
      </c>
      <c r="Y52" s="12">
        <v>18.850000000000001</v>
      </c>
      <c r="Z52" s="12">
        <v>7.5</v>
      </c>
      <c r="AA52" s="15">
        <v>55</v>
      </c>
      <c r="AB52" s="15">
        <v>35</v>
      </c>
      <c r="AC52" s="18">
        <f t="shared" ref="AC52" si="63">W52-X52</f>
        <v>11.830000000000002</v>
      </c>
      <c r="AD52" s="18">
        <f t="shared" ref="AD52" si="64">SQRT(((AA52-1)*Y52^2+(AB52-1)*Z52^2)/(AA52+AB52-2))</f>
        <v>15.484565262339023</v>
      </c>
      <c r="AE52" s="18">
        <f t="shared" ref="AE52" si="65">AC52/AD52</f>
        <v>0.76398657628267308</v>
      </c>
      <c r="AF52" s="18">
        <f t="shared" ref="AF52" si="66">SQRT(((AA52+AB52)/(AA52*AB52)+(AE52^2/(2*(AA52+AB52)))))</f>
        <v>0.22359760364851528</v>
      </c>
      <c r="AG52" s="18" t="s">
        <v>193</v>
      </c>
      <c r="AH52" s="12" t="s">
        <v>193</v>
      </c>
      <c r="AI52" s="12" t="s">
        <v>786</v>
      </c>
      <c r="AJ52" s="12" t="s">
        <v>326</v>
      </c>
      <c r="AK52" s="12"/>
      <c r="AL52" s="12"/>
      <c r="AM52" s="10" t="s">
        <v>693</v>
      </c>
      <c r="AN52" s="10" t="s">
        <v>157</v>
      </c>
    </row>
    <row r="53" spans="1:40" s="10" customFormat="1" x14ac:dyDescent="0.2">
      <c r="A53" s="11">
        <v>2019</v>
      </c>
      <c r="B53" s="43">
        <v>31399175</v>
      </c>
      <c r="C53" s="10" t="s">
        <v>136</v>
      </c>
      <c r="F53" s="10" t="s">
        <v>72</v>
      </c>
      <c r="G53" s="10" t="s">
        <v>72</v>
      </c>
      <c r="H53" s="10" t="s">
        <v>72</v>
      </c>
      <c r="J53" s="10" t="s">
        <v>355</v>
      </c>
      <c r="K53" s="10" t="s">
        <v>354</v>
      </c>
      <c r="L53" s="10" t="s">
        <v>353</v>
      </c>
      <c r="M53" s="10" t="s">
        <v>736</v>
      </c>
      <c r="N53" s="10" t="s">
        <v>736</v>
      </c>
      <c r="R53" s="10">
        <v>147</v>
      </c>
      <c r="T53" s="13"/>
      <c r="U53" s="11" t="s">
        <v>462</v>
      </c>
      <c r="V53" s="11" t="s">
        <v>648</v>
      </c>
      <c r="W53" s="18">
        <v>2</v>
      </c>
      <c r="X53" s="18">
        <v>11</v>
      </c>
      <c r="Y53" s="18"/>
      <c r="Z53" s="18"/>
      <c r="AA53" s="17">
        <v>102</v>
      </c>
      <c r="AB53" s="17">
        <v>45</v>
      </c>
      <c r="AC53" s="18"/>
      <c r="AD53" s="18"/>
      <c r="AE53" s="18"/>
      <c r="AF53" s="18"/>
      <c r="AG53" s="18" t="s">
        <v>157</v>
      </c>
      <c r="AH53" s="18"/>
      <c r="AI53" s="10" t="s">
        <v>787</v>
      </c>
      <c r="AJ53" s="18" t="s">
        <v>356</v>
      </c>
      <c r="AK53" s="18"/>
      <c r="AL53" s="18" t="s">
        <v>1301</v>
      </c>
      <c r="AM53" s="10" t="s">
        <v>694</v>
      </c>
      <c r="AN53" s="10" t="s">
        <v>157</v>
      </c>
    </row>
    <row r="54" spans="1:40" s="10" customFormat="1" x14ac:dyDescent="0.2">
      <c r="A54" s="11">
        <v>2019</v>
      </c>
      <c r="B54" s="10">
        <v>31399175</v>
      </c>
      <c r="C54" s="10" t="s">
        <v>136</v>
      </c>
      <c r="F54" s="10" t="s">
        <v>72</v>
      </c>
      <c r="G54" s="10" t="s">
        <v>72</v>
      </c>
      <c r="H54" s="10" t="s">
        <v>72</v>
      </c>
      <c r="J54" s="10" t="s">
        <v>355</v>
      </c>
      <c r="K54" s="10" t="s">
        <v>354</v>
      </c>
      <c r="L54" s="10" t="s">
        <v>353</v>
      </c>
      <c r="M54" s="10" t="s">
        <v>736</v>
      </c>
      <c r="N54" s="10" t="s">
        <v>736</v>
      </c>
      <c r="R54" s="10">
        <v>147</v>
      </c>
      <c r="T54" s="13"/>
      <c r="U54" s="11" t="s">
        <v>463</v>
      </c>
      <c r="V54" s="11" t="s">
        <v>648</v>
      </c>
      <c r="W54" s="18">
        <v>1405.88</v>
      </c>
      <c r="X54" s="18">
        <v>2168</v>
      </c>
      <c r="Y54" s="18">
        <v>1037.69</v>
      </c>
      <c r="Z54" s="18">
        <v>2324.1999999999998</v>
      </c>
      <c r="AA54" s="17">
        <v>102</v>
      </c>
      <c r="AB54" s="17">
        <v>45</v>
      </c>
      <c r="AC54" s="18">
        <f t="shared" ref="AC54:AC61" si="67">W54-X54</f>
        <v>-762.11999999999989</v>
      </c>
      <c r="AD54" s="18">
        <f t="shared" ref="AD54:AD61" si="68">SQRT(((AA54-1)*Y54^2+(AB54-1)*Z54^2)/(AA54+AB54-2))</f>
        <v>1545.7186751801537</v>
      </c>
      <c r="AE54" s="18">
        <f t="shared" ref="AE54:AE61" si="69">AC54/AD54</f>
        <v>-0.4930522042836642</v>
      </c>
      <c r="AF54" s="18">
        <f t="shared" ref="AF54:AF61" si="70">SQRT(((AA54+AB54)/(AA54*AB54)+(AE54^2/(2*(AA54+AB54)))))</f>
        <v>0.18125401004861477</v>
      </c>
      <c r="AG54" s="18" t="s">
        <v>193</v>
      </c>
      <c r="AH54" s="12"/>
      <c r="AI54" s="10" t="s">
        <v>787</v>
      </c>
      <c r="AJ54" s="18" t="s">
        <v>356</v>
      </c>
      <c r="AK54" s="18"/>
      <c r="AL54" s="18"/>
      <c r="AM54" s="10" t="s">
        <v>694</v>
      </c>
      <c r="AN54" s="10" t="s">
        <v>157</v>
      </c>
    </row>
    <row r="55" spans="1:40" s="10" customFormat="1" x14ac:dyDescent="0.2">
      <c r="A55" s="11">
        <v>2019</v>
      </c>
      <c r="B55" s="10">
        <v>31399175</v>
      </c>
      <c r="C55" s="10" t="s">
        <v>136</v>
      </c>
      <c r="F55" s="10" t="s">
        <v>72</v>
      </c>
      <c r="G55" s="10" t="s">
        <v>72</v>
      </c>
      <c r="H55" s="10" t="s">
        <v>72</v>
      </c>
      <c r="J55" s="10" t="s">
        <v>355</v>
      </c>
      <c r="K55" s="10" t="s">
        <v>354</v>
      </c>
      <c r="L55" s="10" t="s">
        <v>353</v>
      </c>
      <c r="M55" s="10" t="s">
        <v>736</v>
      </c>
      <c r="N55" s="10" t="s">
        <v>736</v>
      </c>
      <c r="R55" s="10">
        <v>147</v>
      </c>
      <c r="T55" s="13"/>
      <c r="U55" s="11" t="s">
        <v>464</v>
      </c>
      <c r="V55" s="11" t="s">
        <v>648</v>
      </c>
      <c r="W55" s="12">
        <v>6.37</v>
      </c>
      <c r="X55" s="18">
        <v>8.59</v>
      </c>
      <c r="Y55" s="18">
        <v>5.78</v>
      </c>
      <c r="Z55" s="18">
        <v>7.11</v>
      </c>
      <c r="AA55" s="17">
        <v>102</v>
      </c>
      <c r="AB55" s="17">
        <v>45</v>
      </c>
      <c r="AC55" s="18">
        <f t="shared" si="67"/>
        <v>-2.2199999999999998</v>
      </c>
      <c r="AD55" s="18">
        <f t="shared" si="68"/>
        <v>6.2137449422145226</v>
      </c>
      <c r="AE55" s="18">
        <f t="shared" si="69"/>
        <v>-0.35727246944397623</v>
      </c>
      <c r="AF55" s="18">
        <f t="shared" si="70"/>
        <v>0.18016743810931019</v>
      </c>
      <c r="AG55" s="18" t="s">
        <v>193</v>
      </c>
      <c r="AH55" s="18"/>
      <c r="AI55" s="10" t="s">
        <v>787</v>
      </c>
      <c r="AJ55" s="18" t="s">
        <v>356</v>
      </c>
      <c r="AK55" s="18"/>
      <c r="AL55" s="18"/>
      <c r="AM55" s="10" t="s">
        <v>694</v>
      </c>
      <c r="AN55" s="10" t="s">
        <v>157</v>
      </c>
    </row>
    <row r="56" spans="1:40" s="10" customFormat="1" x14ac:dyDescent="0.2">
      <c r="A56" s="11">
        <v>2019</v>
      </c>
      <c r="B56" s="10">
        <v>31399175</v>
      </c>
      <c r="C56" s="10" t="s">
        <v>136</v>
      </c>
      <c r="F56" s="10" t="s">
        <v>72</v>
      </c>
      <c r="G56" s="10" t="s">
        <v>72</v>
      </c>
      <c r="H56" s="10" t="s">
        <v>72</v>
      </c>
      <c r="J56" s="10" t="s">
        <v>355</v>
      </c>
      <c r="K56" s="10" t="s">
        <v>354</v>
      </c>
      <c r="L56" s="10" t="s">
        <v>353</v>
      </c>
      <c r="M56" s="10" t="s">
        <v>736</v>
      </c>
      <c r="N56" s="10" t="s">
        <v>736</v>
      </c>
      <c r="R56" s="10">
        <v>147</v>
      </c>
      <c r="T56" s="13"/>
      <c r="U56" s="11" t="s">
        <v>465</v>
      </c>
      <c r="V56" s="11" t="s">
        <v>648</v>
      </c>
      <c r="W56" s="18">
        <v>8.26</v>
      </c>
      <c r="X56" s="18">
        <v>8.9</v>
      </c>
      <c r="Y56" s="18">
        <v>1.69</v>
      </c>
      <c r="Z56" s="18">
        <v>1.65</v>
      </c>
      <c r="AA56" s="17">
        <v>102</v>
      </c>
      <c r="AB56" s="17">
        <v>45</v>
      </c>
      <c r="AC56" s="18">
        <f t="shared" si="67"/>
        <v>-0.64000000000000057</v>
      </c>
      <c r="AD56" s="18">
        <f t="shared" si="68"/>
        <v>1.6779628453409887</v>
      </c>
      <c r="AE56" s="18">
        <f t="shared" si="69"/>
        <v>-0.38141488160898007</v>
      </c>
      <c r="AF56" s="18">
        <f t="shared" si="70"/>
        <v>0.18033569968164567</v>
      </c>
      <c r="AG56" s="18" t="s">
        <v>193</v>
      </c>
      <c r="AH56" s="18"/>
      <c r="AI56" s="10" t="s">
        <v>787</v>
      </c>
      <c r="AJ56" s="18" t="s">
        <v>356</v>
      </c>
      <c r="AK56" s="18"/>
      <c r="AL56" s="18"/>
      <c r="AM56" s="10" t="s">
        <v>694</v>
      </c>
      <c r="AN56" s="10" t="s">
        <v>157</v>
      </c>
    </row>
    <row r="57" spans="1:40" s="10" customFormat="1" x14ac:dyDescent="0.2">
      <c r="A57" s="11">
        <v>2019</v>
      </c>
      <c r="B57" s="10">
        <v>31399175</v>
      </c>
      <c r="C57" s="10" t="s">
        <v>136</v>
      </c>
      <c r="F57" s="10" t="s">
        <v>72</v>
      </c>
      <c r="G57" s="10" t="s">
        <v>72</v>
      </c>
      <c r="H57" s="10" t="s">
        <v>72</v>
      </c>
      <c r="J57" s="10" t="s">
        <v>355</v>
      </c>
      <c r="K57" s="10" t="s">
        <v>354</v>
      </c>
      <c r="L57" s="10" t="s">
        <v>353</v>
      </c>
      <c r="M57" s="10" t="s">
        <v>736</v>
      </c>
      <c r="N57" s="10" t="s">
        <v>736</v>
      </c>
      <c r="R57" s="10">
        <v>147</v>
      </c>
      <c r="T57" s="13"/>
      <c r="U57" s="11" t="s">
        <v>466</v>
      </c>
      <c r="V57" s="11" t="s">
        <v>648</v>
      </c>
      <c r="W57" s="18">
        <v>7.21</v>
      </c>
      <c r="X57" s="18">
        <v>9.35</v>
      </c>
      <c r="Y57" s="18">
        <v>3.93</v>
      </c>
      <c r="Z57" s="18">
        <v>5.03</v>
      </c>
      <c r="AA57" s="17">
        <v>102</v>
      </c>
      <c r="AB57" s="17">
        <v>45</v>
      </c>
      <c r="AC57" s="18">
        <f t="shared" si="67"/>
        <v>-2.1399999999999997</v>
      </c>
      <c r="AD57" s="18">
        <f t="shared" si="68"/>
        <v>4.2936797979002295</v>
      </c>
      <c r="AE57" s="18">
        <f t="shared" si="69"/>
        <v>-0.49840698438820241</v>
      </c>
      <c r="AF57" s="18">
        <f t="shared" si="70"/>
        <v>0.18130381721873418</v>
      </c>
      <c r="AG57" s="18" t="s">
        <v>193</v>
      </c>
      <c r="AH57" s="18" t="s">
        <v>193</v>
      </c>
      <c r="AI57" s="10" t="s">
        <v>787</v>
      </c>
      <c r="AJ57" s="18" t="s">
        <v>356</v>
      </c>
      <c r="AK57" s="18"/>
      <c r="AL57" s="18"/>
      <c r="AM57" s="10" t="s">
        <v>694</v>
      </c>
      <c r="AN57" s="10" t="s">
        <v>157</v>
      </c>
    </row>
    <row r="58" spans="1:40" s="10" customFormat="1" x14ac:dyDescent="0.2">
      <c r="A58" s="11">
        <v>2019</v>
      </c>
      <c r="B58" s="10">
        <v>31399175</v>
      </c>
      <c r="C58" s="10" t="s">
        <v>136</v>
      </c>
      <c r="F58" s="10" t="s">
        <v>72</v>
      </c>
      <c r="G58" s="10" t="s">
        <v>72</v>
      </c>
      <c r="H58" s="10" t="s">
        <v>72</v>
      </c>
      <c r="J58" s="10" t="s">
        <v>355</v>
      </c>
      <c r="K58" s="10" t="s">
        <v>354</v>
      </c>
      <c r="L58" s="10" t="s">
        <v>353</v>
      </c>
      <c r="M58" s="10" t="s">
        <v>736</v>
      </c>
      <c r="N58" s="10" t="s">
        <v>736</v>
      </c>
      <c r="R58" s="10">
        <v>147</v>
      </c>
      <c r="T58" s="13"/>
      <c r="U58" s="11" t="s">
        <v>467</v>
      </c>
      <c r="V58" s="11" t="s">
        <v>648</v>
      </c>
      <c r="W58" s="18">
        <v>2.9</v>
      </c>
      <c r="X58" s="18">
        <v>13</v>
      </c>
      <c r="Y58" s="18"/>
      <c r="Z58" s="18"/>
      <c r="AA58" s="17">
        <v>102</v>
      </c>
      <c r="AB58" s="17">
        <v>45</v>
      </c>
      <c r="AC58" s="18"/>
      <c r="AD58" s="18"/>
      <c r="AE58" s="18"/>
      <c r="AF58" s="18"/>
      <c r="AG58" s="18" t="s">
        <v>157</v>
      </c>
      <c r="AH58" s="18"/>
      <c r="AI58" s="10" t="s">
        <v>787</v>
      </c>
      <c r="AJ58" s="18" t="s">
        <v>356</v>
      </c>
      <c r="AK58" s="18"/>
      <c r="AL58" s="18" t="s">
        <v>1301</v>
      </c>
      <c r="AM58" s="10" t="s">
        <v>694</v>
      </c>
      <c r="AN58" s="10" t="s">
        <v>157</v>
      </c>
    </row>
    <row r="59" spans="1:40" s="10" customFormat="1" x14ac:dyDescent="0.2">
      <c r="A59" s="11">
        <v>2019</v>
      </c>
      <c r="B59" s="10">
        <v>31399175</v>
      </c>
      <c r="C59" s="10" t="s">
        <v>136</v>
      </c>
      <c r="F59" s="10" t="s">
        <v>72</v>
      </c>
      <c r="G59" s="10" t="s">
        <v>72</v>
      </c>
      <c r="H59" s="10" t="s">
        <v>72</v>
      </c>
      <c r="J59" s="10" t="s">
        <v>355</v>
      </c>
      <c r="K59" s="10" t="s">
        <v>354</v>
      </c>
      <c r="L59" s="10" t="s">
        <v>353</v>
      </c>
      <c r="M59" s="10" t="s">
        <v>736</v>
      </c>
      <c r="N59" s="10" t="s">
        <v>736</v>
      </c>
      <c r="R59" s="10">
        <v>147</v>
      </c>
      <c r="T59" s="13"/>
      <c r="U59" s="11" t="s">
        <v>468</v>
      </c>
      <c r="V59" s="11" t="s">
        <v>648</v>
      </c>
      <c r="W59" s="18">
        <v>6.9</v>
      </c>
      <c r="X59" s="18">
        <v>20</v>
      </c>
      <c r="Y59" s="18"/>
      <c r="Z59" s="18"/>
      <c r="AA59" s="17">
        <v>102</v>
      </c>
      <c r="AB59" s="17">
        <v>45</v>
      </c>
      <c r="AC59" s="18"/>
      <c r="AD59" s="18"/>
      <c r="AE59" s="18"/>
      <c r="AF59" s="18"/>
      <c r="AG59" s="18" t="s">
        <v>157</v>
      </c>
      <c r="AH59" s="18"/>
      <c r="AI59" s="10" t="s">
        <v>787</v>
      </c>
      <c r="AJ59" s="18" t="s">
        <v>356</v>
      </c>
      <c r="AK59" s="18"/>
      <c r="AL59" s="18" t="s">
        <v>1301</v>
      </c>
      <c r="AM59" s="10" t="s">
        <v>694</v>
      </c>
      <c r="AN59" s="10" t="s">
        <v>157</v>
      </c>
    </row>
    <row r="60" spans="1:40" s="10" customFormat="1" x14ac:dyDescent="0.2">
      <c r="A60" s="11">
        <v>2019</v>
      </c>
      <c r="B60" s="10">
        <v>31399175</v>
      </c>
      <c r="C60" s="10" t="s">
        <v>136</v>
      </c>
      <c r="F60" s="10" t="s">
        <v>72</v>
      </c>
      <c r="G60" s="10" t="s">
        <v>72</v>
      </c>
      <c r="H60" s="10" t="s">
        <v>72</v>
      </c>
      <c r="J60" s="10" t="s">
        <v>355</v>
      </c>
      <c r="K60" s="10" t="s">
        <v>354</v>
      </c>
      <c r="L60" s="10" t="s">
        <v>353</v>
      </c>
      <c r="M60" s="10" t="s">
        <v>736</v>
      </c>
      <c r="N60" s="10" t="s">
        <v>736</v>
      </c>
      <c r="R60" s="10">
        <v>147</v>
      </c>
      <c r="T60" s="13"/>
      <c r="U60" s="11" t="s">
        <v>469</v>
      </c>
      <c r="V60" s="11" t="s">
        <v>649</v>
      </c>
      <c r="W60" s="18">
        <v>33551.75</v>
      </c>
      <c r="X60" s="18">
        <v>37357.96</v>
      </c>
      <c r="Y60" s="18">
        <v>11683.38</v>
      </c>
      <c r="Z60" s="18">
        <v>6779.96</v>
      </c>
      <c r="AA60" s="17">
        <v>102</v>
      </c>
      <c r="AB60" s="17">
        <v>45</v>
      </c>
      <c r="AC60" s="18">
        <f t="shared" si="67"/>
        <v>-3806.2099999999991</v>
      </c>
      <c r="AD60" s="18">
        <f t="shared" si="68"/>
        <v>10441.701514512422</v>
      </c>
      <c r="AE60" s="18">
        <f t="shared" si="69"/>
        <v>-0.36452009231540755</v>
      </c>
      <c r="AF60" s="18">
        <f t="shared" si="70"/>
        <v>0.18021681171635726</v>
      </c>
      <c r="AG60" s="18" t="s">
        <v>193</v>
      </c>
      <c r="AH60" s="18"/>
      <c r="AI60" s="10" t="s">
        <v>787</v>
      </c>
      <c r="AJ60" s="18" t="s">
        <v>356</v>
      </c>
      <c r="AK60" s="18"/>
      <c r="AL60" s="18"/>
      <c r="AM60" s="10" t="s">
        <v>694</v>
      </c>
      <c r="AN60" s="10" t="s">
        <v>157</v>
      </c>
    </row>
    <row r="61" spans="1:40" s="10" customFormat="1" x14ac:dyDescent="0.2">
      <c r="A61" s="11">
        <v>2019</v>
      </c>
      <c r="B61" s="10">
        <v>31399175</v>
      </c>
      <c r="C61" s="10" t="s">
        <v>136</v>
      </c>
      <c r="F61" s="10" t="s">
        <v>72</v>
      </c>
      <c r="G61" s="10" t="s">
        <v>72</v>
      </c>
      <c r="H61" s="10" t="s">
        <v>72</v>
      </c>
      <c r="J61" s="10" t="s">
        <v>355</v>
      </c>
      <c r="K61" s="10" t="s">
        <v>354</v>
      </c>
      <c r="L61" s="10" t="s">
        <v>353</v>
      </c>
      <c r="M61" s="10" t="s">
        <v>736</v>
      </c>
      <c r="N61" s="10" t="s">
        <v>736</v>
      </c>
      <c r="R61" s="10">
        <v>147</v>
      </c>
      <c r="T61" s="13"/>
      <c r="U61" s="11" t="s">
        <v>470</v>
      </c>
      <c r="V61" s="11" t="s">
        <v>635</v>
      </c>
      <c r="W61" s="18">
        <v>17.54</v>
      </c>
      <c r="X61" s="18">
        <v>21.77</v>
      </c>
      <c r="Y61" s="18">
        <v>10.8</v>
      </c>
      <c r="Z61" s="18">
        <v>10.91</v>
      </c>
      <c r="AA61" s="17">
        <v>102</v>
      </c>
      <c r="AB61" s="17">
        <v>45</v>
      </c>
      <c r="AC61" s="18">
        <f t="shared" si="67"/>
        <v>-4.2300000000000004</v>
      </c>
      <c r="AD61" s="18">
        <f t="shared" si="68"/>
        <v>10.833497349775197</v>
      </c>
      <c r="AE61" s="18">
        <f t="shared" si="69"/>
        <v>-0.39045562697144853</v>
      </c>
      <c r="AF61" s="18">
        <f t="shared" si="70"/>
        <v>0.18040149733853264</v>
      </c>
      <c r="AG61" s="18" t="s">
        <v>193</v>
      </c>
      <c r="AH61" s="18"/>
      <c r="AI61" s="10" t="s">
        <v>787</v>
      </c>
      <c r="AJ61" s="18" t="s">
        <v>356</v>
      </c>
      <c r="AK61" s="18"/>
      <c r="AL61" s="18"/>
      <c r="AM61" s="10" t="s">
        <v>694</v>
      </c>
      <c r="AN61" s="10" t="s">
        <v>157</v>
      </c>
    </row>
    <row r="62" spans="1:40" s="10" customFormat="1" x14ac:dyDescent="0.2">
      <c r="A62" s="11">
        <v>2020</v>
      </c>
      <c r="B62" s="43">
        <v>32692732</v>
      </c>
      <c r="C62" s="10" t="s">
        <v>359</v>
      </c>
      <c r="F62" s="10" t="s">
        <v>36</v>
      </c>
      <c r="G62" s="10" t="s">
        <v>36</v>
      </c>
      <c r="H62" s="10" t="s">
        <v>36</v>
      </c>
      <c r="J62" s="10" t="s">
        <v>162</v>
      </c>
      <c r="K62" s="10" t="s">
        <v>162</v>
      </c>
      <c r="L62" s="10" t="s">
        <v>156</v>
      </c>
      <c r="M62" s="10" t="s">
        <v>736</v>
      </c>
      <c r="N62" s="10" t="s">
        <v>736</v>
      </c>
      <c r="R62" s="10">
        <v>54</v>
      </c>
      <c r="T62" s="13"/>
      <c r="U62" s="10" t="s">
        <v>321</v>
      </c>
      <c r="V62" s="10" t="s">
        <v>635</v>
      </c>
      <c r="W62" s="12"/>
      <c r="X62" s="12"/>
      <c r="Y62" s="12"/>
      <c r="Z62" s="12"/>
      <c r="AA62" s="15"/>
      <c r="AB62" s="15"/>
      <c r="AC62" s="12"/>
      <c r="AD62" s="12"/>
      <c r="AE62" s="12"/>
      <c r="AF62" s="12"/>
      <c r="AG62" s="12" t="s">
        <v>193</v>
      </c>
      <c r="AH62" s="12"/>
      <c r="AI62" s="12" t="s">
        <v>788</v>
      </c>
      <c r="AJ62" s="12"/>
      <c r="AK62" s="12"/>
      <c r="AL62" s="12" t="s">
        <v>845</v>
      </c>
      <c r="AM62" s="10" t="s">
        <v>695</v>
      </c>
      <c r="AN62" s="10" t="s">
        <v>157</v>
      </c>
    </row>
    <row r="63" spans="1:40" s="10" customFormat="1" x14ac:dyDescent="0.2">
      <c r="A63" s="11">
        <v>2020</v>
      </c>
      <c r="B63" s="10">
        <v>32692732</v>
      </c>
      <c r="C63" s="10" t="s">
        <v>359</v>
      </c>
      <c r="F63" s="10" t="s">
        <v>36</v>
      </c>
      <c r="G63" s="10" t="s">
        <v>36</v>
      </c>
      <c r="H63" s="10" t="s">
        <v>36</v>
      </c>
      <c r="J63" s="10" t="s">
        <v>162</v>
      </c>
      <c r="K63" s="10" t="s">
        <v>162</v>
      </c>
      <c r="L63" s="10" t="s">
        <v>156</v>
      </c>
      <c r="M63" s="10" t="s">
        <v>736</v>
      </c>
      <c r="N63" s="10" t="s">
        <v>736</v>
      </c>
      <c r="R63" s="10">
        <v>54</v>
      </c>
      <c r="T63" s="13"/>
      <c r="U63" s="10" t="s">
        <v>322</v>
      </c>
      <c r="V63" s="10" t="s">
        <v>635</v>
      </c>
      <c r="W63" s="12">
        <v>1250</v>
      </c>
      <c r="X63" s="12">
        <v>1000</v>
      </c>
      <c r="Y63" s="12">
        <f>250*SQRT(36)</f>
        <v>1500</v>
      </c>
      <c r="Z63" s="12">
        <f>250*SQRT(18)</f>
        <v>1060.6601717798212</v>
      </c>
      <c r="AA63" s="15">
        <v>36</v>
      </c>
      <c r="AB63" s="15">
        <v>18</v>
      </c>
      <c r="AC63" s="18">
        <f t="shared" ref="AC63" si="71">W63-X63</f>
        <v>250</v>
      </c>
      <c r="AD63" s="18">
        <f t="shared" ref="AD63" si="72">SQRT(((AA63-1)*Y63^2+(AB63-1)*Z63^2)/(AA63+AB63-2))</f>
        <v>1371.9371481454748</v>
      </c>
      <c r="AE63" s="18">
        <f t="shared" ref="AE63:AE65" si="73">AC63/AD63</f>
        <v>0.18222409119684468</v>
      </c>
      <c r="AF63" s="18">
        <f t="shared" ref="AF63" si="74">SQRT(((AA63+AB63)/(AA63*AB63)+(AE63^2/(2*(AA63+AB63)))))</f>
        <v>0.28920717966941639</v>
      </c>
      <c r="AG63" s="18" t="s">
        <v>193</v>
      </c>
      <c r="AH63" s="12" t="s">
        <v>193</v>
      </c>
      <c r="AI63" s="12" t="s">
        <v>788</v>
      </c>
      <c r="AJ63" s="12" t="s">
        <v>328</v>
      </c>
      <c r="AK63" s="12"/>
      <c r="AL63" s="12" t="s">
        <v>845</v>
      </c>
      <c r="AM63" s="10" t="s">
        <v>695</v>
      </c>
      <c r="AN63" s="10" t="s">
        <v>157</v>
      </c>
    </row>
    <row r="64" spans="1:40" s="10" customFormat="1" x14ac:dyDescent="0.2">
      <c r="A64" s="11">
        <v>2020</v>
      </c>
      <c r="B64" s="10">
        <v>32692732</v>
      </c>
      <c r="C64" s="10" t="s">
        <v>359</v>
      </c>
      <c r="F64" s="10" t="s">
        <v>36</v>
      </c>
      <c r="G64" s="10" t="s">
        <v>36</v>
      </c>
      <c r="H64" s="10" t="s">
        <v>36</v>
      </c>
      <c r="J64" s="10" t="s">
        <v>162</v>
      </c>
      <c r="K64" s="10" t="s">
        <v>162</v>
      </c>
      <c r="L64" s="10" t="s">
        <v>156</v>
      </c>
      <c r="M64" s="10" t="s">
        <v>736</v>
      </c>
      <c r="N64" s="10" t="s">
        <v>736</v>
      </c>
      <c r="R64" s="10">
        <v>54</v>
      </c>
      <c r="T64" s="13"/>
      <c r="U64" s="10" t="s">
        <v>323</v>
      </c>
      <c r="V64" s="10" t="s">
        <v>635</v>
      </c>
      <c r="W64" s="12"/>
      <c r="X64" s="12"/>
      <c r="Y64" s="12"/>
      <c r="Z64" s="12"/>
      <c r="AA64" s="15"/>
      <c r="AB64" s="15"/>
      <c r="AC64" s="12"/>
      <c r="AD64" s="12"/>
      <c r="AE64" s="12"/>
      <c r="AF64" s="12"/>
      <c r="AG64" s="12" t="s">
        <v>193</v>
      </c>
      <c r="AH64" s="12"/>
      <c r="AI64" s="12" t="s">
        <v>788</v>
      </c>
      <c r="AJ64" s="12"/>
      <c r="AK64" s="12"/>
      <c r="AL64" s="12" t="s">
        <v>845</v>
      </c>
      <c r="AM64" s="10" t="s">
        <v>695</v>
      </c>
      <c r="AN64" s="10" t="s">
        <v>157</v>
      </c>
    </row>
    <row r="65" spans="1:40" s="10" customFormat="1" x14ac:dyDescent="0.2">
      <c r="A65" s="11">
        <v>2010</v>
      </c>
      <c r="B65" s="43">
        <v>21149757</v>
      </c>
      <c r="C65" s="10" t="s">
        <v>141</v>
      </c>
      <c r="F65" s="10" t="s">
        <v>349</v>
      </c>
      <c r="G65" s="10" t="s">
        <v>141</v>
      </c>
      <c r="H65" s="10" t="s">
        <v>141</v>
      </c>
      <c r="I65" s="10">
        <v>48</v>
      </c>
      <c r="J65" s="10" t="s">
        <v>143</v>
      </c>
      <c r="K65" s="10" t="s">
        <v>143</v>
      </c>
      <c r="L65" s="10" t="s">
        <v>220</v>
      </c>
      <c r="M65" s="10" t="s">
        <v>903</v>
      </c>
      <c r="N65" s="10" t="s">
        <v>766</v>
      </c>
      <c r="O65" s="10" t="s">
        <v>664</v>
      </c>
      <c r="R65" s="19">
        <v>90</v>
      </c>
      <c r="S65" s="19"/>
      <c r="T65" s="13"/>
      <c r="U65" s="20" t="s">
        <v>455</v>
      </c>
      <c r="V65" s="20" t="s">
        <v>635</v>
      </c>
      <c r="W65" s="20">
        <v>2.66</v>
      </c>
      <c r="X65" s="20">
        <v>1.74</v>
      </c>
      <c r="Y65" s="20">
        <v>2.5299999999999998</v>
      </c>
      <c r="Z65" s="20">
        <v>2.4300000000000002</v>
      </c>
      <c r="AA65" s="21">
        <v>47</v>
      </c>
      <c r="AB65" s="21">
        <v>47</v>
      </c>
      <c r="AC65" s="18">
        <f t="shared" ref="AC65" si="75">W65-X65</f>
        <v>0.92000000000000015</v>
      </c>
      <c r="AD65" s="18">
        <f t="shared" ref="AD65" si="76">SQRT(((AA65-1)*Y65^2+(AB65-1)*Z65^2)/(AA65+AB65-2))</f>
        <v>2.4805039810490128</v>
      </c>
      <c r="AE65" s="18">
        <f t="shared" si="73"/>
        <v>0.37089236986869473</v>
      </c>
      <c r="AF65" s="18">
        <f t="shared" ref="AF65" si="77">SQRT(((AA65+AB65)/(AA65*AB65)+(AE65^2/(2*(AA65+AB65)))))</f>
        <v>0.20805023367971784</v>
      </c>
      <c r="AG65" s="18" t="s">
        <v>193</v>
      </c>
      <c r="AH65" s="12"/>
      <c r="AI65" s="20"/>
      <c r="AJ65" s="20" t="s">
        <v>348</v>
      </c>
      <c r="AK65" s="20" t="s">
        <v>844</v>
      </c>
      <c r="AL65" s="20"/>
      <c r="AM65" s="10" t="s">
        <v>696</v>
      </c>
      <c r="AN65" s="10" t="s">
        <v>157</v>
      </c>
    </row>
    <row r="66" spans="1:40" s="10" customFormat="1" x14ac:dyDescent="0.2">
      <c r="A66" s="11">
        <v>2010</v>
      </c>
      <c r="B66" s="10">
        <v>21149757</v>
      </c>
      <c r="C66" s="10" t="s">
        <v>141</v>
      </c>
      <c r="F66" s="10" t="s">
        <v>349</v>
      </c>
      <c r="G66" s="10" t="s">
        <v>141</v>
      </c>
      <c r="H66" s="10" t="s">
        <v>141</v>
      </c>
      <c r="I66" s="10">
        <v>48</v>
      </c>
      <c r="J66" s="10" t="s">
        <v>143</v>
      </c>
      <c r="K66" s="10" t="s">
        <v>143</v>
      </c>
      <c r="L66" s="10" t="s">
        <v>220</v>
      </c>
      <c r="M66" s="10" t="s">
        <v>903</v>
      </c>
      <c r="N66" s="10" t="s">
        <v>766</v>
      </c>
      <c r="O66" s="10" t="s">
        <v>664</v>
      </c>
      <c r="R66" s="19">
        <v>90</v>
      </c>
      <c r="S66" s="19"/>
      <c r="T66" s="13"/>
      <c r="U66" s="20" t="s">
        <v>456</v>
      </c>
      <c r="V66" s="20" t="s">
        <v>635</v>
      </c>
      <c r="W66" s="20">
        <v>3.9</v>
      </c>
      <c r="X66" s="20">
        <v>2.4</v>
      </c>
      <c r="Y66" s="20">
        <v>2.5499999999999998</v>
      </c>
      <c r="Z66" s="20">
        <v>4.0199999999999996</v>
      </c>
      <c r="AA66" s="21">
        <v>43</v>
      </c>
      <c r="AB66" s="21">
        <v>43</v>
      </c>
      <c r="AC66" s="18">
        <f t="shared" ref="AC66" si="78">W66-X66</f>
        <v>1.5</v>
      </c>
      <c r="AD66" s="18">
        <f t="shared" ref="AD66" si="79">SQRT(((AA66-1)*Y66^2+(AB66-1)*Z66^2)/(AA66+AB66-2))</f>
        <v>3.3662219178182529</v>
      </c>
      <c r="AE66" s="18">
        <f t="shared" ref="AE66" si="80">AC66/AD66</f>
        <v>0.44560342027960947</v>
      </c>
      <c r="AF66" s="18">
        <f t="shared" ref="AF66" si="81">SQRT(((AA66+AB66)/(AA66*AB66)+(AE66^2/(2*(AA66+AB66)))))</f>
        <v>0.21832558373352984</v>
      </c>
      <c r="AG66" s="18" t="s">
        <v>193</v>
      </c>
      <c r="AH66" s="12" t="s">
        <v>193</v>
      </c>
      <c r="AI66" s="20" t="s">
        <v>1315</v>
      </c>
      <c r="AJ66" s="20" t="s">
        <v>348</v>
      </c>
      <c r="AK66" s="20" t="s">
        <v>843</v>
      </c>
      <c r="AL66" s="20"/>
      <c r="AM66" s="10" t="s">
        <v>696</v>
      </c>
      <c r="AN66" s="10" t="s">
        <v>157</v>
      </c>
    </row>
    <row r="67" spans="1:40" s="10" customFormat="1" hidden="1" x14ac:dyDescent="0.2">
      <c r="A67" s="11">
        <v>1978</v>
      </c>
      <c r="B67" s="10">
        <v>32044</v>
      </c>
      <c r="C67" s="10" t="s">
        <v>133</v>
      </c>
      <c r="F67" s="10" t="s">
        <v>1084</v>
      </c>
      <c r="G67" s="10" t="s">
        <v>130</v>
      </c>
      <c r="H67" s="10" t="s">
        <v>130</v>
      </c>
      <c r="I67" s="10">
        <v>3.5</v>
      </c>
      <c r="J67" s="10" t="s">
        <v>132</v>
      </c>
      <c r="K67" s="10" t="s">
        <v>396</v>
      </c>
      <c r="L67" s="10" t="s">
        <v>156</v>
      </c>
      <c r="M67" s="10" t="s">
        <v>903</v>
      </c>
      <c r="N67" s="10" t="s">
        <v>766</v>
      </c>
      <c r="R67" s="10">
        <v>10</v>
      </c>
      <c r="T67" s="13"/>
      <c r="U67" s="10" t="s">
        <v>454</v>
      </c>
      <c r="V67" s="10" t="s">
        <v>635</v>
      </c>
      <c r="W67" s="12">
        <v>40</v>
      </c>
      <c r="X67" s="12">
        <v>57</v>
      </c>
      <c r="Y67" s="12">
        <f>5.9*SQRT(10)</f>
        <v>18.657438194993439</v>
      </c>
      <c r="Z67" s="12">
        <f>7.9*SQRT(10)</f>
        <v>24.981993515330199</v>
      </c>
      <c r="AA67" s="15">
        <v>10</v>
      </c>
      <c r="AB67" s="15">
        <v>10</v>
      </c>
      <c r="AC67" s="12">
        <f t="shared" ref="AC67:AC75" si="82">W67-X67</f>
        <v>-17</v>
      </c>
      <c r="AD67" s="12">
        <f t="shared" ref="AD67:AD68" si="83">SQRT(((AA67-1)*Y67^2+(AB67-1)*Z67^2)/(AA67+AB67-2))</f>
        <v>22.047675614449702</v>
      </c>
      <c r="AE67" s="12">
        <f t="shared" ref="AE67:AE68" si="84">AC67/AD67</f>
        <v>-0.77105633706160237</v>
      </c>
      <c r="AF67" s="12">
        <f t="shared" ref="AF67:AF68" si="85">SQRT(((AA67+AB67)/(AA67*AB67)+(AE67^2/(2*(AA67+AB67)))))</f>
        <v>0.4635333826954337</v>
      </c>
      <c r="AG67" s="12" t="s">
        <v>193</v>
      </c>
      <c r="AH67" s="12" t="s">
        <v>193</v>
      </c>
      <c r="AI67" s="12" t="s">
        <v>789</v>
      </c>
      <c r="AJ67" s="12" t="s">
        <v>348</v>
      </c>
      <c r="AK67" s="18"/>
      <c r="AL67" s="18"/>
      <c r="AM67" s="10" t="s">
        <v>697</v>
      </c>
      <c r="AN67" s="10" t="s">
        <v>157</v>
      </c>
    </row>
    <row r="68" spans="1:40" s="10" customFormat="1" hidden="1" x14ac:dyDescent="0.2">
      <c r="A68" s="11">
        <v>1966</v>
      </c>
      <c r="B68" s="10">
        <v>4379946</v>
      </c>
      <c r="C68" s="10" t="s">
        <v>129</v>
      </c>
      <c r="F68" s="10" t="s">
        <v>1084</v>
      </c>
      <c r="G68" s="10" t="s">
        <v>130</v>
      </c>
      <c r="H68" s="10" t="s">
        <v>130</v>
      </c>
      <c r="I68" s="10">
        <v>8</v>
      </c>
      <c r="J68" s="10" t="s">
        <v>132</v>
      </c>
      <c r="K68" s="10" t="s">
        <v>396</v>
      </c>
      <c r="L68" s="10" t="s">
        <v>156</v>
      </c>
      <c r="M68" s="10" t="s">
        <v>902</v>
      </c>
      <c r="N68" s="10" t="s">
        <v>766</v>
      </c>
      <c r="R68" s="10">
        <v>6</v>
      </c>
      <c r="T68" s="13"/>
      <c r="U68" s="10" t="s">
        <v>790</v>
      </c>
      <c r="V68" s="10" t="s">
        <v>635</v>
      </c>
      <c r="W68" s="12">
        <v>51</v>
      </c>
      <c r="X68" s="12">
        <v>58</v>
      </c>
      <c r="Y68" s="12">
        <f>6.7*SQRT(6)</f>
        <v>16.411581276647293</v>
      </c>
      <c r="Z68" s="12">
        <f>5.3*SQRT(6)</f>
        <v>12.982295636750843</v>
      </c>
      <c r="AA68" s="15">
        <v>6</v>
      </c>
      <c r="AB68" s="15">
        <v>6</v>
      </c>
      <c r="AC68" s="12">
        <f t="shared" si="82"/>
        <v>-7</v>
      </c>
      <c r="AD68" s="12">
        <f t="shared" si="83"/>
        <v>14.796621235944373</v>
      </c>
      <c r="AE68" s="12">
        <f t="shared" si="84"/>
        <v>-0.4730809749319933</v>
      </c>
      <c r="AF68" s="12">
        <f t="shared" si="85"/>
        <v>0.58537045282035594</v>
      </c>
      <c r="AG68" s="12" t="s">
        <v>193</v>
      </c>
      <c r="AH68" s="12" t="s">
        <v>193</v>
      </c>
      <c r="AI68" s="12" t="s">
        <v>789</v>
      </c>
      <c r="AJ68" s="12" t="s">
        <v>348</v>
      </c>
      <c r="AK68" s="12"/>
      <c r="AL68" s="12"/>
      <c r="AM68" s="10" t="s">
        <v>698</v>
      </c>
      <c r="AN68" s="10" t="s">
        <v>157</v>
      </c>
    </row>
    <row r="69" spans="1:40" s="10" customFormat="1" x14ac:dyDescent="0.2">
      <c r="A69" s="11">
        <v>2015</v>
      </c>
      <c r="B69" s="43">
        <v>25691622</v>
      </c>
      <c r="C69" s="10" t="s">
        <v>113</v>
      </c>
      <c r="D69" s="10" t="s">
        <v>908</v>
      </c>
      <c r="E69" s="10" t="s">
        <v>157</v>
      </c>
      <c r="F69" s="10" t="s">
        <v>66</v>
      </c>
      <c r="G69" s="10" t="s">
        <v>66</v>
      </c>
      <c r="H69" s="10" t="s">
        <v>66</v>
      </c>
      <c r="I69" s="10">
        <v>1</v>
      </c>
      <c r="J69" s="10" t="s">
        <v>1284</v>
      </c>
      <c r="K69" s="10" t="s">
        <v>909</v>
      </c>
      <c r="L69" s="10" t="s">
        <v>412</v>
      </c>
      <c r="M69" s="10" t="s">
        <v>903</v>
      </c>
      <c r="N69" s="10" t="s">
        <v>766</v>
      </c>
      <c r="O69" s="10" t="s">
        <v>650</v>
      </c>
      <c r="P69" s="10" t="s">
        <v>911</v>
      </c>
      <c r="Q69" s="10">
        <v>2</v>
      </c>
      <c r="R69" s="10">
        <v>133</v>
      </c>
      <c r="T69" s="13"/>
      <c r="U69" s="10" t="s">
        <v>413</v>
      </c>
      <c r="V69" s="10" t="s">
        <v>635</v>
      </c>
      <c r="W69" s="12">
        <v>455</v>
      </c>
      <c r="X69" s="12">
        <v>433</v>
      </c>
      <c r="Y69" s="12">
        <f>5*SQRT(133)</f>
        <v>57.662812973353979</v>
      </c>
      <c r="Z69" s="12">
        <f>5*SQRT(133)</f>
        <v>57.662812973353979</v>
      </c>
      <c r="AA69" s="15">
        <v>133</v>
      </c>
      <c r="AB69" s="15">
        <v>133</v>
      </c>
      <c r="AC69" s="12">
        <f t="shared" si="82"/>
        <v>22</v>
      </c>
      <c r="AD69" s="12">
        <f t="shared" ref="AD69:AD84" si="86">SQRT(((AA69-1)*Y69^2+(AB69-1)*Z69^2)/(AA69+AB69-2))</f>
        <v>57.662812973353979</v>
      </c>
      <c r="AE69" s="12">
        <f t="shared" ref="AE69:AE84" si="87">AC69/AD69</f>
        <v>0.38152838659061278</v>
      </c>
      <c r="AF69" s="12">
        <f t="shared" ref="AF69:AF84" si="88">SQRT(((AA69+AB69)/(AA69*AB69)+(AE69^2/(2*(AA69+AB69)))))</f>
        <v>0.12373847565215462</v>
      </c>
      <c r="AG69" s="12" t="s">
        <v>193</v>
      </c>
      <c r="AH69" s="12"/>
      <c r="AI69" s="12" t="s">
        <v>781</v>
      </c>
      <c r="AJ69" s="12" t="s">
        <v>348</v>
      </c>
      <c r="AK69" s="12" t="s">
        <v>1298</v>
      </c>
      <c r="AL69" s="12"/>
      <c r="AM69" s="10" t="s">
        <v>699</v>
      </c>
      <c r="AN69" s="10" t="s">
        <v>157</v>
      </c>
    </row>
    <row r="70" spans="1:40" s="10" customFormat="1" x14ac:dyDescent="0.2">
      <c r="A70" s="11">
        <v>2015</v>
      </c>
      <c r="B70" s="10">
        <v>25691622</v>
      </c>
      <c r="C70" s="10" t="s">
        <v>113</v>
      </c>
      <c r="D70" s="10" t="s">
        <v>908</v>
      </c>
      <c r="E70" s="10" t="s">
        <v>157</v>
      </c>
      <c r="F70" s="10" t="s">
        <v>66</v>
      </c>
      <c r="G70" s="10" t="s">
        <v>66</v>
      </c>
      <c r="H70" s="10" t="s">
        <v>66</v>
      </c>
      <c r="I70" s="10">
        <v>1</v>
      </c>
      <c r="J70" s="10" t="s">
        <v>1284</v>
      </c>
      <c r="K70" s="10" t="s">
        <v>909</v>
      </c>
      <c r="L70" s="10" t="s">
        <v>412</v>
      </c>
      <c r="M70" s="10" t="s">
        <v>903</v>
      </c>
      <c r="N70" s="10" t="s">
        <v>766</v>
      </c>
      <c r="O70" s="10" t="s">
        <v>650</v>
      </c>
      <c r="P70" s="10" t="s">
        <v>911</v>
      </c>
      <c r="Q70" s="10">
        <v>2</v>
      </c>
      <c r="R70" s="10">
        <v>263</v>
      </c>
      <c r="T70" s="13"/>
      <c r="U70" s="10" t="s">
        <v>640</v>
      </c>
      <c r="V70" s="10" t="s">
        <v>642</v>
      </c>
      <c r="W70" s="12">
        <v>127</v>
      </c>
      <c r="X70" s="12">
        <v>127</v>
      </c>
      <c r="Y70" s="12">
        <v>12</v>
      </c>
      <c r="Z70" s="12">
        <v>12</v>
      </c>
      <c r="AA70" s="15">
        <v>263</v>
      </c>
      <c r="AB70" s="15">
        <v>263</v>
      </c>
      <c r="AC70" s="12">
        <f t="shared" si="82"/>
        <v>0</v>
      </c>
      <c r="AD70" s="12">
        <f t="shared" ref="AD70:AD75" si="89">SQRT(((AA70-1)*Y70^2+(AB70-1)*Z70^2)/(AA70+AB70-2))</f>
        <v>12</v>
      </c>
      <c r="AE70" s="12">
        <f t="shared" ref="AE70:AE75" si="90">AC70/AD70</f>
        <v>0</v>
      </c>
      <c r="AF70" s="12">
        <f t="shared" ref="AF70:AF75" si="91">SQRT(((AA70+AB70)/(AA70*AB70)+(AE70^2/(2*(AA70+AB70)))))</f>
        <v>8.7204144039389461E-2</v>
      </c>
      <c r="AG70" s="12" t="s">
        <v>193</v>
      </c>
      <c r="AH70" s="12"/>
      <c r="AI70" s="12" t="s">
        <v>780</v>
      </c>
      <c r="AJ70" s="12" t="s">
        <v>348</v>
      </c>
      <c r="AK70" s="12" t="s">
        <v>1299</v>
      </c>
      <c r="AL70" s="12"/>
      <c r="AM70" s="10" t="s">
        <v>699</v>
      </c>
      <c r="AN70" s="10" t="s">
        <v>157</v>
      </c>
    </row>
    <row r="71" spans="1:40" s="10" customFormat="1" x14ac:dyDescent="0.2">
      <c r="A71" s="11">
        <v>2015</v>
      </c>
      <c r="B71" s="10">
        <v>25691622</v>
      </c>
      <c r="C71" s="10" t="s">
        <v>113</v>
      </c>
      <c r="D71" s="10" t="s">
        <v>908</v>
      </c>
      <c r="E71" s="10" t="s">
        <v>157</v>
      </c>
      <c r="F71" s="10" t="s">
        <v>66</v>
      </c>
      <c r="G71" s="10" t="s">
        <v>66</v>
      </c>
      <c r="H71" s="10" t="s">
        <v>66</v>
      </c>
      <c r="I71" s="10">
        <v>1</v>
      </c>
      <c r="J71" s="10" t="s">
        <v>1284</v>
      </c>
      <c r="K71" s="10" t="s">
        <v>909</v>
      </c>
      <c r="L71" s="10" t="s">
        <v>412</v>
      </c>
      <c r="M71" s="10" t="s">
        <v>903</v>
      </c>
      <c r="N71" s="10" t="s">
        <v>766</v>
      </c>
      <c r="O71" s="10" t="s">
        <v>650</v>
      </c>
      <c r="P71" s="10" t="s">
        <v>911</v>
      </c>
      <c r="Q71" s="10">
        <v>2</v>
      </c>
      <c r="R71" s="10">
        <v>263</v>
      </c>
      <c r="T71" s="13"/>
      <c r="U71" s="10" t="s">
        <v>641</v>
      </c>
      <c r="V71" s="10" t="s">
        <v>642</v>
      </c>
      <c r="W71" s="12">
        <v>79</v>
      </c>
      <c r="X71" s="12">
        <v>79</v>
      </c>
      <c r="Y71" s="12">
        <v>9</v>
      </c>
      <c r="Z71" s="12">
        <v>8</v>
      </c>
      <c r="AA71" s="15">
        <v>263</v>
      </c>
      <c r="AB71" s="15">
        <v>263</v>
      </c>
      <c r="AC71" s="12">
        <f t="shared" si="82"/>
        <v>0</v>
      </c>
      <c r="AD71" s="12">
        <f t="shared" si="89"/>
        <v>8.5146931829632013</v>
      </c>
      <c r="AE71" s="12">
        <f t="shared" si="90"/>
        <v>0</v>
      </c>
      <c r="AF71" s="12">
        <f t="shared" si="91"/>
        <v>8.7204144039389461E-2</v>
      </c>
      <c r="AG71" s="12" t="s">
        <v>193</v>
      </c>
      <c r="AH71" s="12"/>
      <c r="AI71" s="12" t="s">
        <v>780</v>
      </c>
      <c r="AJ71" s="12" t="s">
        <v>348</v>
      </c>
      <c r="AK71" s="12" t="s">
        <v>1299</v>
      </c>
      <c r="AL71" s="12"/>
      <c r="AM71" s="10" t="s">
        <v>699</v>
      </c>
      <c r="AN71" s="10" t="s">
        <v>157</v>
      </c>
    </row>
    <row r="72" spans="1:40" s="10" customFormat="1" x14ac:dyDescent="0.2">
      <c r="A72" s="11">
        <v>2015</v>
      </c>
      <c r="B72" s="10">
        <v>25691622</v>
      </c>
      <c r="C72" s="10" t="s">
        <v>113</v>
      </c>
      <c r="D72" s="10" t="s">
        <v>908</v>
      </c>
      <c r="E72" s="10" t="s">
        <v>157</v>
      </c>
      <c r="F72" s="10" t="s">
        <v>66</v>
      </c>
      <c r="G72" s="10" t="s">
        <v>66</v>
      </c>
      <c r="H72" s="10" t="s">
        <v>66</v>
      </c>
      <c r="I72" s="10">
        <v>1</v>
      </c>
      <c r="J72" s="10" t="s">
        <v>1284</v>
      </c>
      <c r="K72" s="10" t="s">
        <v>909</v>
      </c>
      <c r="L72" s="10" t="s">
        <v>412</v>
      </c>
      <c r="M72" s="10" t="s">
        <v>903</v>
      </c>
      <c r="N72" s="10" t="s">
        <v>766</v>
      </c>
      <c r="O72" s="10" t="s">
        <v>650</v>
      </c>
      <c r="P72" s="10" t="s">
        <v>911</v>
      </c>
      <c r="Q72" s="10">
        <v>2</v>
      </c>
      <c r="R72" s="10">
        <v>263</v>
      </c>
      <c r="T72" s="13"/>
      <c r="U72" s="10" t="s">
        <v>644</v>
      </c>
      <c r="V72" s="10" t="s">
        <v>642</v>
      </c>
      <c r="W72" s="12">
        <v>131</v>
      </c>
      <c r="X72" s="12">
        <v>131</v>
      </c>
      <c r="Y72" s="12">
        <v>12</v>
      </c>
      <c r="Z72" s="12">
        <v>12</v>
      </c>
      <c r="AA72" s="15">
        <v>263</v>
      </c>
      <c r="AB72" s="15">
        <v>263</v>
      </c>
      <c r="AC72" s="12">
        <f t="shared" si="82"/>
        <v>0</v>
      </c>
      <c r="AD72" s="12">
        <f t="shared" si="89"/>
        <v>12</v>
      </c>
      <c r="AE72" s="12">
        <f t="shared" si="90"/>
        <v>0</v>
      </c>
      <c r="AF72" s="12">
        <f t="shared" si="91"/>
        <v>8.7204144039389461E-2</v>
      </c>
      <c r="AG72" s="12" t="s">
        <v>193</v>
      </c>
      <c r="AH72" s="12"/>
      <c r="AI72" s="12" t="s">
        <v>780</v>
      </c>
      <c r="AJ72" s="12" t="s">
        <v>348</v>
      </c>
      <c r="AK72" s="12" t="s">
        <v>1299</v>
      </c>
      <c r="AL72" s="12"/>
      <c r="AM72" s="10" t="s">
        <v>699</v>
      </c>
      <c r="AN72" s="10" t="s">
        <v>157</v>
      </c>
    </row>
    <row r="73" spans="1:40" s="10" customFormat="1" x14ac:dyDescent="0.2">
      <c r="A73" s="11">
        <v>2015</v>
      </c>
      <c r="B73" s="10">
        <v>25691622</v>
      </c>
      <c r="C73" s="10" t="s">
        <v>113</v>
      </c>
      <c r="D73" s="10" t="s">
        <v>908</v>
      </c>
      <c r="E73" s="10" t="s">
        <v>157</v>
      </c>
      <c r="F73" s="10" t="s">
        <v>66</v>
      </c>
      <c r="G73" s="10" t="s">
        <v>66</v>
      </c>
      <c r="H73" s="10" t="s">
        <v>66</v>
      </c>
      <c r="I73" s="10">
        <v>1</v>
      </c>
      <c r="J73" s="10" t="s">
        <v>1284</v>
      </c>
      <c r="K73" s="10" t="s">
        <v>909</v>
      </c>
      <c r="L73" s="10" t="s">
        <v>412</v>
      </c>
      <c r="M73" s="10" t="s">
        <v>903</v>
      </c>
      <c r="N73" s="10" t="s">
        <v>766</v>
      </c>
      <c r="O73" s="10" t="s">
        <v>650</v>
      </c>
      <c r="P73" s="10" t="s">
        <v>911</v>
      </c>
      <c r="Q73" s="10">
        <v>2</v>
      </c>
      <c r="R73" s="10">
        <v>263</v>
      </c>
      <c r="T73" s="13"/>
      <c r="U73" s="10" t="s">
        <v>645</v>
      </c>
      <c r="V73" s="10" t="s">
        <v>642</v>
      </c>
      <c r="W73" s="12">
        <v>82</v>
      </c>
      <c r="X73" s="12">
        <v>81</v>
      </c>
      <c r="Y73" s="12">
        <v>9</v>
      </c>
      <c r="Z73" s="12">
        <v>9</v>
      </c>
      <c r="AA73" s="15">
        <v>263</v>
      </c>
      <c r="AB73" s="15">
        <v>263</v>
      </c>
      <c r="AC73" s="12">
        <f t="shared" si="82"/>
        <v>1</v>
      </c>
      <c r="AD73" s="12">
        <f t="shared" si="89"/>
        <v>9</v>
      </c>
      <c r="AE73" s="12">
        <f t="shared" si="90"/>
        <v>0.1111111111111111</v>
      </c>
      <c r="AF73" s="12">
        <f t="shared" si="91"/>
        <v>8.7271405248031314E-2</v>
      </c>
      <c r="AG73" s="12" t="s">
        <v>193</v>
      </c>
      <c r="AH73" s="12" t="s">
        <v>193</v>
      </c>
      <c r="AI73" s="12" t="s">
        <v>780</v>
      </c>
      <c r="AJ73" s="12" t="s">
        <v>348</v>
      </c>
      <c r="AK73" s="12" t="s">
        <v>1299</v>
      </c>
      <c r="AL73" s="12"/>
      <c r="AM73" s="10" t="s">
        <v>699</v>
      </c>
      <c r="AN73" s="10" t="s">
        <v>157</v>
      </c>
    </row>
    <row r="74" spans="1:40" s="10" customFormat="1" x14ac:dyDescent="0.2">
      <c r="A74" s="11">
        <v>2015</v>
      </c>
      <c r="B74" s="10">
        <v>25691622</v>
      </c>
      <c r="C74" s="10" t="s">
        <v>113</v>
      </c>
      <c r="D74" s="10" t="s">
        <v>908</v>
      </c>
      <c r="E74" s="10" t="s">
        <v>157</v>
      </c>
      <c r="F74" s="10" t="s">
        <v>66</v>
      </c>
      <c r="G74" s="10" t="s">
        <v>66</v>
      </c>
      <c r="H74" s="10" t="s">
        <v>66</v>
      </c>
      <c r="I74" s="10">
        <v>1</v>
      </c>
      <c r="J74" s="10" t="s">
        <v>1284</v>
      </c>
      <c r="K74" s="10" t="s">
        <v>909</v>
      </c>
      <c r="L74" s="10" t="s">
        <v>412</v>
      </c>
      <c r="M74" s="10" t="s">
        <v>903</v>
      </c>
      <c r="N74" s="10" t="s">
        <v>766</v>
      </c>
      <c r="O74" s="10" t="s">
        <v>650</v>
      </c>
      <c r="P74" s="10" t="s">
        <v>911</v>
      </c>
      <c r="Q74" s="10">
        <v>2</v>
      </c>
      <c r="R74" s="10">
        <v>263</v>
      </c>
      <c r="T74" s="13"/>
      <c r="U74" s="10" t="s">
        <v>637</v>
      </c>
      <c r="V74" s="10" t="s">
        <v>642</v>
      </c>
      <c r="W74" s="12">
        <v>117</v>
      </c>
      <c r="X74" s="12">
        <v>117</v>
      </c>
      <c r="Y74" s="12">
        <v>15</v>
      </c>
      <c r="Z74" s="12">
        <v>14</v>
      </c>
      <c r="AA74" s="15">
        <v>263</v>
      </c>
      <c r="AB74" s="15">
        <v>263</v>
      </c>
      <c r="AC74" s="12">
        <f t="shared" si="82"/>
        <v>0</v>
      </c>
      <c r="AD74" s="12">
        <f t="shared" si="89"/>
        <v>14.508618128546908</v>
      </c>
      <c r="AE74" s="12">
        <f t="shared" si="90"/>
        <v>0</v>
      </c>
      <c r="AF74" s="12">
        <f t="shared" si="91"/>
        <v>8.7204144039389461E-2</v>
      </c>
      <c r="AG74" s="12" t="s">
        <v>193</v>
      </c>
      <c r="AH74" s="12"/>
      <c r="AI74" s="12" t="s">
        <v>780</v>
      </c>
      <c r="AJ74" s="12" t="s">
        <v>348</v>
      </c>
      <c r="AK74" s="12" t="s">
        <v>1299</v>
      </c>
      <c r="AL74" s="12"/>
      <c r="AM74" s="10" t="s">
        <v>699</v>
      </c>
      <c r="AN74" s="10" t="s">
        <v>157</v>
      </c>
    </row>
    <row r="75" spans="1:40" s="10" customFormat="1" x14ac:dyDescent="0.2">
      <c r="A75" s="11">
        <v>2015</v>
      </c>
      <c r="B75" s="10">
        <v>25691622</v>
      </c>
      <c r="C75" s="10" t="s">
        <v>113</v>
      </c>
      <c r="D75" s="10" t="s">
        <v>908</v>
      </c>
      <c r="E75" s="10" t="s">
        <v>157</v>
      </c>
      <c r="F75" s="10" t="s">
        <v>66</v>
      </c>
      <c r="G75" s="10" t="s">
        <v>66</v>
      </c>
      <c r="H75" s="10" t="s">
        <v>66</v>
      </c>
      <c r="I75" s="10">
        <v>1</v>
      </c>
      <c r="J75" s="10" t="s">
        <v>1284</v>
      </c>
      <c r="K75" s="10" t="s">
        <v>909</v>
      </c>
      <c r="L75" s="10" t="s">
        <v>412</v>
      </c>
      <c r="M75" s="10" t="s">
        <v>903</v>
      </c>
      <c r="N75" s="10" t="s">
        <v>766</v>
      </c>
      <c r="O75" s="10" t="s">
        <v>650</v>
      </c>
      <c r="P75" s="10" t="s">
        <v>911</v>
      </c>
      <c r="Q75" s="10">
        <v>2</v>
      </c>
      <c r="R75" s="10">
        <v>263</v>
      </c>
      <c r="T75" s="13"/>
      <c r="U75" s="10" t="s">
        <v>638</v>
      </c>
      <c r="V75" s="10" t="s">
        <v>642</v>
      </c>
      <c r="W75" s="12">
        <v>69</v>
      </c>
      <c r="X75" s="12">
        <v>69</v>
      </c>
      <c r="Y75" s="12">
        <v>10</v>
      </c>
      <c r="Z75" s="12">
        <v>9</v>
      </c>
      <c r="AA75" s="15">
        <v>263</v>
      </c>
      <c r="AB75" s="15">
        <v>263</v>
      </c>
      <c r="AC75" s="12">
        <f t="shared" si="82"/>
        <v>0</v>
      </c>
      <c r="AD75" s="12">
        <f t="shared" si="89"/>
        <v>9.5131487952202232</v>
      </c>
      <c r="AE75" s="12">
        <f t="shared" si="90"/>
        <v>0</v>
      </c>
      <c r="AF75" s="12">
        <f t="shared" si="91"/>
        <v>8.7204144039389461E-2</v>
      </c>
      <c r="AG75" s="12" t="s">
        <v>193</v>
      </c>
      <c r="AH75" s="12"/>
      <c r="AI75" s="12" t="s">
        <v>780</v>
      </c>
      <c r="AJ75" s="12" t="s">
        <v>348</v>
      </c>
      <c r="AK75" s="12" t="s">
        <v>1299</v>
      </c>
      <c r="AL75" s="12"/>
      <c r="AM75" s="10" t="s">
        <v>699</v>
      </c>
      <c r="AN75" s="10" t="s">
        <v>157</v>
      </c>
    </row>
    <row r="76" spans="1:40" s="10" customFormat="1" x14ac:dyDescent="0.2">
      <c r="A76" s="11">
        <v>2013</v>
      </c>
      <c r="B76" s="43">
        <v>23282124</v>
      </c>
      <c r="C76" s="10" t="s">
        <v>107</v>
      </c>
      <c r="E76" s="10" t="s">
        <v>157</v>
      </c>
      <c r="F76" s="10" t="s">
        <v>108</v>
      </c>
      <c r="G76" s="10" t="s">
        <v>109</v>
      </c>
      <c r="H76" s="10" t="s">
        <v>109</v>
      </c>
      <c r="I76" s="10">
        <v>7</v>
      </c>
      <c r="J76" s="10" t="s">
        <v>924</v>
      </c>
      <c r="K76" s="10" t="s">
        <v>414</v>
      </c>
      <c r="L76" s="10" t="s">
        <v>412</v>
      </c>
      <c r="M76" s="10" t="s">
        <v>902</v>
      </c>
      <c r="N76" s="10" t="s">
        <v>766</v>
      </c>
      <c r="P76" s="10" t="s">
        <v>911</v>
      </c>
      <c r="Q76" s="10">
        <v>2</v>
      </c>
      <c r="R76" s="10">
        <v>60</v>
      </c>
      <c r="S76" s="10">
        <v>36</v>
      </c>
      <c r="T76" s="13">
        <v>40</v>
      </c>
      <c r="U76" s="10" t="s">
        <v>640</v>
      </c>
      <c r="V76" s="10" t="s">
        <v>642</v>
      </c>
      <c r="W76" s="12">
        <v>113</v>
      </c>
      <c r="X76" s="12">
        <v>112</v>
      </c>
      <c r="Y76" s="12">
        <v>12</v>
      </c>
      <c r="Z76" s="12">
        <v>9</v>
      </c>
      <c r="AA76" s="15">
        <v>30</v>
      </c>
      <c r="AB76" s="15">
        <v>30</v>
      </c>
      <c r="AC76" s="12">
        <f t="shared" ref="AC76:AC77" si="92">W76-X76</f>
        <v>1</v>
      </c>
      <c r="AD76" s="12">
        <f t="shared" si="86"/>
        <v>10.606601717798213</v>
      </c>
      <c r="AE76" s="12">
        <f t="shared" si="87"/>
        <v>9.4280904158206336E-2</v>
      </c>
      <c r="AF76" s="12">
        <f t="shared" si="88"/>
        <v>0.25834229375141177</v>
      </c>
      <c r="AG76" s="12" t="s">
        <v>193</v>
      </c>
      <c r="AH76" s="12"/>
      <c r="AI76" s="12" t="s">
        <v>780</v>
      </c>
      <c r="AJ76" s="12" t="s">
        <v>348</v>
      </c>
      <c r="AK76" s="12"/>
      <c r="AL76" s="12"/>
      <c r="AM76" s="10" t="s">
        <v>700</v>
      </c>
      <c r="AN76" s="10" t="s">
        <v>157</v>
      </c>
    </row>
    <row r="77" spans="1:40" s="10" customFormat="1" x14ac:dyDescent="0.2">
      <c r="A77" s="11">
        <v>2013</v>
      </c>
      <c r="B77" s="10">
        <v>23282124</v>
      </c>
      <c r="C77" s="10" t="s">
        <v>107</v>
      </c>
      <c r="E77" s="10" t="s">
        <v>157</v>
      </c>
      <c r="F77" s="10" t="s">
        <v>108</v>
      </c>
      <c r="G77" s="10" t="s">
        <v>109</v>
      </c>
      <c r="H77" s="10" t="s">
        <v>109</v>
      </c>
      <c r="I77" s="10">
        <v>7</v>
      </c>
      <c r="J77" s="10" t="s">
        <v>924</v>
      </c>
      <c r="K77" s="10" t="s">
        <v>414</v>
      </c>
      <c r="L77" s="10" t="s">
        <v>412</v>
      </c>
      <c r="M77" s="10" t="s">
        <v>902</v>
      </c>
      <c r="N77" s="10" t="s">
        <v>766</v>
      </c>
      <c r="P77" s="10" t="s">
        <v>911</v>
      </c>
      <c r="Q77" s="10">
        <v>2</v>
      </c>
      <c r="R77" s="10">
        <v>60</v>
      </c>
      <c r="S77" s="10">
        <v>36</v>
      </c>
      <c r="T77" s="13">
        <v>40</v>
      </c>
      <c r="U77" s="10" t="s">
        <v>641</v>
      </c>
      <c r="V77" s="10" t="s">
        <v>642</v>
      </c>
      <c r="W77" s="12">
        <v>68</v>
      </c>
      <c r="X77" s="12">
        <v>70</v>
      </c>
      <c r="Y77" s="12">
        <v>7</v>
      </c>
      <c r="Z77" s="12">
        <v>6</v>
      </c>
      <c r="AA77" s="15">
        <v>30</v>
      </c>
      <c r="AB77" s="15">
        <v>30</v>
      </c>
      <c r="AC77" s="12">
        <f t="shared" si="92"/>
        <v>-2</v>
      </c>
      <c r="AD77" s="12">
        <f t="shared" si="86"/>
        <v>6.5192024052026492</v>
      </c>
      <c r="AE77" s="12">
        <f t="shared" si="87"/>
        <v>-0.30678599553894814</v>
      </c>
      <c r="AF77" s="12">
        <f t="shared" si="88"/>
        <v>0.25971326572232861</v>
      </c>
      <c r="AG77" s="12" t="s">
        <v>193</v>
      </c>
      <c r="AH77" s="12"/>
      <c r="AI77" s="12" t="s">
        <v>780</v>
      </c>
      <c r="AJ77" s="12" t="s">
        <v>328</v>
      </c>
      <c r="AK77" s="12"/>
      <c r="AL77" s="12"/>
      <c r="AM77" s="10" t="s">
        <v>700</v>
      </c>
      <c r="AN77" s="10" t="s">
        <v>157</v>
      </c>
    </row>
    <row r="78" spans="1:40" s="10" customFormat="1" x14ac:dyDescent="0.2">
      <c r="A78" s="11">
        <v>2013</v>
      </c>
      <c r="B78" s="10">
        <v>23282124</v>
      </c>
      <c r="C78" s="10" t="s">
        <v>107</v>
      </c>
      <c r="E78" s="10" t="s">
        <v>157</v>
      </c>
      <c r="F78" s="10" t="s">
        <v>108</v>
      </c>
      <c r="G78" s="10" t="s">
        <v>109</v>
      </c>
      <c r="H78" s="10" t="s">
        <v>109</v>
      </c>
      <c r="I78" s="10">
        <v>7</v>
      </c>
      <c r="J78" s="10" t="s">
        <v>924</v>
      </c>
      <c r="K78" s="10" t="s">
        <v>414</v>
      </c>
      <c r="L78" s="10" t="s">
        <v>412</v>
      </c>
      <c r="M78" s="10" t="s">
        <v>902</v>
      </c>
      <c r="N78" s="10" t="s">
        <v>766</v>
      </c>
      <c r="P78" s="10" t="s">
        <v>911</v>
      </c>
      <c r="Q78" s="10">
        <v>2</v>
      </c>
      <c r="R78" s="10">
        <v>60</v>
      </c>
      <c r="S78" s="10">
        <v>36</v>
      </c>
      <c r="T78" s="13">
        <v>40</v>
      </c>
      <c r="U78" s="10" t="s">
        <v>644</v>
      </c>
      <c r="V78" s="10" t="s">
        <v>642</v>
      </c>
      <c r="W78" s="12">
        <v>116</v>
      </c>
      <c r="X78" s="12">
        <v>118</v>
      </c>
      <c r="Y78" s="12">
        <v>13</v>
      </c>
      <c r="Z78" s="12">
        <v>11</v>
      </c>
      <c r="AA78" s="15">
        <v>30</v>
      </c>
      <c r="AB78" s="15">
        <v>30</v>
      </c>
      <c r="AC78" s="12">
        <f t="shared" ref="AC78:AC83" si="93">W78-X78</f>
        <v>-2</v>
      </c>
      <c r="AD78" s="12">
        <f t="shared" ref="AD78:AD83" si="94">SQRT(((AA78-1)*Y78^2+(AB78-1)*Z78^2)/(AA78+AB78-2))</f>
        <v>12.041594578792296</v>
      </c>
      <c r="AE78" s="12">
        <f t="shared" ref="AE78:AE83" si="95">AC78/AD78</f>
        <v>-0.16609095970747995</v>
      </c>
      <c r="AF78" s="12">
        <f t="shared" ref="AF78:AF83" si="96">SQRT(((AA78+AB78)/(AA78*AB78)+(AE78^2/(2*(AA78+AB78)))))</f>
        <v>0.25864367713929898</v>
      </c>
      <c r="AG78" s="12" t="s">
        <v>193</v>
      </c>
      <c r="AH78" s="12"/>
      <c r="AI78" s="12" t="s">
        <v>780</v>
      </c>
      <c r="AJ78" s="12" t="s">
        <v>328</v>
      </c>
      <c r="AK78" s="12"/>
      <c r="AL78" s="12"/>
      <c r="AM78" s="10" t="s">
        <v>700</v>
      </c>
      <c r="AN78" s="10" t="s">
        <v>157</v>
      </c>
    </row>
    <row r="79" spans="1:40" s="10" customFormat="1" x14ac:dyDescent="0.2">
      <c r="A79" s="11">
        <v>2013</v>
      </c>
      <c r="B79" s="10">
        <v>23282124</v>
      </c>
      <c r="C79" s="10" t="s">
        <v>107</v>
      </c>
      <c r="E79" s="10" t="s">
        <v>157</v>
      </c>
      <c r="F79" s="10" t="s">
        <v>108</v>
      </c>
      <c r="G79" s="10" t="s">
        <v>109</v>
      </c>
      <c r="H79" s="10" t="s">
        <v>109</v>
      </c>
      <c r="I79" s="10">
        <v>7</v>
      </c>
      <c r="J79" s="10" t="s">
        <v>924</v>
      </c>
      <c r="K79" s="10" t="s">
        <v>414</v>
      </c>
      <c r="L79" s="10" t="s">
        <v>412</v>
      </c>
      <c r="M79" s="10" t="s">
        <v>902</v>
      </c>
      <c r="N79" s="10" t="s">
        <v>766</v>
      </c>
      <c r="P79" s="10" t="s">
        <v>911</v>
      </c>
      <c r="Q79" s="10">
        <v>2</v>
      </c>
      <c r="R79" s="10">
        <v>60</v>
      </c>
      <c r="S79" s="10">
        <v>36</v>
      </c>
      <c r="T79" s="13">
        <v>40</v>
      </c>
      <c r="U79" s="10" t="s">
        <v>645</v>
      </c>
      <c r="V79" s="10" t="s">
        <v>642</v>
      </c>
      <c r="W79" s="12">
        <v>71</v>
      </c>
      <c r="X79" s="12">
        <v>73</v>
      </c>
      <c r="Y79" s="12">
        <v>6</v>
      </c>
      <c r="Z79" s="12">
        <v>7</v>
      </c>
      <c r="AA79" s="15">
        <v>30</v>
      </c>
      <c r="AB79" s="15">
        <v>30</v>
      </c>
      <c r="AC79" s="12">
        <f t="shared" si="93"/>
        <v>-2</v>
      </c>
      <c r="AD79" s="12">
        <f t="shared" si="94"/>
        <v>6.5192024052026492</v>
      </c>
      <c r="AE79" s="12">
        <f t="shared" si="95"/>
        <v>-0.30678599553894814</v>
      </c>
      <c r="AF79" s="12">
        <f t="shared" si="96"/>
        <v>0.25971326572232861</v>
      </c>
      <c r="AG79" s="12" t="s">
        <v>193</v>
      </c>
      <c r="AH79" s="12"/>
      <c r="AI79" s="12" t="s">
        <v>780</v>
      </c>
      <c r="AJ79" s="12" t="s">
        <v>328</v>
      </c>
      <c r="AK79" s="12"/>
      <c r="AL79" s="12"/>
      <c r="AM79" s="10" t="s">
        <v>700</v>
      </c>
      <c r="AN79" s="10" t="s">
        <v>157</v>
      </c>
    </row>
    <row r="80" spans="1:40" s="10" customFormat="1" x14ac:dyDescent="0.2">
      <c r="A80" s="11">
        <v>2013</v>
      </c>
      <c r="B80" s="10">
        <v>23282124</v>
      </c>
      <c r="C80" s="10" t="s">
        <v>107</v>
      </c>
      <c r="E80" s="10" t="s">
        <v>157</v>
      </c>
      <c r="F80" s="10" t="s">
        <v>108</v>
      </c>
      <c r="G80" s="10" t="s">
        <v>109</v>
      </c>
      <c r="H80" s="10" t="s">
        <v>109</v>
      </c>
      <c r="I80" s="10">
        <v>7</v>
      </c>
      <c r="J80" s="10" t="s">
        <v>924</v>
      </c>
      <c r="K80" s="10" t="s">
        <v>414</v>
      </c>
      <c r="L80" s="10" t="s">
        <v>412</v>
      </c>
      <c r="M80" s="10" t="s">
        <v>902</v>
      </c>
      <c r="N80" s="10" t="s">
        <v>766</v>
      </c>
      <c r="P80" s="10" t="s">
        <v>911</v>
      </c>
      <c r="Q80" s="10">
        <v>2</v>
      </c>
      <c r="R80" s="10">
        <v>60</v>
      </c>
      <c r="S80" s="10">
        <v>36</v>
      </c>
      <c r="T80" s="13">
        <v>40</v>
      </c>
      <c r="U80" s="10" t="s">
        <v>637</v>
      </c>
      <c r="V80" s="10" t="s">
        <v>635</v>
      </c>
      <c r="W80" s="12">
        <v>107</v>
      </c>
      <c r="X80" s="12">
        <v>102</v>
      </c>
      <c r="Y80" s="12">
        <v>11</v>
      </c>
      <c r="Z80" s="12">
        <v>7</v>
      </c>
      <c r="AA80" s="15">
        <v>30</v>
      </c>
      <c r="AB80" s="15">
        <v>30</v>
      </c>
      <c r="AC80" s="12">
        <f t="shared" si="93"/>
        <v>5</v>
      </c>
      <c r="AD80" s="12">
        <f t="shared" si="94"/>
        <v>9.2195444572928871</v>
      </c>
      <c r="AE80" s="12">
        <f t="shared" si="95"/>
        <v>0.54232614454664041</v>
      </c>
      <c r="AF80" s="12">
        <f t="shared" si="96"/>
        <v>0.26290235270690054</v>
      </c>
      <c r="AG80" s="12" t="s">
        <v>193</v>
      </c>
      <c r="AH80" s="12" t="s">
        <v>193</v>
      </c>
      <c r="AI80" s="12" t="s">
        <v>780</v>
      </c>
      <c r="AJ80" s="12" t="s">
        <v>348</v>
      </c>
      <c r="AK80" s="12"/>
      <c r="AL80" s="12"/>
      <c r="AM80" s="10" t="s">
        <v>700</v>
      </c>
      <c r="AN80" s="10" t="s">
        <v>157</v>
      </c>
    </row>
    <row r="81" spans="1:40" s="10" customFormat="1" x14ac:dyDescent="0.2">
      <c r="A81" s="11">
        <v>2013</v>
      </c>
      <c r="B81" s="10">
        <v>23282124</v>
      </c>
      <c r="C81" s="10" t="s">
        <v>107</v>
      </c>
      <c r="E81" s="10" t="s">
        <v>157</v>
      </c>
      <c r="F81" s="10" t="s">
        <v>108</v>
      </c>
      <c r="G81" s="10" t="s">
        <v>109</v>
      </c>
      <c r="H81" s="10" t="s">
        <v>109</v>
      </c>
      <c r="I81" s="10">
        <v>7</v>
      </c>
      <c r="J81" s="10" t="s">
        <v>924</v>
      </c>
      <c r="K81" s="10" t="s">
        <v>414</v>
      </c>
      <c r="L81" s="10" t="s">
        <v>412</v>
      </c>
      <c r="M81" s="10" t="s">
        <v>902</v>
      </c>
      <c r="N81" s="10" t="s">
        <v>766</v>
      </c>
      <c r="P81" s="10" t="s">
        <v>911</v>
      </c>
      <c r="Q81" s="10">
        <v>2</v>
      </c>
      <c r="R81" s="10">
        <v>60</v>
      </c>
      <c r="S81" s="10">
        <v>36</v>
      </c>
      <c r="T81" s="13">
        <v>40</v>
      </c>
      <c r="U81" s="10" t="s">
        <v>638</v>
      </c>
      <c r="V81" s="10" t="s">
        <v>642</v>
      </c>
      <c r="W81" s="12">
        <v>63</v>
      </c>
      <c r="X81" s="12">
        <v>63</v>
      </c>
      <c r="Y81" s="12">
        <v>5</v>
      </c>
      <c r="Z81" s="12">
        <v>6</v>
      </c>
      <c r="AA81" s="15">
        <v>30</v>
      </c>
      <c r="AB81" s="15">
        <v>30</v>
      </c>
      <c r="AC81" s="12">
        <f t="shared" si="93"/>
        <v>0</v>
      </c>
      <c r="AD81" s="12">
        <f t="shared" si="94"/>
        <v>5.5226805085936306</v>
      </c>
      <c r="AE81" s="12">
        <f t="shared" si="95"/>
        <v>0</v>
      </c>
      <c r="AF81" s="12">
        <f t="shared" si="96"/>
        <v>0.2581988897471611</v>
      </c>
      <c r="AG81" s="12" t="s">
        <v>193</v>
      </c>
      <c r="AH81" s="12"/>
      <c r="AI81" s="12" t="s">
        <v>780</v>
      </c>
      <c r="AJ81" s="12" t="s">
        <v>642</v>
      </c>
      <c r="AK81" s="12"/>
      <c r="AL81" s="12"/>
      <c r="AM81" s="10" t="s">
        <v>700</v>
      </c>
      <c r="AN81" s="10" t="s">
        <v>157</v>
      </c>
    </row>
    <row r="82" spans="1:40" s="10" customFormat="1" x14ac:dyDescent="0.2">
      <c r="A82" s="11">
        <v>2013</v>
      </c>
      <c r="B82" s="10">
        <v>23282124</v>
      </c>
      <c r="C82" s="10" t="s">
        <v>107</v>
      </c>
      <c r="E82" s="10" t="s">
        <v>157</v>
      </c>
      <c r="F82" s="10" t="s">
        <v>108</v>
      </c>
      <c r="G82" s="10" t="s">
        <v>109</v>
      </c>
      <c r="H82" s="10" t="s">
        <v>109</v>
      </c>
      <c r="I82" s="10">
        <v>7</v>
      </c>
      <c r="J82" s="10" t="s">
        <v>924</v>
      </c>
      <c r="K82" s="10" t="s">
        <v>414</v>
      </c>
      <c r="L82" s="10" t="s">
        <v>412</v>
      </c>
      <c r="M82" s="10" t="s">
        <v>902</v>
      </c>
      <c r="N82" s="10" t="s">
        <v>766</v>
      </c>
      <c r="P82" s="10" t="s">
        <v>911</v>
      </c>
      <c r="Q82" s="10">
        <v>2</v>
      </c>
      <c r="R82" s="10">
        <v>60</v>
      </c>
      <c r="S82" s="10">
        <v>36</v>
      </c>
      <c r="T82" s="13">
        <v>40</v>
      </c>
      <c r="U82" s="10" t="s">
        <v>791</v>
      </c>
      <c r="V82" s="10" t="s">
        <v>635</v>
      </c>
      <c r="W82" s="12">
        <v>0.7</v>
      </c>
      <c r="X82" s="12">
        <v>0.4</v>
      </c>
      <c r="Y82" s="12">
        <v>0.3</v>
      </c>
      <c r="Z82" s="12">
        <v>0.3</v>
      </c>
      <c r="AA82" s="15">
        <v>30</v>
      </c>
      <c r="AB82" s="15">
        <v>30</v>
      </c>
      <c r="AC82" s="12">
        <f t="shared" si="93"/>
        <v>0.29999999999999993</v>
      </c>
      <c r="AD82" s="12">
        <f t="shared" si="94"/>
        <v>0.3</v>
      </c>
      <c r="AE82" s="12">
        <f t="shared" si="95"/>
        <v>0.99999999999999978</v>
      </c>
      <c r="AF82" s="12">
        <f t="shared" si="96"/>
        <v>0.27386127875258304</v>
      </c>
      <c r="AG82" s="12" t="s">
        <v>157</v>
      </c>
      <c r="AH82" s="12"/>
      <c r="AI82" s="12" t="s">
        <v>1302</v>
      </c>
      <c r="AJ82" s="12" t="s">
        <v>348</v>
      </c>
      <c r="AK82" s="12"/>
      <c r="AL82" s="12"/>
      <c r="AM82" s="10" t="s">
        <v>700</v>
      </c>
      <c r="AN82" s="10" t="s">
        <v>157</v>
      </c>
    </row>
    <row r="83" spans="1:40" s="10" customFormat="1" x14ac:dyDescent="0.2">
      <c r="A83" s="11">
        <v>2013</v>
      </c>
      <c r="B83" s="10">
        <v>23282124</v>
      </c>
      <c r="C83" s="10" t="s">
        <v>107</v>
      </c>
      <c r="E83" s="10" t="s">
        <v>157</v>
      </c>
      <c r="F83" s="10" t="s">
        <v>108</v>
      </c>
      <c r="G83" s="10" t="s">
        <v>109</v>
      </c>
      <c r="H83" s="10" t="s">
        <v>109</v>
      </c>
      <c r="I83" s="10">
        <v>7</v>
      </c>
      <c r="J83" s="10" t="s">
        <v>924</v>
      </c>
      <c r="K83" s="10" t="s">
        <v>414</v>
      </c>
      <c r="L83" s="10" t="s">
        <v>412</v>
      </c>
      <c r="M83" s="10" t="s">
        <v>902</v>
      </c>
      <c r="N83" s="10" t="s">
        <v>766</v>
      </c>
      <c r="P83" s="10" t="s">
        <v>911</v>
      </c>
      <c r="Q83" s="10">
        <v>2</v>
      </c>
      <c r="R83" s="10">
        <v>60</v>
      </c>
      <c r="S83" s="10">
        <v>36</v>
      </c>
      <c r="T83" s="13">
        <v>40</v>
      </c>
      <c r="U83" s="10" t="s">
        <v>792</v>
      </c>
      <c r="V83" s="10" t="s">
        <v>642</v>
      </c>
      <c r="W83" s="12">
        <v>70</v>
      </c>
      <c r="X83" s="12">
        <v>67</v>
      </c>
      <c r="Y83" s="12">
        <v>28</v>
      </c>
      <c r="Z83" s="12">
        <v>26</v>
      </c>
      <c r="AA83" s="15">
        <v>30</v>
      </c>
      <c r="AB83" s="15">
        <v>30</v>
      </c>
      <c r="AC83" s="12">
        <f t="shared" si="93"/>
        <v>3</v>
      </c>
      <c r="AD83" s="12">
        <f t="shared" si="94"/>
        <v>27.018512172212592</v>
      </c>
      <c r="AE83" s="12">
        <f t="shared" si="95"/>
        <v>0.11103498152964079</v>
      </c>
      <c r="AF83" s="12">
        <f t="shared" si="96"/>
        <v>0.25839776777807905</v>
      </c>
      <c r="AG83" s="12" t="s">
        <v>157</v>
      </c>
      <c r="AH83" s="12"/>
      <c r="AI83" s="12" t="s">
        <v>1302</v>
      </c>
      <c r="AJ83" s="12" t="s">
        <v>328</v>
      </c>
      <c r="AK83" s="12"/>
      <c r="AL83" s="12"/>
      <c r="AM83" s="10" t="s">
        <v>700</v>
      </c>
      <c r="AN83" s="10" t="s">
        <v>157</v>
      </c>
    </row>
    <row r="84" spans="1:40" s="10" customFormat="1" x14ac:dyDescent="0.2">
      <c r="A84" s="11">
        <v>2013</v>
      </c>
      <c r="B84" s="10">
        <v>23282124</v>
      </c>
      <c r="C84" s="10" t="s">
        <v>107</v>
      </c>
      <c r="E84" s="10" t="s">
        <v>157</v>
      </c>
      <c r="F84" s="10" t="s">
        <v>108</v>
      </c>
      <c r="G84" s="10" t="s">
        <v>109</v>
      </c>
      <c r="H84" s="10" t="s">
        <v>109</v>
      </c>
      <c r="I84" s="10">
        <v>7</v>
      </c>
      <c r="J84" s="10" t="s">
        <v>924</v>
      </c>
      <c r="K84" s="10" t="s">
        <v>414</v>
      </c>
      <c r="L84" s="10" t="s">
        <v>412</v>
      </c>
      <c r="M84" s="10" t="s">
        <v>902</v>
      </c>
      <c r="N84" s="10" t="s">
        <v>766</v>
      </c>
      <c r="P84" s="10" t="s">
        <v>911</v>
      </c>
      <c r="Q84" s="10">
        <v>2</v>
      </c>
      <c r="R84" s="10">
        <v>60</v>
      </c>
      <c r="S84" s="10">
        <v>36</v>
      </c>
      <c r="T84" s="13">
        <v>40</v>
      </c>
      <c r="U84" s="10" t="s">
        <v>793</v>
      </c>
      <c r="V84" s="10" t="s">
        <v>635</v>
      </c>
      <c r="W84" s="12">
        <v>49</v>
      </c>
      <c r="X84" s="12">
        <v>45</v>
      </c>
      <c r="Y84" s="12">
        <v>10</v>
      </c>
      <c r="Z84" s="12">
        <v>12</v>
      </c>
      <c r="AA84" s="15">
        <v>30</v>
      </c>
      <c r="AB84" s="15">
        <v>30</v>
      </c>
      <c r="AC84" s="12">
        <f t="shared" ref="AC84" si="97">W84-X84</f>
        <v>4</v>
      </c>
      <c r="AD84" s="12">
        <f t="shared" si="86"/>
        <v>11.045361017187261</v>
      </c>
      <c r="AE84" s="12">
        <f t="shared" si="87"/>
        <v>0.36214298417007412</v>
      </c>
      <c r="AF84" s="12">
        <f t="shared" si="88"/>
        <v>0.26030667075879949</v>
      </c>
      <c r="AG84" s="12" t="s">
        <v>157</v>
      </c>
      <c r="AH84" s="12"/>
      <c r="AI84" s="12" t="s">
        <v>793</v>
      </c>
      <c r="AJ84" s="12" t="s">
        <v>348</v>
      </c>
      <c r="AK84" s="12"/>
      <c r="AL84" s="12"/>
      <c r="AM84" s="10" t="s">
        <v>700</v>
      </c>
      <c r="AN84" s="10" t="s">
        <v>157</v>
      </c>
    </row>
    <row r="85" spans="1:40" s="10" customFormat="1" x14ac:dyDescent="0.2">
      <c r="A85" s="10">
        <v>2013</v>
      </c>
      <c r="B85" s="43">
        <v>23004922</v>
      </c>
      <c r="C85" s="10" t="s">
        <v>113</v>
      </c>
      <c r="D85" s="10" t="s">
        <v>908</v>
      </c>
      <c r="E85" s="10" t="s">
        <v>157</v>
      </c>
      <c r="F85" s="10" t="s">
        <v>66</v>
      </c>
      <c r="G85" s="10" t="s">
        <v>66</v>
      </c>
      <c r="H85" s="10" t="s">
        <v>66</v>
      </c>
      <c r="I85" s="10">
        <v>1</v>
      </c>
      <c r="J85" s="10" t="s">
        <v>128</v>
      </c>
      <c r="K85" s="10" t="s">
        <v>86</v>
      </c>
      <c r="L85" s="10" t="s">
        <v>415</v>
      </c>
      <c r="M85" s="10" t="s">
        <v>902</v>
      </c>
      <c r="N85" s="10" t="s">
        <v>766</v>
      </c>
      <c r="P85" s="10" t="s">
        <v>809</v>
      </c>
      <c r="Q85" s="10">
        <v>3</v>
      </c>
      <c r="R85" s="15">
        <f>AA85+AB85</f>
        <v>117</v>
      </c>
      <c r="S85" s="15">
        <v>30.7</v>
      </c>
      <c r="T85" s="13">
        <v>100</v>
      </c>
      <c r="U85" s="10" t="s">
        <v>640</v>
      </c>
      <c r="V85" s="10" t="s">
        <v>635</v>
      </c>
      <c r="W85" s="12">
        <v>107</v>
      </c>
      <c r="X85" s="13">
        <v>98</v>
      </c>
      <c r="Y85" s="12">
        <f t="shared" ref="Y85:Y86" si="98">0.5*SQRT(AA85)</f>
        <v>3.8078865529319543</v>
      </c>
      <c r="Z85" s="12">
        <f>0.5*SQRT(AB85)</f>
        <v>3.8405728739343039</v>
      </c>
      <c r="AA85" s="15">
        <v>58</v>
      </c>
      <c r="AB85" s="15">
        <v>59</v>
      </c>
      <c r="AC85" s="12">
        <f t="shared" ref="AC85:AC86" si="99">W85-X85</f>
        <v>9</v>
      </c>
      <c r="AD85" s="12">
        <f t="shared" ref="AD85:AD86" si="100">SQRT(((AA85-1)*Y85^2+(AB85-1)*Z85^2)/(AA85+AB85-2))</f>
        <v>3.8244067456955646</v>
      </c>
      <c r="AE85" s="12">
        <f t="shared" ref="AE85:AE86" si="101">AC85/AD85</f>
        <v>2.3533061722918607</v>
      </c>
      <c r="AF85" s="12">
        <f t="shared" ref="AF85:AF86" si="102">SQRT(((AA85+AB85)/(AA85*AB85)+(AE85^2/(2*(AA85+AB85)))))</f>
        <v>0.24053567706376797</v>
      </c>
      <c r="AG85" s="12" t="s">
        <v>157</v>
      </c>
      <c r="AH85" s="12"/>
      <c r="AI85" s="12" t="s">
        <v>780</v>
      </c>
      <c r="AJ85" s="12" t="s">
        <v>348</v>
      </c>
      <c r="AK85" s="12"/>
      <c r="AL85" s="12"/>
      <c r="AM85" s="10" t="s">
        <v>701</v>
      </c>
      <c r="AN85" s="10" t="s">
        <v>193</v>
      </c>
    </row>
    <row r="86" spans="1:40" s="10" customFormat="1" x14ac:dyDescent="0.2">
      <c r="A86" s="10">
        <v>2013</v>
      </c>
      <c r="B86" s="10">
        <v>23004922</v>
      </c>
      <c r="C86" s="10" t="s">
        <v>113</v>
      </c>
      <c r="D86" s="10" t="s">
        <v>908</v>
      </c>
      <c r="E86" s="10" t="s">
        <v>157</v>
      </c>
      <c r="F86" s="10" t="s">
        <v>66</v>
      </c>
      <c r="G86" s="10" t="s">
        <v>66</v>
      </c>
      <c r="H86" s="10" t="s">
        <v>66</v>
      </c>
      <c r="I86" s="10">
        <v>1</v>
      </c>
      <c r="J86" s="10" t="s">
        <v>128</v>
      </c>
      <c r="K86" s="10" t="s">
        <v>86</v>
      </c>
      <c r="L86" s="10" t="s">
        <v>415</v>
      </c>
      <c r="M86" s="10" t="s">
        <v>902</v>
      </c>
      <c r="N86" s="10" t="s">
        <v>766</v>
      </c>
      <c r="P86" s="10" t="s">
        <v>809</v>
      </c>
      <c r="Q86" s="10">
        <v>3</v>
      </c>
      <c r="R86" s="10">
        <v>117</v>
      </c>
      <c r="S86" s="15">
        <v>30.7</v>
      </c>
      <c r="T86" s="13">
        <v>100</v>
      </c>
      <c r="U86" s="10" t="s">
        <v>641</v>
      </c>
      <c r="V86" s="10" t="s">
        <v>635</v>
      </c>
      <c r="W86" s="12">
        <v>109</v>
      </c>
      <c r="X86" s="13">
        <v>98</v>
      </c>
      <c r="Y86" s="12">
        <f t="shared" si="98"/>
        <v>3.8078865529319543</v>
      </c>
      <c r="Z86" s="12">
        <f>0.5*SQRT(AB86)</f>
        <v>3.8405728739343039</v>
      </c>
      <c r="AA86" s="15">
        <v>58</v>
      </c>
      <c r="AB86" s="15">
        <v>59</v>
      </c>
      <c r="AC86" s="12">
        <f t="shared" si="99"/>
        <v>11</v>
      </c>
      <c r="AD86" s="12">
        <f t="shared" si="100"/>
        <v>3.8244067456955646</v>
      </c>
      <c r="AE86" s="12">
        <f t="shared" si="101"/>
        <v>2.8762630994678293</v>
      </c>
      <c r="AF86" s="12">
        <f t="shared" si="102"/>
        <v>0.26371340529452647</v>
      </c>
      <c r="AG86" s="12" t="s">
        <v>157</v>
      </c>
      <c r="AH86" s="12" t="s">
        <v>193</v>
      </c>
      <c r="AI86" s="12" t="s">
        <v>780</v>
      </c>
      <c r="AJ86" s="12" t="s">
        <v>348</v>
      </c>
      <c r="AK86" s="12"/>
      <c r="AL86" s="12"/>
      <c r="AM86" s="10" t="s">
        <v>701</v>
      </c>
      <c r="AN86" s="10" t="s">
        <v>193</v>
      </c>
    </row>
    <row r="87" spans="1:40" s="10" customFormat="1" x14ac:dyDescent="0.2">
      <c r="A87" s="10">
        <v>2013</v>
      </c>
      <c r="B87" s="10">
        <v>23004922</v>
      </c>
      <c r="C87" s="10" t="s">
        <v>113</v>
      </c>
      <c r="D87" s="10" t="s">
        <v>908</v>
      </c>
      <c r="E87" s="10" t="s">
        <v>157</v>
      </c>
      <c r="F87" s="10" t="s">
        <v>66</v>
      </c>
      <c r="G87" s="10" t="s">
        <v>66</v>
      </c>
      <c r="H87" s="10" t="s">
        <v>66</v>
      </c>
      <c r="I87" s="10">
        <v>1</v>
      </c>
      <c r="J87" s="10" t="s">
        <v>128</v>
      </c>
      <c r="K87" s="10" t="s">
        <v>86</v>
      </c>
      <c r="L87" s="10" t="s">
        <v>415</v>
      </c>
      <c r="M87" s="10" t="s">
        <v>902</v>
      </c>
      <c r="N87" s="10" t="s">
        <v>766</v>
      </c>
      <c r="P87" s="10" t="s">
        <v>809</v>
      </c>
      <c r="Q87" s="10">
        <v>3</v>
      </c>
      <c r="R87" s="10">
        <v>117</v>
      </c>
      <c r="S87" s="15">
        <v>30.7</v>
      </c>
      <c r="T87" s="13">
        <v>100</v>
      </c>
      <c r="U87" s="10" t="s">
        <v>873</v>
      </c>
      <c r="V87" s="10" t="s">
        <v>635</v>
      </c>
      <c r="W87" s="12"/>
      <c r="X87" s="12"/>
      <c r="Y87" s="12"/>
      <c r="Z87" s="12"/>
      <c r="AA87" s="15">
        <v>58</v>
      </c>
      <c r="AB87" s="15">
        <v>59</v>
      </c>
      <c r="AC87" s="12"/>
      <c r="AD87" s="12"/>
      <c r="AE87" s="12"/>
      <c r="AF87" s="12"/>
      <c r="AG87" s="12"/>
      <c r="AH87" s="12"/>
      <c r="AI87" s="12" t="s">
        <v>1300</v>
      </c>
      <c r="AJ87" s="12" t="s">
        <v>348</v>
      </c>
      <c r="AK87" s="12"/>
      <c r="AL87" s="12" t="s">
        <v>1301</v>
      </c>
      <c r="AM87" s="10" t="s">
        <v>701</v>
      </c>
      <c r="AN87" s="10" t="s">
        <v>193</v>
      </c>
    </row>
    <row r="88" spans="1:40" s="10" customFormat="1" x14ac:dyDescent="0.2">
      <c r="A88" s="11">
        <v>2011</v>
      </c>
      <c r="B88" s="43">
        <v>21471971</v>
      </c>
      <c r="C88" s="10" t="s">
        <v>124</v>
      </c>
      <c r="E88" s="10" t="s">
        <v>157</v>
      </c>
      <c r="F88" s="10" t="s">
        <v>125</v>
      </c>
      <c r="G88" s="10" t="s">
        <v>1109</v>
      </c>
      <c r="H88" s="10" t="s">
        <v>1109</v>
      </c>
      <c r="I88" s="10">
        <v>6</v>
      </c>
      <c r="J88" s="10" t="s">
        <v>86</v>
      </c>
      <c r="K88" s="10" t="s">
        <v>86</v>
      </c>
      <c r="L88" s="10" t="s">
        <v>220</v>
      </c>
      <c r="M88" s="10" t="s">
        <v>902</v>
      </c>
      <c r="N88" s="10" t="s">
        <v>766</v>
      </c>
      <c r="P88" s="10" t="s">
        <v>911</v>
      </c>
      <c r="Q88" s="10">
        <v>2</v>
      </c>
      <c r="R88" s="10">
        <v>80</v>
      </c>
      <c r="S88" s="10">
        <v>67.8</v>
      </c>
      <c r="T88" s="13">
        <v>46</v>
      </c>
      <c r="U88" s="10" t="s">
        <v>640</v>
      </c>
      <c r="V88" s="10" t="s">
        <v>635</v>
      </c>
      <c r="W88" s="12">
        <v>127.5</v>
      </c>
      <c r="X88" s="12">
        <v>121.6</v>
      </c>
      <c r="Y88" s="12">
        <v>15.22</v>
      </c>
      <c r="Z88" s="12">
        <v>13.7</v>
      </c>
      <c r="AA88" s="15">
        <v>40</v>
      </c>
      <c r="AB88" s="15">
        <v>40</v>
      </c>
      <c r="AC88" s="12">
        <f t="shared" ref="AC88:AC95" si="103">W88-X88</f>
        <v>5.9000000000000057</v>
      </c>
      <c r="AD88" s="12">
        <f t="shared" ref="AD88:AD90" si="104">SQRT(((AA88-1)*Y88^2+(AB88-1)*Z88^2)/(AA88+AB88-2))</f>
        <v>14.479958563476623</v>
      </c>
      <c r="AE88" s="12">
        <f t="shared" ref="AE88:AE90" si="105">AC88/AD88</f>
        <v>0.40745972953830206</v>
      </c>
      <c r="AF88" s="12">
        <f t="shared" ref="AF88:AF90" si="106">SQRT(((AA88+AB88)/(AA88*AB88)+(AE88^2/(2*(AA88+AB88)))))</f>
        <v>0.22591513106689295</v>
      </c>
      <c r="AG88" s="12" t="s">
        <v>193</v>
      </c>
      <c r="AH88" s="12"/>
      <c r="AI88" s="12" t="s">
        <v>780</v>
      </c>
      <c r="AJ88" s="12" t="s">
        <v>348</v>
      </c>
      <c r="AK88" s="12"/>
      <c r="AL88" s="12"/>
      <c r="AM88" s="10" t="s">
        <v>702</v>
      </c>
      <c r="AN88" s="10" t="s">
        <v>157</v>
      </c>
    </row>
    <row r="89" spans="1:40" s="10" customFormat="1" x14ac:dyDescent="0.2">
      <c r="A89" s="11">
        <v>2011</v>
      </c>
      <c r="B89" s="10">
        <v>21471971</v>
      </c>
      <c r="C89" s="10" t="s">
        <v>124</v>
      </c>
      <c r="E89" s="10" t="s">
        <v>157</v>
      </c>
      <c r="F89" s="10" t="s">
        <v>125</v>
      </c>
      <c r="G89" s="10" t="s">
        <v>1109</v>
      </c>
      <c r="H89" s="10" t="s">
        <v>1109</v>
      </c>
      <c r="I89" s="10">
        <v>6</v>
      </c>
      <c r="J89" s="10" t="s">
        <v>86</v>
      </c>
      <c r="K89" s="10" t="s">
        <v>86</v>
      </c>
      <c r="L89" s="10" t="s">
        <v>220</v>
      </c>
      <c r="M89" s="10" t="s">
        <v>902</v>
      </c>
      <c r="N89" s="10" t="s">
        <v>766</v>
      </c>
      <c r="P89" s="10" t="s">
        <v>911</v>
      </c>
      <c r="Q89" s="10">
        <v>2</v>
      </c>
      <c r="R89" s="10">
        <v>80</v>
      </c>
      <c r="S89" s="10">
        <v>67.8</v>
      </c>
      <c r="T89" s="13">
        <v>46</v>
      </c>
      <c r="U89" s="10" t="s">
        <v>641</v>
      </c>
      <c r="V89" s="10" t="s">
        <v>635</v>
      </c>
      <c r="W89" s="12">
        <v>81</v>
      </c>
      <c r="X89" s="12">
        <v>75.5</v>
      </c>
      <c r="Y89" s="12">
        <v>8.07</v>
      </c>
      <c r="Z89" s="12">
        <v>9.9120000000000008</v>
      </c>
      <c r="AA89" s="15">
        <v>40</v>
      </c>
      <c r="AB89" s="15">
        <v>40</v>
      </c>
      <c r="AC89" s="12">
        <f t="shared" si="103"/>
        <v>5.5</v>
      </c>
      <c r="AD89" s="12">
        <f t="shared" si="104"/>
        <v>9.0380485725625537</v>
      </c>
      <c r="AE89" s="12">
        <f t="shared" si="105"/>
        <v>0.6085384423244572</v>
      </c>
      <c r="AF89" s="12">
        <f t="shared" si="106"/>
        <v>0.2287236191862719</v>
      </c>
      <c r="AG89" s="12" t="s">
        <v>193</v>
      </c>
      <c r="AH89" s="12" t="s">
        <v>193</v>
      </c>
      <c r="AI89" s="12" t="s">
        <v>780</v>
      </c>
      <c r="AJ89" s="12" t="s">
        <v>348</v>
      </c>
      <c r="AK89" s="12"/>
      <c r="AL89" s="12"/>
      <c r="AM89" s="10" t="s">
        <v>702</v>
      </c>
      <c r="AN89" s="10" t="s">
        <v>157</v>
      </c>
    </row>
    <row r="90" spans="1:40" s="10" customFormat="1" x14ac:dyDescent="0.2">
      <c r="A90" s="4">
        <v>2015</v>
      </c>
      <c r="B90" s="25">
        <v>25318654</v>
      </c>
      <c r="C90" s="4" t="s">
        <v>122</v>
      </c>
      <c r="D90" s="4"/>
      <c r="E90" s="10" t="s">
        <v>157</v>
      </c>
      <c r="F90" s="4" t="s">
        <v>120</v>
      </c>
      <c r="G90" s="4" t="s">
        <v>1110</v>
      </c>
      <c r="H90" s="4" t="s">
        <v>1110</v>
      </c>
      <c r="I90" s="4">
        <v>7</v>
      </c>
      <c r="J90" s="4" t="s">
        <v>993</v>
      </c>
      <c r="K90" s="4" t="s">
        <v>86</v>
      </c>
      <c r="L90" s="4" t="s">
        <v>220</v>
      </c>
      <c r="M90" s="4" t="s">
        <v>902</v>
      </c>
      <c r="N90" s="4" t="s">
        <v>766</v>
      </c>
      <c r="O90" s="4"/>
      <c r="P90" s="4" t="s">
        <v>911</v>
      </c>
      <c r="Q90" s="4">
        <v>2</v>
      </c>
      <c r="R90" s="4">
        <v>41</v>
      </c>
      <c r="S90" s="10">
        <v>51.5</v>
      </c>
      <c r="T90" s="13">
        <v>22</v>
      </c>
      <c r="U90" s="28" t="s">
        <v>640</v>
      </c>
      <c r="V90" s="10" t="s">
        <v>642</v>
      </c>
      <c r="W90" s="12">
        <v>124.4</v>
      </c>
      <c r="X90" s="12">
        <v>122.4</v>
      </c>
      <c r="Y90" s="12">
        <v>8.3000000000000007</v>
      </c>
      <c r="Z90" s="12">
        <v>9.1</v>
      </c>
      <c r="AA90" s="15">
        <v>41</v>
      </c>
      <c r="AB90" s="15">
        <v>41</v>
      </c>
      <c r="AC90" s="12">
        <f t="shared" si="103"/>
        <v>2</v>
      </c>
      <c r="AD90" s="12">
        <f t="shared" si="104"/>
        <v>8.7091905479212013</v>
      </c>
      <c r="AE90" s="12">
        <f t="shared" si="105"/>
        <v>0.22964246665579965</v>
      </c>
      <c r="AF90" s="12">
        <f t="shared" si="106"/>
        <v>0.22158981637816919</v>
      </c>
      <c r="AG90" s="12" t="s">
        <v>193</v>
      </c>
      <c r="AH90" s="12"/>
      <c r="AI90" s="12" t="s">
        <v>780</v>
      </c>
      <c r="AJ90" s="12" t="s">
        <v>348</v>
      </c>
      <c r="AK90" s="12"/>
      <c r="AL90" s="12"/>
      <c r="AM90" s="10" t="s">
        <v>992</v>
      </c>
      <c r="AN90" s="10" t="s">
        <v>157</v>
      </c>
    </row>
    <row r="91" spans="1:40" s="10" customFormat="1" x14ac:dyDescent="0.2">
      <c r="A91" s="4">
        <v>2015</v>
      </c>
      <c r="B91" s="6">
        <v>25318654</v>
      </c>
      <c r="C91" s="4" t="s">
        <v>122</v>
      </c>
      <c r="D91" s="4"/>
      <c r="E91" s="10" t="s">
        <v>157</v>
      </c>
      <c r="F91" s="4" t="s">
        <v>120</v>
      </c>
      <c r="G91" s="4" t="s">
        <v>1110</v>
      </c>
      <c r="H91" s="4" t="s">
        <v>1110</v>
      </c>
      <c r="I91" s="4">
        <v>7</v>
      </c>
      <c r="J91" s="4" t="s">
        <v>993</v>
      </c>
      <c r="K91" s="4" t="s">
        <v>86</v>
      </c>
      <c r="L91" s="4" t="s">
        <v>220</v>
      </c>
      <c r="M91" s="4" t="s">
        <v>902</v>
      </c>
      <c r="N91" s="4" t="s">
        <v>766</v>
      </c>
      <c r="O91" s="4"/>
      <c r="P91" s="4" t="s">
        <v>911</v>
      </c>
      <c r="Q91" s="4">
        <v>2</v>
      </c>
      <c r="R91" s="4">
        <v>41</v>
      </c>
      <c r="S91" s="10">
        <v>51.5</v>
      </c>
      <c r="T91" s="13">
        <v>22</v>
      </c>
      <c r="U91" s="28" t="s">
        <v>641</v>
      </c>
      <c r="V91" s="10" t="s">
        <v>642</v>
      </c>
      <c r="W91" s="12">
        <v>77.5</v>
      </c>
      <c r="X91" s="12">
        <v>76.3</v>
      </c>
      <c r="Y91" s="12">
        <v>6.7</v>
      </c>
      <c r="Z91" s="12">
        <v>6.6</v>
      </c>
      <c r="AA91" s="15">
        <v>41</v>
      </c>
      <c r="AB91" s="15">
        <v>41</v>
      </c>
      <c r="AC91" s="12">
        <f t="shared" si="103"/>
        <v>1.2000000000000028</v>
      </c>
      <c r="AD91" s="12">
        <f t="shared" ref="AD91:AD95" si="107">SQRT(((AA91-1)*Y91^2+(AB91-1)*Z91^2)/(AA91+AB91-2))</f>
        <v>6.6501879672682938</v>
      </c>
      <c r="AE91" s="12">
        <f t="shared" ref="AE91:AE95" si="108">AC91/AD91</f>
        <v>0.18044602737641541</v>
      </c>
      <c r="AF91" s="12">
        <f t="shared" ref="AF91:AF95" si="109">SQRT(((AA91+AB91)/(AA91*AB91)+(AE91^2/(2*(AA91+AB91)))))</f>
        <v>0.22131206265819303</v>
      </c>
      <c r="AG91" s="12" t="s">
        <v>193</v>
      </c>
      <c r="AH91" s="12"/>
      <c r="AI91" s="12" t="s">
        <v>780</v>
      </c>
      <c r="AJ91" s="12" t="s">
        <v>348</v>
      </c>
      <c r="AK91" s="12"/>
      <c r="AL91" s="12"/>
      <c r="AM91" s="10" t="s">
        <v>992</v>
      </c>
      <c r="AN91" s="10" t="s">
        <v>157</v>
      </c>
    </row>
    <row r="92" spans="1:40" s="10" customFormat="1" x14ac:dyDescent="0.2">
      <c r="A92" s="4">
        <v>2015</v>
      </c>
      <c r="B92" s="6">
        <v>25318654</v>
      </c>
      <c r="C92" s="4" t="s">
        <v>122</v>
      </c>
      <c r="D92" s="4"/>
      <c r="E92" s="10" t="s">
        <v>157</v>
      </c>
      <c r="F92" s="4" t="s">
        <v>120</v>
      </c>
      <c r="G92" s="4" t="s">
        <v>1110</v>
      </c>
      <c r="H92" s="4" t="s">
        <v>1110</v>
      </c>
      <c r="I92" s="4">
        <v>7</v>
      </c>
      <c r="J92" s="4" t="s">
        <v>993</v>
      </c>
      <c r="K92" s="4" t="s">
        <v>86</v>
      </c>
      <c r="L92" s="4" t="s">
        <v>220</v>
      </c>
      <c r="M92" s="4" t="s">
        <v>902</v>
      </c>
      <c r="N92" s="4" t="s">
        <v>766</v>
      </c>
      <c r="O92" s="4"/>
      <c r="P92" s="4" t="s">
        <v>911</v>
      </c>
      <c r="Q92" s="4">
        <v>2</v>
      </c>
      <c r="R92" s="4">
        <v>41</v>
      </c>
      <c r="S92" s="10">
        <v>51.5</v>
      </c>
      <c r="T92" s="13">
        <v>22</v>
      </c>
      <c r="U92" s="28" t="s">
        <v>644</v>
      </c>
      <c r="V92" s="10" t="s">
        <v>642</v>
      </c>
      <c r="W92" s="12">
        <v>127.6</v>
      </c>
      <c r="X92" s="12">
        <v>126.9</v>
      </c>
      <c r="Y92" s="12">
        <v>8.6</v>
      </c>
      <c r="Z92" s="12">
        <v>9.4</v>
      </c>
      <c r="AA92" s="15">
        <v>41</v>
      </c>
      <c r="AB92" s="15">
        <v>41</v>
      </c>
      <c r="AC92" s="12">
        <f t="shared" si="103"/>
        <v>0.69999999999998863</v>
      </c>
      <c r="AD92" s="12">
        <f t="shared" si="107"/>
        <v>9.0088845036441665</v>
      </c>
      <c r="AE92" s="12">
        <f t="shared" si="108"/>
        <v>7.7701073836259418E-2</v>
      </c>
      <c r="AF92" s="12">
        <f t="shared" si="109"/>
        <v>0.22094637712873422</v>
      </c>
      <c r="AG92" s="12" t="s">
        <v>193</v>
      </c>
      <c r="AH92" s="12"/>
      <c r="AI92" s="12" t="s">
        <v>780</v>
      </c>
      <c r="AJ92" s="12" t="s">
        <v>348</v>
      </c>
      <c r="AK92" s="12"/>
      <c r="AL92" s="12"/>
      <c r="AM92" s="10" t="s">
        <v>992</v>
      </c>
      <c r="AN92" s="10" t="s">
        <v>157</v>
      </c>
    </row>
    <row r="93" spans="1:40" s="10" customFormat="1" x14ac:dyDescent="0.2">
      <c r="A93" s="4">
        <v>2015</v>
      </c>
      <c r="B93" s="6">
        <v>25318654</v>
      </c>
      <c r="C93" s="4" t="s">
        <v>122</v>
      </c>
      <c r="D93" s="4"/>
      <c r="E93" s="10" t="s">
        <v>157</v>
      </c>
      <c r="F93" s="4" t="s">
        <v>120</v>
      </c>
      <c r="G93" s="4" t="s">
        <v>1110</v>
      </c>
      <c r="H93" s="4" t="s">
        <v>1110</v>
      </c>
      <c r="I93" s="4">
        <v>7</v>
      </c>
      <c r="J93" s="4" t="s">
        <v>993</v>
      </c>
      <c r="K93" s="4" t="s">
        <v>86</v>
      </c>
      <c r="L93" s="4" t="s">
        <v>220</v>
      </c>
      <c r="M93" s="4" t="s">
        <v>902</v>
      </c>
      <c r="N93" s="4" t="s">
        <v>766</v>
      </c>
      <c r="O93" s="4"/>
      <c r="P93" s="4" t="s">
        <v>911</v>
      </c>
      <c r="Q93" s="4">
        <v>2</v>
      </c>
      <c r="R93" s="4">
        <v>41</v>
      </c>
      <c r="S93" s="10">
        <v>51.5</v>
      </c>
      <c r="T93" s="13">
        <v>22</v>
      </c>
      <c r="U93" s="28" t="s">
        <v>645</v>
      </c>
      <c r="V93" s="10" t="s">
        <v>642</v>
      </c>
      <c r="W93" s="12">
        <v>80</v>
      </c>
      <c r="X93" s="12">
        <v>79.900000000000006</v>
      </c>
      <c r="Y93" s="12">
        <v>7.4</v>
      </c>
      <c r="Z93" s="12">
        <v>6.7</v>
      </c>
      <c r="AA93" s="15">
        <v>41</v>
      </c>
      <c r="AB93" s="15">
        <v>41</v>
      </c>
      <c r="AC93" s="12">
        <f t="shared" si="103"/>
        <v>9.9999999999994316E-2</v>
      </c>
      <c r="AD93" s="12">
        <f t="shared" si="107"/>
        <v>7.0586825966323206</v>
      </c>
      <c r="AE93" s="12">
        <f t="shared" si="108"/>
        <v>1.4166949516571841E-2</v>
      </c>
      <c r="AF93" s="12">
        <f t="shared" si="109"/>
        <v>0.22086582261716581</v>
      </c>
      <c r="AG93" s="12" t="s">
        <v>193</v>
      </c>
      <c r="AH93" s="12"/>
      <c r="AI93" s="12" t="s">
        <v>780</v>
      </c>
      <c r="AJ93" s="12" t="s">
        <v>348</v>
      </c>
      <c r="AK93" s="12"/>
      <c r="AL93" s="12"/>
      <c r="AM93" s="10" t="s">
        <v>992</v>
      </c>
      <c r="AN93" s="10" t="s">
        <v>157</v>
      </c>
    </row>
    <row r="94" spans="1:40" s="10" customFormat="1" x14ac:dyDescent="0.2">
      <c r="A94" s="4">
        <v>2015</v>
      </c>
      <c r="B94" s="6">
        <v>25318654</v>
      </c>
      <c r="C94" s="4" t="s">
        <v>122</v>
      </c>
      <c r="D94" s="4"/>
      <c r="E94" s="10" t="s">
        <v>157</v>
      </c>
      <c r="F94" s="4" t="s">
        <v>120</v>
      </c>
      <c r="G94" s="4" t="s">
        <v>1110</v>
      </c>
      <c r="H94" s="4" t="s">
        <v>1110</v>
      </c>
      <c r="I94" s="4">
        <v>7</v>
      </c>
      <c r="J94" s="4" t="s">
        <v>993</v>
      </c>
      <c r="K94" s="4" t="s">
        <v>86</v>
      </c>
      <c r="L94" s="4" t="s">
        <v>220</v>
      </c>
      <c r="M94" s="4" t="s">
        <v>902</v>
      </c>
      <c r="N94" s="4" t="s">
        <v>766</v>
      </c>
      <c r="O94" s="4"/>
      <c r="P94" s="4" t="s">
        <v>911</v>
      </c>
      <c r="Q94" s="4">
        <v>2</v>
      </c>
      <c r="R94" s="4">
        <v>41</v>
      </c>
      <c r="S94" s="10">
        <v>51.5</v>
      </c>
      <c r="T94" s="13">
        <v>22</v>
      </c>
      <c r="U94" s="28" t="s">
        <v>637</v>
      </c>
      <c r="V94" s="10" t="s">
        <v>635</v>
      </c>
      <c r="W94" s="12">
        <v>117</v>
      </c>
      <c r="X94" s="12">
        <v>112.6</v>
      </c>
      <c r="Y94" s="12">
        <v>9.9</v>
      </c>
      <c r="Z94" s="12">
        <v>10.1</v>
      </c>
      <c r="AA94" s="15">
        <v>41</v>
      </c>
      <c r="AB94" s="15">
        <v>41</v>
      </c>
      <c r="AC94" s="12">
        <f t="shared" si="103"/>
        <v>4.4000000000000057</v>
      </c>
      <c r="AD94" s="12">
        <f t="shared" si="107"/>
        <v>10.000499987500625</v>
      </c>
      <c r="AE94" s="12">
        <f t="shared" si="108"/>
        <v>0.43997800164986306</v>
      </c>
      <c r="AF94" s="12">
        <f t="shared" si="109"/>
        <v>0.22351925548547114</v>
      </c>
      <c r="AG94" s="12" t="s">
        <v>193</v>
      </c>
      <c r="AH94" s="12" t="s">
        <v>193</v>
      </c>
      <c r="AI94" s="12" t="s">
        <v>780</v>
      </c>
      <c r="AJ94" s="12" t="s">
        <v>348</v>
      </c>
      <c r="AK94" s="12"/>
      <c r="AL94" s="12"/>
      <c r="AM94" s="10" t="s">
        <v>992</v>
      </c>
      <c r="AN94" s="10" t="s">
        <v>157</v>
      </c>
    </row>
    <row r="95" spans="1:40" s="10" customFormat="1" x14ac:dyDescent="0.2">
      <c r="A95" s="4">
        <v>2015</v>
      </c>
      <c r="B95" s="6">
        <v>25318654</v>
      </c>
      <c r="C95" s="4" t="s">
        <v>122</v>
      </c>
      <c r="D95" s="4"/>
      <c r="E95" s="10" t="s">
        <v>157</v>
      </c>
      <c r="F95" s="4" t="s">
        <v>120</v>
      </c>
      <c r="G95" s="4" t="s">
        <v>1110</v>
      </c>
      <c r="H95" s="4" t="s">
        <v>1110</v>
      </c>
      <c r="I95" s="4">
        <v>7</v>
      </c>
      <c r="J95" s="4" t="s">
        <v>993</v>
      </c>
      <c r="K95" s="4" t="s">
        <v>86</v>
      </c>
      <c r="L95" s="4" t="s">
        <v>220</v>
      </c>
      <c r="M95" s="4" t="s">
        <v>902</v>
      </c>
      <c r="N95" s="4" t="s">
        <v>766</v>
      </c>
      <c r="O95" s="4"/>
      <c r="P95" s="4" t="s">
        <v>911</v>
      </c>
      <c r="Q95" s="4">
        <v>2</v>
      </c>
      <c r="R95" s="4">
        <v>41</v>
      </c>
      <c r="S95" s="10">
        <v>51.5</v>
      </c>
      <c r="T95" s="13">
        <v>22</v>
      </c>
      <c r="U95" s="28" t="s">
        <v>638</v>
      </c>
      <c r="V95" s="10" t="s">
        <v>635</v>
      </c>
      <c r="W95" s="12">
        <v>71.3</v>
      </c>
      <c r="X95" s="12">
        <v>68.400000000000006</v>
      </c>
      <c r="Y95" s="12">
        <v>7.4</v>
      </c>
      <c r="Z95" s="12">
        <v>7.2</v>
      </c>
      <c r="AA95" s="15">
        <v>41</v>
      </c>
      <c r="AB95" s="15">
        <v>41</v>
      </c>
      <c r="AC95" s="12">
        <f t="shared" si="103"/>
        <v>2.8999999999999915</v>
      </c>
      <c r="AD95" s="12">
        <f t="shared" si="107"/>
        <v>7.3006848993775915</v>
      </c>
      <c r="AE95" s="12">
        <f t="shared" si="108"/>
        <v>0.39722300578226932</v>
      </c>
      <c r="AF95" s="12">
        <f t="shared" si="109"/>
        <v>0.22303048731117542</v>
      </c>
      <c r="AG95" s="12" t="s">
        <v>193</v>
      </c>
      <c r="AH95" s="12"/>
      <c r="AI95" s="12" t="s">
        <v>780</v>
      </c>
      <c r="AJ95" s="12" t="s">
        <v>348</v>
      </c>
      <c r="AK95" s="12"/>
      <c r="AL95" s="12"/>
      <c r="AM95" s="10" t="s">
        <v>992</v>
      </c>
      <c r="AN95" s="10" t="s">
        <v>157</v>
      </c>
    </row>
    <row r="96" spans="1:40" s="10" customFormat="1" x14ac:dyDescent="0.2">
      <c r="A96" s="11">
        <v>2011</v>
      </c>
      <c r="B96" s="43">
        <v>21372694</v>
      </c>
      <c r="C96" s="10" t="s">
        <v>122</v>
      </c>
      <c r="E96" s="10" t="s">
        <v>157</v>
      </c>
      <c r="F96" s="10" t="s">
        <v>120</v>
      </c>
      <c r="G96" s="4" t="s">
        <v>1110</v>
      </c>
      <c r="H96" s="4" t="s">
        <v>1110</v>
      </c>
      <c r="I96" s="10">
        <v>7</v>
      </c>
      <c r="J96" s="10" t="s">
        <v>422</v>
      </c>
      <c r="K96" s="10" t="s">
        <v>86</v>
      </c>
      <c r="L96" s="10" t="s">
        <v>156</v>
      </c>
      <c r="M96" s="10" t="s">
        <v>902</v>
      </c>
      <c r="N96" s="10" t="s">
        <v>766</v>
      </c>
      <c r="P96" s="10" t="s">
        <v>911</v>
      </c>
      <c r="Q96" s="10">
        <v>2</v>
      </c>
      <c r="R96" s="10">
        <v>463</v>
      </c>
      <c r="S96" s="10">
        <v>56</v>
      </c>
      <c r="T96" s="13">
        <v>47</v>
      </c>
      <c r="U96" s="10" t="s">
        <v>638</v>
      </c>
      <c r="V96" s="10" t="s">
        <v>635</v>
      </c>
      <c r="W96" s="12">
        <v>70</v>
      </c>
      <c r="X96" s="12">
        <v>69</v>
      </c>
      <c r="Y96" s="12">
        <v>8</v>
      </c>
      <c r="Z96" s="12">
        <v>8</v>
      </c>
      <c r="AA96" s="15">
        <v>231</v>
      </c>
      <c r="AB96" s="15">
        <v>232</v>
      </c>
      <c r="AC96" s="12">
        <f t="shared" ref="AC96" si="110">W96-X96</f>
        <v>1</v>
      </c>
      <c r="AD96" s="12">
        <f t="shared" ref="AD96" si="111">SQRT(((AA96-1)*Y96^2+(AB96-1)*Z96^2)/(AA96+AB96-2))</f>
        <v>8</v>
      </c>
      <c r="AE96" s="12">
        <f t="shared" ref="AE96" si="112">AC96/AD96</f>
        <v>0.125</v>
      </c>
      <c r="AF96" s="12">
        <f t="shared" ref="AF96" si="113">SQRT(((AA96+AB96)/(AA96*AB96)+(AE96^2/(2*(AA96+AB96)))))</f>
        <v>9.3038824190219249E-2</v>
      </c>
      <c r="AG96" s="12" t="s">
        <v>193</v>
      </c>
      <c r="AH96" s="12" t="s">
        <v>193</v>
      </c>
      <c r="AI96" s="12" t="s">
        <v>780</v>
      </c>
      <c r="AJ96" s="12" t="s">
        <v>348</v>
      </c>
      <c r="AK96" s="12"/>
      <c r="AL96" s="12"/>
      <c r="AM96" s="10" t="s">
        <v>703</v>
      </c>
      <c r="AN96" s="10" t="s">
        <v>157</v>
      </c>
    </row>
    <row r="97" spans="1:40" s="10" customFormat="1" x14ac:dyDescent="0.2">
      <c r="A97" s="11">
        <v>2011</v>
      </c>
      <c r="B97" s="10">
        <v>21372694</v>
      </c>
      <c r="C97" s="10" t="s">
        <v>122</v>
      </c>
      <c r="E97" s="10" t="s">
        <v>157</v>
      </c>
      <c r="F97" s="10" t="s">
        <v>120</v>
      </c>
      <c r="G97" s="4" t="s">
        <v>1110</v>
      </c>
      <c r="H97" s="4" t="s">
        <v>1110</v>
      </c>
      <c r="I97" s="10">
        <v>7</v>
      </c>
      <c r="J97" s="10" t="s">
        <v>422</v>
      </c>
      <c r="K97" s="10" t="s">
        <v>86</v>
      </c>
      <c r="L97" s="10" t="s">
        <v>156</v>
      </c>
      <c r="M97" s="10" t="s">
        <v>902</v>
      </c>
      <c r="N97" s="10" t="s">
        <v>766</v>
      </c>
      <c r="P97" s="10" t="s">
        <v>911</v>
      </c>
      <c r="Q97" s="10">
        <v>2</v>
      </c>
      <c r="R97" s="10">
        <v>463</v>
      </c>
      <c r="S97" s="10">
        <v>56</v>
      </c>
      <c r="T97" s="13">
        <v>47</v>
      </c>
      <c r="U97" s="10" t="s">
        <v>645</v>
      </c>
      <c r="V97" s="10" t="s">
        <v>642</v>
      </c>
      <c r="W97" s="12">
        <v>79</v>
      </c>
      <c r="X97" s="12">
        <v>79</v>
      </c>
      <c r="Y97" s="12">
        <v>8</v>
      </c>
      <c r="Z97" s="12">
        <v>8</v>
      </c>
      <c r="AA97" s="15">
        <v>231</v>
      </c>
      <c r="AB97" s="15">
        <v>232</v>
      </c>
      <c r="AC97" s="12">
        <f t="shared" ref="AC97:AC103" si="114">W97-X97</f>
        <v>0</v>
      </c>
      <c r="AD97" s="12">
        <f t="shared" ref="AD97:AD103" si="115">SQRT(((AA97-1)*Y97^2+(AB97-1)*Z97^2)/(AA97+AB97-2))</f>
        <v>8</v>
      </c>
      <c r="AE97" s="12">
        <f t="shared" ref="AE97:AE103" si="116">AC97/AD97</f>
        <v>0</v>
      </c>
      <c r="AF97" s="12">
        <f t="shared" ref="AF97:AF103" si="117">SQRT(((AA97+AB97)/(AA97*AB97)+(AE97^2/(2*(AA97+AB97)))))</f>
        <v>9.2948099262924883E-2</v>
      </c>
      <c r="AG97" s="12" t="s">
        <v>193</v>
      </c>
      <c r="AH97" s="12"/>
      <c r="AI97" s="12" t="s">
        <v>780</v>
      </c>
      <c r="AJ97" s="12" t="s">
        <v>642</v>
      </c>
      <c r="AK97" s="12"/>
      <c r="AL97" s="12"/>
      <c r="AM97" s="10" t="s">
        <v>703</v>
      </c>
      <c r="AN97" s="10" t="s">
        <v>157</v>
      </c>
    </row>
    <row r="98" spans="1:40" s="10" customFormat="1" x14ac:dyDescent="0.2">
      <c r="A98" s="11">
        <v>2011</v>
      </c>
      <c r="B98" s="10">
        <v>21372694</v>
      </c>
      <c r="C98" s="10" t="s">
        <v>122</v>
      </c>
      <c r="E98" s="10" t="s">
        <v>157</v>
      </c>
      <c r="F98" s="10" t="s">
        <v>120</v>
      </c>
      <c r="G98" s="4" t="s">
        <v>1110</v>
      </c>
      <c r="H98" s="4" t="s">
        <v>1110</v>
      </c>
      <c r="I98" s="10">
        <v>7</v>
      </c>
      <c r="J98" s="10" t="s">
        <v>422</v>
      </c>
      <c r="K98" s="10" t="s">
        <v>86</v>
      </c>
      <c r="L98" s="10" t="s">
        <v>156</v>
      </c>
      <c r="M98" s="10" t="s">
        <v>902</v>
      </c>
      <c r="N98" s="10" t="s">
        <v>766</v>
      </c>
      <c r="P98" s="10" t="s">
        <v>911</v>
      </c>
      <c r="Q98" s="10">
        <v>2</v>
      </c>
      <c r="R98" s="10">
        <v>463</v>
      </c>
      <c r="S98" s="10">
        <v>56</v>
      </c>
      <c r="T98" s="13">
        <v>47</v>
      </c>
      <c r="U98" s="10" t="s">
        <v>641</v>
      </c>
      <c r="V98" s="10" t="s">
        <v>642</v>
      </c>
      <c r="W98" s="12">
        <v>75</v>
      </c>
      <c r="X98" s="12">
        <v>75</v>
      </c>
      <c r="Y98" s="12">
        <v>7</v>
      </c>
      <c r="Z98" s="12">
        <v>8</v>
      </c>
      <c r="AA98" s="15">
        <v>231</v>
      </c>
      <c r="AB98" s="15">
        <v>232</v>
      </c>
      <c r="AC98" s="12">
        <f t="shared" si="114"/>
        <v>0</v>
      </c>
      <c r="AD98" s="12">
        <f t="shared" si="115"/>
        <v>7.5177303077775557</v>
      </c>
      <c r="AE98" s="12">
        <f t="shared" si="116"/>
        <v>0</v>
      </c>
      <c r="AF98" s="12">
        <f t="shared" si="117"/>
        <v>9.2948099262924883E-2</v>
      </c>
      <c r="AG98" s="12" t="s">
        <v>193</v>
      </c>
      <c r="AH98" s="12"/>
      <c r="AI98" s="12" t="s">
        <v>780</v>
      </c>
      <c r="AJ98" s="12" t="s">
        <v>642</v>
      </c>
      <c r="AK98" s="12"/>
      <c r="AL98" s="12"/>
      <c r="AM98" s="10" t="s">
        <v>703</v>
      </c>
      <c r="AN98" s="10" t="s">
        <v>157</v>
      </c>
    </row>
    <row r="99" spans="1:40" s="10" customFormat="1" x14ac:dyDescent="0.2">
      <c r="A99" s="11">
        <v>2011</v>
      </c>
      <c r="B99" s="10">
        <v>21372694</v>
      </c>
      <c r="C99" s="10" t="s">
        <v>122</v>
      </c>
      <c r="E99" s="10" t="s">
        <v>157</v>
      </c>
      <c r="F99" s="10" t="s">
        <v>120</v>
      </c>
      <c r="G99" s="4" t="s">
        <v>1110</v>
      </c>
      <c r="H99" s="4" t="s">
        <v>1110</v>
      </c>
      <c r="I99" s="10">
        <v>7</v>
      </c>
      <c r="J99" s="10" t="s">
        <v>422</v>
      </c>
      <c r="K99" s="10" t="s">
        <v>86</v>
      </c>
      <c r="L99" s="10" t="s">
        <v>156</v>
      </c>
      <c r="M99" s="10" t="s">
        <v>902</v>
      </c>
      <c r="N99" s="10" t="s">
        <v>766</v>
      </c>
      <c r="P99" s="10" t="s">
        <v>911</v>
      </c>
      <c r="Q99" s="10">
        <v>2</v>
      </c>
      <c r="R99" s="10">
        <v>463</v>
      </c>
      <c r="S99" s="10">
        <v>56</v>
      </c>
      <c r="T99" s="13">
        <v>47</v>
      </c>
      <c r="U99" s="10" t="s">
        <v>637</v>
      </c>
      <c r="V99" s="10" t="s">
        <v>642</v>
      </c>
      <c r="W99" s="12">
        <v>120</v>
      </c>
      <c r="X99" s="12">
        <v>120</v>
      </c>
      <c r="Y99" s="12">
        <v>12</v>
      </c>
      <c r="Z99" s="12">
        <v>13</v>
      </c>
      <c r="AA99" s="15">
        <v>231</v>
      </c>
      <c r="AB99" s="15">
        <v>232</v>
      </c>
      <c r="AC99" s="12">
        <f t="shared" si="114"/>
        <v>0</v>
      </c>
      <c r="AD99" s="12">
        <f t="shared" si="115"/>
        <v>12.511079688318752</v>
      </c>
      <c r="AE99" s="12">
        <f t="shared" si="116"/>
        <v>0</v>
      </c>
      <c r="AF99" s="12">
        <f t="shared" si="117"/>
        <v>9.2948099262924883E-2</v>
      </c>
      <c r="AG99" s="12" t="s">
        <v>193</v>
      </c>
      <c r="AH99" s="12"/>
      <c r="AI99" s="12" t="s">
        <v>780</v>
      </c>
      <c r="AJ99" s="12" t="s">
        <v>642</v>
      </c>
      <c r="AK99" s="12"/>
      <c r="AL99" s="12"/>
      <c r="AM99" s="10" t="s">
        <v>703</v>
      </c>
      <c r="AN99" s="10" t="s">
        <v>157</v>
      </c>
    </row>
    <row r="100" spans="1:40" s="10" customFormat="1" x14ac:dyDescent="0.2">
      <c r="A100" s="11">
        <v>2011</v>
      </c>
      <c r="B100" s="10">
        <v>21372694</v>
      </c>
      <c r="C100" s="10" t="s">
        <v>122</v>
      </c>
      <c r="E100" s="10" t="s">
        <v>157</v>
      </c>
      <c r="F100" s="10" t="s">
        <v>120</v>
      </c>
      <c r="G100" s="4" t="s">
        <v>1110</v>
      </c>
      <c r="H100" s="4" t="s">
        <v>1110</v>
      </c>
      <c r="I100" s="10">
        <v>7</v>
      </c>
      <c r="J100" s="10" t="s">
        <v>422</v>
      </c>
      <c r="K100" s="10" t="s">
        <v>86</v>
      </c>
      <c r="L100" s="10" t="s">
        <v>156</v>
      </c>
      <c r="M100" s="10" t="s">
        <v>902</v>
      </c>
      <c r="N100" s="10" t="s">
        <v>766</v>
      </c>
      <c r="P100" s="10" t="s">
        <v>911</v>
      </c>
      <c r="Q100" s="10">
        <v>2</v>
      </c>
      <c r="R100" s="10">
        <v>463</v>
      </c>
      <c r="S100" s="10">
        <v>56</v>
      </c>
      <c r="T100" s="13">
        <v>47</v>
      </c>
      <c r="U100" s="10" t="s">
        <v>644</v>
      </c>
      <c r="V100" s="10" t="s">
        <v>642</v>
      </c>
      <c r="W100" s="12">
        <v>130</v>
      </c>
      <c r="X100" s="12">
        <v>132</v>
      </c>
      <c r="Y100" s="12">
        <v>12</v>
      </c>
      <c r="Z100" s="12">
        <v>13</v>
      </c>
      <c r="AA100" s="15">
        <v>231</v>
      </c>
      <c r="AB100" s="15">
        <v>232</v>
      </c>
      <c r="AC100" s="12">
        <f t="shared" si="114"/>
        <v>-2</v>
      </c>
      <c r="AD100" s="12">
        <f t="shared" si="115"/>
        <v>12.511079688318752</v>
      </c>
      <c r="AE100" s="12">
        <f t="shared" si="116"/>
        <v>-0.15985830558391731</v>
      </c>
      <c r="AF100" s="12">
        <f t="shared" si="117"/>
        <v>9.30964338787275E-2</v>
      </c>
      <c r="AG100" s="12" t="s">
        <v>193</v>
      </c>
      <c r="AH100" s="12"/>
      <c r="AI100" s="12" t="s">
        <v>780</v>
      </c>
      <c r="AJ100" s="12" t="s">
        <v>328</v>
      </c>
      <c r="AK100" s="12"/>
      <c r="AL100" s="12"/>
      <c r="AM100" s="10" t="s">
        <v>703</v>
      </c>
      <c r="AN100" s="10" t="s">
        <v>157</v>
      </c>
    </row>
    <row r="101" spans="1:40" s="10" customFormat="1" x14ac:dyDescent="0.2">
      <c r="A101" s="11">
        <v>2011</v>
      </c>
      <c r="B101" s="10">
        <v>21372694</v>
      </c>
      <c r="C101" s="10" t="s">
        <v>122</v>
      </c>
      <c r="E101" s="10" t="s">
        <v>157</v>
      </c>
      <c r="F101" s="10" t="s">
        <v>120</v>
      </c>
      <c r="G101" s="4" t="s">
        <v>1110</v>
      </c>
      <c r="H101" s="4" t="s">
        <v>1110</v>
      </c>
      <c r="I101" s="10">
        <v>7</v>
      </c>
      <c r="J101" s="10" t="s">
        <v>422</v>
      </c>
      <c r="K101" s="10" t="s">
        <v>86</v>
      </c>
      <c r="L101" s="10" t="s">
        <v>156</v>
      </c>
      <c r="M101" s="10" t="s">
        <v>902</v>
      </c>
      <c r="N101" s="10" t="s">
        <v>766</v>
      </c>
      <c r="P101" s="10" t="s">
        <v>911</v>
      </c>
      <c r="Q101" s="10">
        <v>2</v>
      </c>
      <c r="R101" s="10">
        <v>463</v>
      </c>
      <c r="S101" s="10">
        <v>56</v>
      </c>
      <c r="T101" s="13">
        <v>47</v>
      </c>
      <c r="U101" s="10" t="s">
        <v>640</v>
      </c>
      <c r="V101" s="10" t="s">
        <v>642</v>
      </c>
      <c r="W101" s="12">
        <v>126</v>
      </c>
      <c r="X101" s="12">
        <v>127</v>
      </c>
      <c r="Y101" s="12">
        <v>11</v>
      </c>
      <c r="Z101" s="12">
        <v>12</v>
      </c>
      <c r="AA101" s="15">
        <v>231</v>
      </c>
      <c r="AB101" s="15">
        <v>232</v>
      </c>
      <c r="AC101" s="12">
        <f t="shared" si="114"/>
        <v>-1</v>
      </c>
      <c r="AD101" s="12">
        <f t="shared" si="115"/>
        <v>11.511947957234044</v>
      </c>
      <c r="AE101" s="12">
        <f t="shared" si="116"/>
        <v>-8.6866271782579205E-2</v>
      </c>
      <c r="AF101" s="12">
        <f t="shared" si="117"/>
        <v>9.2991923917065178E-2</v>
      </c>
      <c r="AG101" s="12" t="s">
        <v>193</v>
      </c>
      <c r="AH101" s="12"/>
      <c r="AI101" s="12" t="s">
        <v>780</v>
      </c>
      <c r="AJ101" s="12" t="s">
        <v>328</v>
      </c>
      <c r="AK101" s="12"/>
      <c r="AL101" s="12"/>
      <c r="AM101" s="10" t="s">
        <v>703</v>
      </c>
      <c r="AN101" s="10" t="s">
        <v>157</v>
      </c>
    </row>
    <row r="102" spans="1:40" s="28" customFormat="1" x14ac:dyDescent="0.2">
      <c r="A102" s="28">
        <v>2010</v>
      </c>
      <c r="B102" s="44">
        <v>20653455</v>
      </c>
      <c r="C102" s="28" t="s">
        <v>122</v>
      </c>
      <c r="E102" s="28" t="s">
        <v>157</v>
      </c>
      <c r="F102" s="28" t="s">
        <v>120</v>
      </c>
      <c r="G102" s="4" t="s">
        <v>1110</v>
      </c>
      <c r="H102" s="4" t="s">
        <v>1110</v>
      </c>
      <c r="I102" s="28">
        <v>7</v>
      </c>
      <c r="J102" s="28" t="s">
        <v>872</v>
      </c>
      <c r="K102" s="28" t="s">
        <v>86</v>
      </c>
      <c r="L102" s="28" t="s">
        <v>412</v>
      </c>
      <c r="M102" s="28" t="s">
        <v>902</v>
      </c>
      <c r="N102" s="28" t="s">
        <v>766</v>
      </c>
      <c r="P102" s="28" t="s">
        <v>911</v>
      </c>
      <c r="Q102" s="28">
        <v>2</v>
      </c>
      <c r="R102" s="30">
        <f>AA102+AB102</f>
        <v>102</v>
      </c>
      <c r="S102" s="30">
        <v>56.7</v>
      </c>
      <c r="T102" s="34">
        <v>51.1</v>
      </c>
      <c r="U102" s="28" t="s">
        <v>640</v>
      </c>
      <c r="V102" s="28" t="s">
        <v>635</v>
      </c>
      <c r="W102" s="29">
        <v>123</v>
      </c>
      <c r="X102" s="29">
        <v>113.6</v>
      </c>
      <c r="Y102" s="29">
        <v>13.2</v>
      </c>
      <c r="Z102" s="29">
        <v>11</v>
      </c>
      <c r="AA102" s="30">
        <v>50</v>
      </c>
      <c r="AB102" s="30">
        <v>52</v>
      </c>
      <c r="AC102" s="29">
        <f t="shared" si="114"/>
        <v>9.4000000000000057</v>
      </c>
      <c r="AD102" s="29">
        <f t="shared" si="115"/>
        <v>12.127967678057193</v>
      </c>
      <c r="AE102" s="29">
        <f t="shared" si="116"/>
        <v>0.77506802866956626</v>
      </c>
      <c r="AF102" s="29">
        <f t="shared" si="117"/>
        <v>0.20536680923175632</v>
      </c>
      <c r="AG102" s="29" t="s">
        <v>193</v>
      </c>
      <c r="AH102" s="29"/>
      <c r="AI102" s="29" t="s">
        <v>780</v>
      </c>
      <c r="AJ102" s="29" t="s">
        <v>348</v>
      </c>
      <c r="AK102" s="29"/>
      <c r="AL102" s="29"/>
      <c r="AM102" s="28" t="s">
        <v>704</v>
      </c>
      <c r="AN102" s="28" t="s">
        <v>193</v>
      </c>
    </row>
    <row r="103" spans="1:40" s="28" customFormat="1" x14ac:dyDescent="0.2">
      <c r="A103" s="28">
        <v>2010</v>
      </c>
      <c r="B103" s="28">
        <v>20653455</v>
      </c>
      <c r="C103" s="28" t="s">
        <v>122</v>
      </c>
      <c r="E103" s="28" t="s">
        <v>157</v>
      </c>
      <c r="F103" s="28" t="s">
        <v>120</v>
      </c>
      <c r="G103" s="4" t="s">
        <v>1110</v>
      </c>
      <c r="H103" s="4" t="s">
        <v>1110</v>
      </c>
      <c r="I103" s="28">
        <v>7</v>
      </c>
      <c r="J103" s="28" t="s">
        <v>872</v>
      </c>
      <c r="K103" s="28" t="s">
        <v>86</v>
      </c>
      <c r="L103" s="28" t="s">
        <v>412</v>
      </c>
      <c r="M103" s="28" t="s">
        <v>902</v>
      </c>
      <c r="N103" s="28" t="s">
        <v>766</v>
      </c>
      <c r="P103" s="28" t="s">
        <v>911</v>
      </c>
      <c r="Q103" s="28">
        <v>2</v>
      </c>
      <c r="R103" s="30">
        <f t="shared" ref="R103:R107" si="118">AA103+AB103</f>
        <v>102</v>
      </c>
      <c r="S103" s="30">
        <v>56.7</v>
      </c>
      <c r="T103" s="34">
        <v>51.1</v>
      </c>
      <c r="U103" s="28" t="s">
        <v>641</v>
      </c>
      <c r="V103" s="28" t="s">
        <v>635</v>
      </c>
      <c r="W103" s="29">
        <v>73.099999999999994</v>
      </c>
      <c r="X103" s="29">
        <v>67.099999999999994</v>
      </c>
      <c r="Y103" s="29">
        <v>6.7</v>
      </c>
      <c r="Z103" s="29">
        <v>8.3000000000000007</v>
      </c>
      <c r="AA103" s="30">
        <v>50</v>
      </c>
      <c r="AB103" s="30">
        <v>52</v>
      </c>
      <c r="AC103" s="29">
        <f t="shared" si="114"/>
        <v>6</v>
      </c>
      <c r="AD103" s="29">
        <f t="shared" si="115"/>
        <v>7.5584389922787638</v>
      </c>
      <c r="AE103" s="29">
        <f t="shared" si="116"/>
        <v>0.79381470249733188</v>
      </c>
      <c r="AF103" s="29">
        <f t="shared" si="117"/>
        <v>0.20571752364396464</v>
      </c>
      <c r="AG103" s="29" t="s">
        <v>193</v>
      </c>
      <c r="AH103" s="29"/>
      <c r="AI103" s="29" t="s">
        <v>780</v>
      </c>
      <c r="AJ103" s="29" t="s">
        <v>348</v>
      </c>
      <c r="AK103" s="29"/>
      <c r="AL103" s="29"/>
      <c r="AM103" s="28" t="s">
        <v>704</v>
      </c>
      <c r="AN103" s="28" t="s">
        <v>193</v>
      </c>
    </row>
    <row r="104" spans="1:40" s="28" customFormat="1" x14ac:dyDescent="0.2">
      <c r="A104" s="28">
        <v>2010</v>
      </c>
      <c r="B104" s="28">
        <v>20653455</v>
      </c>
      <c r="C104" s="28" t="s">
        <v>122</v>
      </c>
      <c r="E104" s="28" t="s">
        <v>157</v>
      </c>
      <c r="F104" s="28" t="s">
        <v>120</v>
      </c>
      <c r="G104" s="4" t="s">
        <v>1110</v>
      </c>
      <c r="H104" s="4" t="s">
        <v>1110</v>
      </c>
      <c r="I104" s="28">
        <v>7</v>
      </c>
      <c r="J104" s="28" t="s">
        <v>872</v>
      </c>
      <c r="K104" s="28" t="s">
        <v>86</v>
      </c>
      <c r="L104" s="28" t="s">
        <v>412</v>
      </c>
      <c r="M104" s="28" t="s">
        <v>902</v>
      </c>
      <c r="N104" s="28" t="s">
        <v>766</v>
      </c>
      <c r="P104" s="28" t="s">
        <v>911</v>
      </c>
      <c r="Q104" s="28">
        <v>2</v>
      </c>
      <c r="R104" s="30">
        <f t="shared" si="118"/>
        <v>102</v>
      </c>
      <c r="S104" s="30">
        <v>56.7</v>
      </c>
      <c r="T104" s="34">
        <v>51.1</v>
      </c>
      <c r="U104" s="28" t="s">
        <v>644</v>
      </c>
      <c r="V104" s="28" t="s">
        <v>635</v>
      </c>
      <c r="W104" s="29">
        <v>126.3</v>
      </c>
      <c r="X104" s="29">
        <v>121.1</v>
      </c>
      <c r="Y104" s="29">
        <v>14.5</v>
      </c>
      <c r="Z104" s="29">
        <v>12.1</v>
      </c>
      <c r="AA104" s="30">
        <v>50</v>
      </c>
      <c r="AB104" s="30">
        <v>52</v>
      </c>
      <c r="AC104" s="29">
        <f t="shared" ref="AC104:AC107" si="119">W104-X104</f>
        <v>5.2000000000000028</v>
      </c>
      <c r="AD104" s="29">
        <f t="shared" ref="AD104:AD107" si="120">SQRT(((AA104-1)*Y104^2+(AB104-1)*Z104^2)/(AA104+AB104-2))</f>
        <v>13.33010127493411</v>
      </c>
      <c r="AE104" s="29">
        <f t="shared" ref="AE104:AE107" si="121">AC104/AD104</f>
        <v>0.3900945606300884</v>
      </c>
      <c r="AF104" s="29">
        <f t="shared" ref="AF104:AF107" si="122">SQRT(((AA104+AB104)/(AA104*AB104)+(AE104^2/(2*(AA104+AB104)))))</f>
        <v>0.19994178919186856</v>
      </c>
      <c r="AG104" s="29" t="s">
        <v>193</v>
      </c>
      <c r="AH104" s="29"/>
      <c r="AI104" s="29" t="s">
        <v>780</v>
      </c>
      <c r="AJ104" s="29" t="s">
        <v>348</v>
      </c>
      <c r="AK104" s="29"/>
      <c r="AL104" s="29"/>
      <c r="AM104" s="28" t="s">
        <v>704</v>
      </c>
      <c r="AN104" s="28" t="s">
        <v>193</v>
      </c>
    </row>
    <row r="105" spans="1:40" s="28" customFormat="1" x14ac:dyDescent="0.2">
      <c r="A105" s="28">
        <v>2010</v>
      </c>
      <c r="B105" s="28">
        <v>20653455</v>
      </c>
      <c r="C105" s="28" t="s">
        <v>122</v>
      </c>
      <c r="E105" s="28" t="s">
        <v>157</v>
      </c>
      <c r="F105" s="28" t="s">
        <v>120</v>
      </c>
      <c r="G105" s="4" t="s">
        <v>1110</v>
      </c>
      <c r="H105" s="4" t="s">
        <v>1110</v>
      </c>
      <c r="I105" s="28">
        <v>7</v>
      </c>
      <c r="J105" s="28" t="s">
        <v>872</v>
      </c>
      <c r="K105" s="28" t="s">
        <v>86</v>
      </c>
      <c r="L105" s="28" t="s">
        <v>412</v>
      </c>
      <c r="M105" s="28" t="s">
        <v>902</v>
      </c>
      <c r="N105" s="28" t="s">
        <v>766</v>
      </c>
      <c r="P105" s="28" t="s">
        <v>911</v>
      </c>
      <c r="Q105" s="28">
        <v>2</v>
      </c>
      <c r="R105" s="30">
        <f t="shared" si="118"/>
        <v>102</v>
      </c>
      <c r="S105" s="30">
        <v>56.7</v>
      </c>
      <c r="T105" s="34">
        <v>51.1</v>
      </c>
      <c r="U105" s="28" t="s">
        <v>645</v>
      </c>
      <c r="V105" s="28" t="s">
        <v>635</v>
      </c>
      <c r="W105" s="29">
        <v>75.7</v>
      </c>
      <c r="X105" s="29">
        <v>72.7</v>
      </c>
      <c r="Y105" s="29">
        <v>7.6</v>
      </c>
      <c r="Z105" s="29">
        <v>9.4</v>
      </c>
      <c r="AA105" s="30">
        <v>50</v>
      </c>
      <c r="AB105" s="30">
        <v>52</v>
      </c>
      <c r="AC105" s="29">
        <f t="shared" si="119"/>
        <v>3</v>
      </c>
      <c r="AD105" s="29">
        <f t="shared" si="120"/>
        <v>8.5653954958308844</v>
      </c>
      <c r="AE105" s="29">
        <f t="shared" si="121"/>
        <v>0.35024652410507118</v>
      </c>
      <c r="AF105" s="29">
        <f t="shared" si="122"/>
        <v>0.19957982272967098</v>
      </c>
      <c r="AG105" s="29" t="s">
        <v>193</v>
      </c>
      <c r="AH105" s="29"/>
      <c r="AI105" s="29" t="s">
        <v>780</v>
      </c>
      <c r="AJ105" s="29" t="s">
        <v>348</v>
      </c>
      <c r="AK105" s="29"/>
      <c r="AL105" s="29"/>
      <c r="AM105" s="28" t="s">
        <v>704</v>
      </c>
      <c r="AN105" s="28" t="s">
        <v>193</v>
      </c>
    </row>
    <row r="106" spans="1:40" s="28" customFormat="1" x14ac:dyDescent="0.2">
      <c r="A106" s="28">
        <v>2010</v>
      </c>
      <c r="B106" s="28">
        <v>20653455</v>
      </c>
      <c r="C106" s="28" t="s">
        <v>122</v>
      </c>
      <c r="E106" s="28" t="s">
        <v>157</v>
      </c>
      <c r="F106" s="28" t="s">
        <v>120</v>
      </c>
      <c r="G106" s="4" t="s">
        <v>1110</v>
      </c>
      <c r="H106" s="4" t="s">
        <v>1110</v>
      </c>
      <c r="I106" s="28">
        <v>7</v>
      </c>
      <c r="J106" s="28" t="s">
        <v>872</v>
      </c>
      <c r="K106" s="28" t="s">
        <v>86</v>
      </c>
      <c r="L106" s="28" t="s">
        <v>412</v>
      </c>
      <c r="M106" s="28" t="s">
        <v>902</v>
      </c>
      <c r="N106" s="28" t="s">
        <v>766</v>
      </c>
      <c r="P106" s="28" t="s">
        <v>911</v>
      </c>
      <c r="Q106" s="28">
        <v>2</v>
      </c>
      <c r="R106" s="30">
        <f t="shared" si="118"/>
        <v>102</v>
      </c>
      <c r="S106" s="30">
        <v>56.7</v>
      </c>
      <c r="T106" s="34">
        <v>51.1</v>
      </c>
      <c r="U106" s="28" t="s">
        <v>637</v>
      </c>
      <c r="V106" s="28" t="s">
        <v>635</v>
      </c>
      <c r="W106" s="29">
        <v>116.7</v>
      </c>
      <c r="X106" s="29">
        <v>103</v>
      </c>
      <c r="Y106" s="29">
        <v>11.9</v>
      </c>
      <c r="Z106" s="29">
        <v>10.7</v>
      </c>
      <c r="AA106" s="30">
        <v>50</v>
      </c>
      <c r="AB106" s="30">
        <v>52</v>
      </c>
      <c r="AC106" s="29">
        <f t="shared" si="119"/>
        <v>13.700000000000003</v>
      </c>
      <c r="AD106" s="29">
        <f t="shared" si="120"/>
        <v>11.303928520651571</v>
      </c>
      <c r="AE106" s="29">
        <f t="shared" si="121"/>
        <v>1.2119680317308235</v>
      </c>
      <c r="AF106" s="29">
        <f t="shared" si="122"/>
        <v>0.21547875825675847</v>
      </c>
      <c r="AG106" s="29" t="s">
        <v>193</v>
      </c>
      <c r="AH106" s="29" t="s">
        <v>193</v>
      </c>
      <c r="AI106" s="29" t="s">
        <v>780</v>
      </c>
      <c r="AJ106" s="29" t="s">
        <v>348</v>
      </c>
      <c r="AK106" s="29"/>
      <c r="AL106" s="29"/>
      <c r="AM106" s="28" t="s">
        <v>704</v>
      </c>
      <c r="AN106" s="28" t="s">
        <v>193</v>
      </c>
    </row>
    <row r="107" spans="1:40" s="28" customFormat="1" x14ac:dyDescent="0.2">
      <c r="A107" s="28">
        <v>2010</v>
      </c>
      <c r="B107" s="28">
        <v>20653455</v>
      </c>
      <c r="C107" s="28" t="s">
        <v>122</v>
      </c>
      <c r="E107" s="28" t="s">
        <v>157</v>
      </c>
      <c r="F107" s="28" t="s">
        <v>120</v>
      </c>
      <c r="G107" s="4" t="s">
        <v>1110</v>
      </c>
      <c r="H107" s="4" t="s">
        <v>1110</v>
      </c>
      <c r="I107" s="28">
        <v>7</v>
      </c>
      <c r="J107" s="28" t="s">
        <v>872</v>
      </c>
      <c r="K107" s="28" t="s">
        <v>86</v>
      </c>
      <c r="L107" s="28" t="s">
        <v>412</v>
      </c>
      <c r="M107" s="28" t="s">
        <v>902</v>
      </c>
      <c r="N107" s="28" t="s">
        <v>766</v>
      </c>
      <c r="P107" s="28" t="s">
        <v>911</v>
      </c>
      <c r="Q107" s="28">
        <v>2</v>
      </c>
      <c r="R107" s="30">
        <f t="shared" si="118"/>
        <v>102</v>
      </c>
      <c r="S107" s="30">
        <v>56.7</v>
      </c>
      <c r="T107" s="34">
        <v>51.1</v>
      </c>
      <c r="U107" s="28" t="s">
        <v>638</v>
      </c>
      <c r="V107" s="28" t="s">
        <v>635</v>
      </c>
      <c r="W107" s="29">
        <v>67.099999999999994</v>
      </c>
      <c r="X107" s="29">
        <v>61.3</v>
      </c>
      <c r="Y107" s="29">
        <v>6.9</v>
      </c>
      <c r="Z107" s="29">
        <v>6.9</v>
      </c>
      <c r="AA107" s="30">
        <v>50</v>
      </c>
      <c r="AB107" s="30">
        <v>52</v>
      </c>
      <c r="AC107" s="29">
        <f t="shared" si="119"/>
        <v>5.7999999999999972</v>
      </c>
      <c r="AD107" s="29">
        <f t="shared" si="120"/>
        <v>6.9</v>
      </c>
      <c r="AE107" s="29">
        <f t="shared" si="121"/>
        <v>0.84057971014492705</v>
      </c>
      <c r="AF107" s="29">
        <f t="shared" si="122"/>
        <v>0.20662615635756107</v>
      </c>
      <c r="AG107" s="29" t="s">
        <v>193</v>
      </c>
      <c r="AH107" s="29"/>
      <c r="AI107" s="29" t="s">
        <v>780</v>
      </c>
      <c r="AJ107" s="29" t="s">
        <v>348</v>
      </c>
      <c r="AK107" s="29"/>
      <c r="AL107" s="29"/>
      <c r="AM107" s="28" t="s">
        <v>704</v>
      </c>
      <c r="AN107" s="28" t="s">
        <v>193</v>
      </c>
    </row>
    <row r="108" spans="1:40" s="10" customFormat="1" x14ac:dyDescent="0.2">
      <c r="A108" s="11">
        <v>2010</v>
      </c>
      <c r="B108" s="43">
        <v>20828223</v>
      </c>
      <c r="C108" s="10" t="s">
        <v>119</v>
      </c>
      <c r="E108" s="10" t="s">
        <v>157</v>
      </c>
      <c r="F108" s="10" t="s">
        <v>120</v>
      </c>
      <c r="G108" s="4" t="s">
        <v>1110</v>
      </c>
      <c r="H108" s="4" t="s">
        <v>1110</v>
      </c>
      <c r="I108" s="10">
        <v>13</v>
      </c>
      <c r="J108" s="10" t="s">
        <v>876</v>
      </c>
      <c r="K108" s="10" t="s">
        <v>86</v>
      </c>
      <c r="L108" s="10" t="s">
        <v>220</v>
      </c>
      <c r="M108" s="10" t="s">
        <v>903</v>
      </c>
      <c r="N108" s="10" t="s">
        <v>766</v>
      </c>
      <c r="P108" s="10" t="s">
        <v>911</v>
      </c>
      <c r="Q108" s="10">
        <v>2</v>
      </c>
      <c r="R108" s="10">
        <v>31</v>
      </c>
      <c r="S108" s="10">
        <v>69</v>
      </c>
      <c r="T108" s="13">
        <v>61</v>
      </c>
      <c r="U108" s="10" t="s">
        <v>640</v>
      </c>
      <c r="V108" s="10" t="s">
        <v>642</v>
      </c>
      <c r="W108" s="12">
        <v>132.19999999999999</v>
      </c>
      <c r="X108" s="12">
        <v>131.6</v>
      </c>
      <c r="Y108" s="12">
        <v>12.2</v>
      </c>
      <c r="Z108" s="12">
        <v>15.2</v>
      </c>
      <c r="AA108" s="15">
        <v>31</v>
      </c>
      <c r="AB108" s="15">
        <v>31</v>
      </c>
      <c r="AC108" s="12">
        <f t="shared" ref="AC108:AC120" si="123">W108-X108</f>
        <v>0.59999999999999432</v>
      </c>
      <c r="AD108" s="12">
        <f t="shared" ref="AD108:AD120" si="124">SQRT(((AA108-1)*Y108^2+(AB108-1)*Z108^2)/(AA108+AB108-2))</f>
        <v>13.781872151489432</v>
      </c>
      <c r="AE108" s="12">
        <f t="shared" ref="AE108:AE120" si="125">AC108/AD108</f>
        <v>4.3535449567724455E-2</v>
      </c>
      <c r="AF108" s="12">
        <f t="shared" ref="AF108:AF120" si="126">SQRT(((AA108+AB108)/(AA108*AB108)+(AE108^2/(2*(AA108+AB108)))))</f>
        <v>0.25403034069754699</v>
      </c>
      <c r="AG108" s="12" t="s">
        <v>193</v>
      </c>
      <c r="AH108" s="12"/>
      <c r="AI108" s="12" t="s">
        <v>780</v>
      </c>
      <c r="AJ108" s="12" t="s">
        <v>348</v>
      </c>
      <c r="AK108" s="12" t="s">
        <v>842</v>
      </c>
      <c r="AL108" s="12"/>
      <c r="AM108" s="10" t="s">
        <v>705</v>
      </c>
      <c r="AN108" s="10" t="s">
        <v>157</v>
      </c>
    </row>
    <row r="109" spans="1:40" s="10" customFormat="1" x14ac:dyDescent="0.2">
      <c r="A109" s="11">
        <v>2010</v>
      </c>
      <c r="B109" s="10">
        <v>20828223</v>
      </c>
      <c r="C109" s="10" t="s">
        <v>119</v>
      </c>
      <c r="E109" s="10" t="s">
        <v>157</v>
      </c>
      <c r="F109" s="10" t="s">
        <v>120</v>
      </c>
      <c r="G109" s="4" t="s">
        <v>1110</v>
      </c>
      <c r="H109" s="4" t="s">
        <v>1110</v>
      </c>
      <c r="I109" s="10">
        <v>13</v>
      </c>
      <c r="J109" s="10" t="s">
        <v>876</v>
      </c>
      <c r="K109" s="10" t="s">
        <v>86</v>
      </c>
      <c r="L109" s="10" t="s">
        <v>220</v>
      </c>
      <c r="M109" s="10" t="s">
        <v>903</v>
      </c>
      <c r="N109" s="10" t="s">
        <v>766</v>
      </c>
      <c r="P109" s="10" t="s">
        <v>911</v>
      </c>
      <c r="Q109" s="10">
        <v>2</v>
      </c>
      <c r="R109" s="10">
        <v>31</v>
      </c>
      <c r="S109" s="10">
        <v>69</v>
      </c>
      <c r="T109" s="13">
        <v>61</v>
      </c>
      <c r="U109" s="10" t="s">
        <v>641</v>
      </c>
      <c r="V109" s="10" t="s">
        <v>642</v>
      </c>
      <c r="W109" s="12">
        <v>79.5</v>
      </c>
      <c r="X109" s="12">
        <v>78.400000000000006</v>
      </c>
      <c r="Y109" s="12">
        <v>8.3000000000000007</v>
      </c>
      <c r="Z109" s="12">
        <v>9.6</v>
      </c>
      <c r="AA109" s="15">
        <v>31</v>
      </c>
      <c r="AB109" s="15">
        <v>31</v>
      </c>
      <c r="AC109" s="12">
        <f t="shared" ref="AC109:AC116" si="127">W109-X109</f>
        <v>1.0999999999999943</v>
      </c>
      <c r="AD109" s="12">
        <f t="shared" ref="AD109:AD116" si="128">SQRT(((AA109-1)*Y109^2+(AB109-1)*Z109^2)/(AA109+AB109-2))</f>
        <v>8.973572309844057</v>
      </c>
      <c r="AE109" s="12">
        <f t="shared" ref="AE109:AE116" si="129">AC109/AD109</f>
        <v>0.12258217374515258</v>
      </c>
      <c r="AF109" s="12">
        <f t="shared" ref="AF109:AF116" si="130">SQRT(((AA109+AB109)/(AA109*AB109)+(AE109^2/(2*(AA109+AB109)))))</f>
        <v>0.25423868626015794</v>
      </c>
      <c r="AG109" s="12" t="s">
        <v>193</v>
      </c>
      <c r="AH109" s="12"/>
      <c r="AI109" s="12" t="s">
        <v>780</v>
      </c>
      <c r="AJ109" s="12" t="s">
        <v>348</v>
      </c>
      <c r="AK109" s="12" t="s">
        <v>842</v>
      </c>
      <c r="AL109" s="12"/>
      <c r="AM109" s="10" t="s">
        <v>705</v>
      </c>
      <c r="AN109" s="10" t="s">
        <v>157</v>
      </c>
    </row>
    <row r="110" spans="1:40" s="10" customFormat="1" x14ac:dyDescent="0.2">
      <c r="A110" s="11">
        <v>2010</v>
      </c>
      <c r="B110" s="10">
        <v>20828223</v>
      </c>
      <c r="C110" s="10" t="s">
        <v>119</v>
      </c>
      <c r="E110" s="10" t="s">
        <v>157</v>
      </c>
      <c r="F110" s="10" t="s">
        <v>120</v>
      </c>
      <c r="G110" s="4" t="s">
        <v>1110</v>
      </c>
      <c r="H110" s="4" t="s">
        <v>1110</v>
      </c>
      <c r="I110" s="10">
        <v>13</v>
      </c>
      <c r="J110" s="10" t="s">
        <v>876</v>
      </c>
      <c r="K110" s="10" t="s">
        <v>86</v>
      </c>
      <c r="L110" s="10" t="s">
        <v>220</v>
      </c>
      <c r="M110" s="10" t="s">
        <v>903</v>
      </c>
      <c r="N110" s="10" t="s">
        <v>766</v>
      </c>
      <c r="P110" s="10" t="s">
        <v>911</v>
      </c>
      <c r="Q110" s="10">
        <v>2</v>
      </c>
      <c r="R110" s="10">
        <v>31</v>
      </c>
      <c r="S110" s="10">
        <v>69</v>
      </c>
      <c r="T110" s="13">
        <v>61</v>
      </c>
      <c r="U110" s="10" t="s">
        <v>775</v>
      </c>
      <c r="V110" s="10" t="s">
        <v>642</v>
      </c>
      <c r="W110" s="12">
        <v>76.5</v>
      </c>
      <c r="X110" s="12">
        <v>79.2</v>
      </c>
      <c r="Y110" s="12">
        <v>10.199999999999999</v>
      </c>
      <c r="Z110" s="12">
        <v>12.7</v>
      </c>
      <c r="AA110" s="15">
        <v>31</v>
      </c>
      <c r="AB110" s="15">
        <v>31</v>
      </c>
      <c r="AC110" s="12">
        <f t="shared" si="127"/>
        <v>-2.7000000000000028</v>
      </c>
      <c r="AD110" s="12">
        <f t="shared" si="128"/>
        <v>11.518029345335078</v>
      </c>
      <c r="AE110" s="12">
        <f t="shared" si="129"/>
        <v>-0.23441509993144191</v>
      </c>
      <c r="AF110" s="12">
        <f t="shared" si="130"/>
        <v>0.25487110023398651</v>
      </c>
      <c r="AG110" s="12" t="s">
        <v>193</v>
      </c>
      <c r="AH110" s="12" t="s">
        <v>193</v>
      </c>
      <c r="AI110" s="12" t="s">
        <v>780</v>
      </c>
      <c r="AJ110" s="12" t="s">
        <v>328</v>
      </c>
      <c r="AK110" s="12" t="s">
        <v>842</v>
      </c>
      <c r="AL110" s="12"/>
      <c r="AM110" s="10" t="s">
        <v>705</v>
      </c>
      <c r="AN110" s="10" t="s">
        <v>157</v>
      </c>
    </row>
    <row r="111" spans="1:40" s="10" customFormat="1" x14ac:dyDescent="0.2">
      <c r="A111" s="11">
        <v>2010</v>
      </c>
      <c r="B111" s="10">
        <v>20828223</v>
      </c>
      <c r="C111" s="10" t="s">
        <v>119</v>
      </c>
      <c r="E111" s="10" t="s">
        <v>157</v>
      </c>
      <c r="F111" s="10" t="s">
        <v>120</v>
      </c>
      <c r="G111" s="4" t="s">
        <v>1110</v>
      </c>
      <c r="H111" s="4" t="s">
        <v>1110</v>
      </c>
      <c r="I111" s="10">
        <v>13</v>
      </c>
      <c r="J111" s="10" t="s">
        <v>876</v>
      </c>
      <c r="K111" s="10" t="s">
        <v>86</v>
      </c>
      <c r="L111" s="10" t="s">
        <v>220</v>
      </c>
      <c r="M111" s="10" t="s">
        <v>903</v>
      </c>
      <c r="N111" s="10" t="s">
        <v>766</v>
      </c>
      <c r="P111" s="10" t="s">
        <v>911</v>
      </c>
      <c r="Q111" s="10">
        <v>2</v>
      </c>
      <c r="R111" s="10">
        <v>31</v>
      </c>
      <c r="S111" s="10">
        <v>69</v>
      </c>
      <c r="T111" s="13">
        <v>61</v>
      </c>
      <c r="U111" s="10" t="s">
        <v>644</v>
      </c>
      <c r="V111" s="10" t="s">
        <v>642</v>
      </c>
      <c r="W111" s="12">
        <v>135.9</v>
      </c>
      <c r="X111" s="12">
        <v>135.19999999999999</v>
      </c>
      <c r="Y111" s="12">
        <v>12.2</v>
      </c>
      <c r="Z111" s="12">
        <v>15.3</v>
      </c>
      <c r="AA111" s="15">
        <v>31</v>
      </c>
      <c r="AB111" s="15">
        <v>31</v>
      </c>
      <c r="AC111" s="12">
        <f t="shared" si="127"/>
        <v>0.70000000000001705</v>
      </c>
      <c r="AD111" s="12">
        <f t="shared" si="128"/>
        <v>13.837087843907041</v>
      </c>
      <c r="AE111" s="12">
        <f t="shared" si="129"/>
        <v>5.0588679344711382E-2</v>
      </c>
      <c r="AF111" s="12">
        <f t="shared" si="130"/>
        <v>0.25404087832215561</v>
      </c>
      <c r="AG111" s="12" t="s">
        <v>193</v>
      </c>
      <c r="AH111" s="12"/>
      <c r="AI111" s="12" t="s">
        <v>780</v>
      </c>
      <c r="AJ111" s="12" t="s">
        <v>348</v>
      </c>
      <c r="AK111" s="12" t="s">
        <v>842</v>
      </c>
      <c r="AL111" s="12"/>
      <c r="AM111" s="10" t="s">
        <v>705</v>
      </c>
      <c r="AN111" s="10" t="s">
        <v>157</v>
      </c>
    </row>
    <row r="112" spans="1:40" s="10" customFormat="1" x14ac:dyDescent="0.2">
      <c r="A112" s="11">
        <v>2010</v>
      </c>
      <c r="B112" s="10">
        <v>20828223</v>
      </c>
      <c r="C112" s="10" t="s">
        <v>119</v>
      </c>
      <c r="E112" s="10" t="s">
        <v>157</v>
      </c>
      <c r="F112" s="10" t="s">
        <v>120</v>
      </c>
      <c r="G112" s="4" t="s">
        <v>1110</v>
      </c>
      <c r="H112" s="4" t="s">
        <v>1110</v>
      </c>
      <c r="I112" s="10">
        <v>13</v>
      </c>
      <c r="J112" s="10" t="s">
        <v>876</v>
      </c>
      <c r="K112" s="10" t="s">
        <v>86</v>
      </c>
      <c r="L112" s="10" t="s">
        <v>220</v>
      </c>
      <c r="M112" s="10" t="s">
        <v>903</v>
      </c>
      <c r="N112" s="10" t="s">
        <v>766</v>
      </c>
      <c r="P112" s="10" t="s">
        <v>911</v>
      </c>
      <c r="Q112" s="10">
        <v>2</v>
      </c>
      <c r="R112" s="10">
        <v>31</v>
      </c>
      <c r="S112" s="10">
        <v>69</v>
      </c>
      <c r="T112" s="13">
        <v>61</v>
      </c>
      <c r="U112" s="10" t="s">
        <v>645</v>
      </c>
      <c r="V112" s="10" t="s">
        <v>642</v>
      </c>
      <c r="W112" s="12">
        <v>81.599999999999994</v>
      </c>
      <c r="X112" s="12">
        <v>80.3</v>
      </c>
      <c r="Y112" s="12">
        <v>8.1999999999999993</v>
      </c>
      <c r="Z112" s="12">
        <v>9.8000000000000007</v>
      </c>
      <c r="AA112" s="15">
        <v>31</v>
      </c>
      <c r="AB112" s="15">
        <v>31</v>
      </c>
      <c r="AC112" s="12">
        <f t="shared" si="127"/>
        <v>1.2999999999999972</v>
      </c>
      <c r="AD112" s="12">
        <f t="shared" si="128"/>
        <v>9.0354855984612144</v>
      </c>
      <c r="AE112" s="12">
        <f t="shared" si="129"/>
        <v>0.14387715921116551</v>
      </c>
      <c r="AF112" s="12">
        <f t="shared" si="130"/>
        <v>0.25432866463055931</v>
      </c>
      <c r="AG112" s="12" t="s">
        <v>193</v>
      </c>
      <c r="AH112" s="12"/>
      <c r="AI112" s="12" t="s">
        <v>780</v>
      </c>
      <c r="AJ112" s="12" t="s">
        <v>348</v>
      </c>
      <c r="AK112" s="12" t="s">
        <v>842</v>
      </c>
      <c r="AL112" s="12"/>
      <c r="AM112" s="10" t="s">
        <v>705</v>
      </c>
      <c r="AN112" s="10" t="s">
        <v>157</v>
      </c>
    </row>
    <row r="113" spans="1:40" s="10" customFormat="1" x14ac:dyDescent="0.2">
      <c r="A113" s="11">
        <v>2010</v>
      </c>
      <c r="B113" s="10">
        <v>20828223</v>
      </c>
      <c r="C113" s="10" t="s">
        <v>119</v>
      </c>
      <c r="E113" s="10" t="s">
        <v>157</v>
      </c>
      <c r="F113" s="10" t="s">
        <v>120</v>
      </c>
      <c r="G113" s="4" t="s">
        <v>1110</v>
      </c>
      <c r="H113" s="4" t="s">
        <v>1110</v>
      </c>
      <c r="I113" s="10">
        <v>13</v>
      </c>
      <c r="J113" s="10" t="s">
        <v>876</v>
      </c>
      <c r="K113" s="10" t="s">
        <v>86</v>
      </c>
      <c r="L113" s="10" t="s">
        <v>220</v>
      </c>
      <c r="M113" s="10" t="s">
        <v>903</v>
      </c>
      <c r="N113" s="10" t="s">
        <v>766</v>
      </c>
      <c r="P113" s="10" t="s">
        <v>911</v>
      </c>
      <c r="Q113" s="10">
        <v>2</v>
      </c>
      <c r="R113" s="10">
        <v>31</v>
      </c>
      <c r="S113" s="10">
        <v>69</v>
      </c>
      <c r="T113" s="13">
        <v>61</v>
      </c>
      <c r="U113" s="10" t="s">
        <v>776</v>
      </c>
      <c r="V113" s="10" t="s">
        <v>642</v>
      </c>
      <c r="W113" s="12">
        <v>70.599999999999994</v>
      </c>
      <c r="X113" s="12">
        <v>71.3</v>
      </c>
      <c r="Y113" s="12">
        <v>7</v>
      </c>
      <c r="Z113" s="12">
        <v>7.5</v>
      </c>
      <c r="AA113" s="15">
        <v>31</v>
      </c>
      <c r="AB113" s="15">
        <v>31</v>
      </c>
      <c r="AC113" s="12">
        <f t="shared" si="127"/>
        <v>-0.70000000000000284</v>
      </c>
      <c r="AD113" s="12">
        <f t="shared" si="128"/>
        <v>7.2543090642734542</v>
      </c>
      <c r="AE113" s="12">
        <f t="shared" si="129"/>
        <v>-9.6494372351381252E-2</v>
      </c>
      <c r="AF113" s="12">
        <f t="shared" si="130"/>
        <v>0.25414802588978197</v>
      </c>
      <c r="AG113" s="12" t="s">
        <v>157</v>
      </c>
      <c r="AH113" s="12"/>
      <c r="AI113" s="12" t="s">
        <v>780</v>
      </c>
      <c r="AJ113" s="12" t="s">
        <v>328</v>
      </c>
      <c r="AK113" s="12" t="s">
        <v>842</v>
      </c>
      <c r="AL113" s="12"/>
      <c r="AM113" s="10" t="s">
        <v>705</v>
      </c>
      <c r="AN113" s="10" t="s">
        <v>157</v>
      </c>
    </row>
    <row r="114" spans="1:40" s="10" customFormat="1" x14ac:dyDescent="0.2">
      <c r="A114" s="11">
        <v>2010</v>
      </c>
      <c r="B114" s="10">
        <v>20828223</v>
      </c>
      <c r="C114" s="10" t="s">
        <v>119</v>
      </c>
      <c r="E114" s="10" t="s">
        <v>157</v>
      </c>
      <c r="F114" s="10" t="s">
        <v>120</v>
      </c>
      <c r="G114" s="4" t="s">
        <v>1110</v>
      </c>
      <c r="H114" s="4" t="s">
        <v>1110</v>
      </c>
      <c r="I114" s="10">
        <v>13</v>
      </c>
      <c r="J114" s="10" t="s">
        <v>876</v>
      </c>
      <c r="K114" s="10" t="s">
        <v>86</v>
      </c>
      <c r="L114" s="10" t="s">
        <v>220</v>
      </c>
      <c r="M114" s="10" t="s">
        <v>903</v>
      </c>
      <c r="N114" s="10" t="s">
        <v>766</v>
      </c>
      <c r="P114" s="10" t="s">
        <v>911</v>
      </c>
      <c r="Q114" s="10">
        <v>2</v>
      </c>
      <c r="R114" s="10">
        <v>31</v>
      </c>
      <c r="S114" s="10">
        <v>69</v>
      </c>
      <c r="T114" s="13">
        <v>61</v>
      </c>
      <c r="U114" s="10" t="s">
        <v>637</v>
      </c>
      <c r="V114" s="10" t="s">
        <v>642</v>
      </c>
      <c r="W114" s="12">
        <v>118.8</v>
      </c>
      <c r="X114" s="12">
        <v>117.8</v>
      </c>
      <c r="Y114" s="12">
        <v>17.399999999999999</v>
      </c>
      <c r="Z114" s="12">
        <v>17.8</v>
      </c>
      <c r="AA114" s="15">
        <v>31</v>
      </c>
      <c r="AB114" s="15">
        <v>31</v>
      </c>
      <c r="AC114" s="12">
        <f t="shared" si="127"/>
        <v>1</v>
      </c>
      <c r="AD114" s="12">
        <f t="shared" si="128"/>
        <v>17.601136326953441</v>
      </c>
      <c r="AE114" s="12">
        <f t="shared" si="129"/>
        <v>5.6814513644136339E-2</v>
      </c>
      <c r="AF114" s="12">
        <f t="shared" si="130"/>
        <v>0.25405149162097768</v>
      </c>
      <c r="AG114" s="12" t="s">
        <v>193</v>
      </c>
      <c r="AH114" s="12"/>
      <c r="AI114" s="12" t="s">
        <v>780</v>
      </c>
      <c r="AJ114" s="12" t="s">
        <v>348</v>
      </c>
      <c r="AK114" s="12" t="s">
        <v>842</v>
      </c>
      <c r="AL114" s="12"/>
      <c r="AM114" s="10" t="s">
        <v>705</v>
      </c>
      <c r="AN114" s="10" t="s">
        <v>157</v>
      </c>
    </row>
    <row r="115" spans="1:40" s="10" customFormat="1" x14ac:dyDescent="0.2">
      <c r="A115" s="11">
        <v>2010</v>
      </c>
      <c r="B115" s="10">
        <v>20828223</v>
      </c>
      <c r="C115" s="10" t="s">
        <v>119</v>
      </c>
      <c r="E115" s="10" t="s">
        <v>157</v>
      </c>
      <c r="F115" s="10" t="s">
        <v>120</v>
      </c>
      <c r="G115" s="4" t="s">
        <v>1110</v>
      </c>
      <c r="H115" s="4" t="s">
        <v>1110</v>
      </c>
      <c r="I115" s="10">
        <v>13</v>
      </c>
      <c r="J115" s="10" t="s">
        <v>876</v>
      </c>
      <c r="K115" s="10" t="s">
        <v>86</v>
      </c>
      <c r="L115" s="10" t="s">
        <v>220</v>
      </c>
      <c r="M115" s="10" t="s">
        <v>903</v>
      </c>
      <c r="N115" s="10" t="s">
        <v>766</v>
      </c>
      <c r="P115" s="10" t="s">
        <v>911</v>
      </c>
      <c r="Q115" s="10">
        <v>2</v>
      </c>
      <c r="R115" s="10">
        <v>31</v>
      </c>
      <c r="S115" s="10">
        <v>69</v>
      </c>
      <c r="T115" s="13">
        <v>61</v>
      </c>
      <c r="U115" s="10" t="s">
        <v>638</v>
      </c>
      <c r="V115" s="10" t="s">
        <v>642</v>
      </c>
      <c r="W115" s="12">
        <v>72.099999999999994</v>
      </c>
      <c r="X115" s="12">
        <v>71.599999999999994</v>
      </c>
      <c r="Y115" s="12">
        <v>10.5</v>
      </c>
      <c r="Z115" s="12">
        <v>10.4</v>
      </c>
      <c r="AA115" s="15">
        <v>31</v>
      </c>
      <c r="AB115" s="15">
        <v>31</v>
      </c>
      <c r="AC115" s="12">
        <f t="shared" si="127"/>
        <v>0.5</v>
      </c>
      <c r="AD115" s="12">
        <f t="shared" si="128"/>
        <v>10.450119616540281</v>
      </c>
      <c r="AE115" s="12">
        <f t="shared" si="129"/>
        <v>4.7846342276179121E-2</v>
      </c>
      <c r="AF115" s="12">
        <f t="shared" si="130"/>
        <v>0.25403659363762882</v>
      </c>
      <c r="AG115" s="12" t="s">
        <v>193</v>
      </c>
      <c r="AH115" s="12"/>
      <c r="AI115" s="12" t="s">
        <v>780</v>
      </c>
      <c r="AJ115" s="12" t="s">
        <v>348</v>
      </c>
      <c r="AK115" s="12" t="s">
        <v>842</v>
      </c>
      <c r="AL115" s="12"/>
      <c r="AM115" s="10" t="s">
        <v>705</v>
      </c>
      <c r="AN115" s="10" t="s">
        <v>157</v>
      </c>
    </row>
    <row r="116" spans="1:40" s="10" customFormat="1" x14ac:dyDescent="0.2">
      <c r="A116" s="11">
        <v>2010</v>
      </c>
      <c r="B116" s="10">
        <v>20828223</v>
      </c>
      <c r="C116" s="10" t="s">
        <v>119</v>
      </c>
      <c r="E116" s="10" t="s">
        <v>157</v>
      </c>
      <c r="F116" s="10" t="s">
        <v>120</v>
      </c>
      <c r="G116" s="4" t="s">
        <v>1110</v>
      </c>
      <c r="H116" s="4" t="s">
        <v>1110</v>
      </c>
      <c r="I116" s="10">
        <v>13</v>
      </c>
      <c r="J116" s="10" t="s">
        <v>876</v>
      </c>
      <c r="K116" s="10" t="s">
        <v>86</v>
      </c>
      <c r="L116" s="10" t="s">
        <v>220</v>
      </c>
      <c r="M116" s="10" t="s">
        <v>903</v>
      </c>
      <c r="N116" s="10" t="s">
        <v>766</v>
      </c>
      <c r="P116" s="10" t="s">
        <v>911</v>
      </c>
      <c r="Q116" s="10">
        <v>2</v>
      </c>
      <c r="R116" s="10">
        <v>31</v>
      </c>
      <c r="S116" s="10">
        <v>69</v>
      </c>
      <c r="T116" s="13">
        <v>61</v>
      </c>
      <c r="U116" s="10" t="s">
        <v>777</v>
      </c>
      <c r="V116" s="10" t="s">
        <v>642</v>
      </c>
      <c r="W116" s="12">
        <v>60.2</v>
      </c>
      <c r="X116" s="12">
        <v>60.7</v>
      </c>
      <c r="Y116" s="12">
        <v>6.4</v>
      </c>
      <c r="Z116" s="12">
        <v>7.2</v>
      </c>
      <c r="AA116" s="15">
        <v>31</v>
      </c>
      <c r="AB116" s="15">
        <v>31</v>
      </c>
      <c r="AC116" s="12">
        <f t="shared" si="127"/>
        <v>-0.5</v>
      </c>
      <c r="AD116" s="12">
        <f t="shared" si="128"/>
        <v>6.81175454637056</v>
      </c>
      <c r="AE116" s="12">
        <f t="shared" si="129"/>
        <v>-7.3402527439337936E-2</v>
      </c>
      <c r="AF116" s="12">
        <f t="shared" si="130"/>
        <v>0.25408577309441738</v>
      </c>
      <c r="AG116" s="12" t="s">
        <v>157</v>
      </c>
      <c r="AH116" s="12"/>
      <c r="AI116" s="12" t="s">
        <v>780</v>
      </c>
      <c r="AJ116" s="12" t="s">
        <v>328</v>
      </c>
      <c r="AK116" s="12" t="s">
        <v>842</v>
      </c>
      <c r="AL116" s="12"/>
      <c r="AM116" s="10" t="s">
        <v>705</v>
      </c>
      <c r="AN116" s="10" t="s">
        <v>157</v>
      </c>
    </row>
    <row r="117" spans="1:40" s="10" customFormat="1" x14ac:dyDescent="0.2">
      <c r="A117" s="11">
        <v>2010</v>
      </c>
      <c r="B117" s="10">
        <v>20828223</v>
      </c>
      <c r="C117" s="10" t="s">
        <v>119</v>
      </c>
      <c r="E117" s="10" t="s">
        <v>157</v>
      </c>
      <c r="F117" s="10" t="s">
        <v>120</v>
      </c>
      <c r="G117" s="4" t="s">
        <v>1110</v>
      </c>
      <c r="H117" s="4" t="s">
        <v>1110</v>
      </c>
      <c r="I117" s="10">
        <v>13</v>
      </c>
      <c r="J117" s="10" t="s">
        <v>876</v>
      </c>
      <c r="K117" s="10" t="s">
        <v>86</v>
      </c>
      <c r="L117" s="10" t="s">
        <v>220</v>
      </c>
      <c r="M117" s="10" t="s">
        <v>903</v>
      </c>
      <c r="N117" s="10" t="s">
        <v>766</v>
      </c>
      <c r="P117" s="10" t="s">
        <v>911</v>
      </c>
      <c r="Q117" s="10">
        <v>2</v>
      </c>
      <c r="R117" s="10">
        <v>31</v>
      </c>
      <c r="S117" s="10">
        <v>69</v>
      </c>
      <c r="T117" s="13">
        <v>61</v>
      </c>
      <c r="U117" s="10" t="s">
        <v>778</v>
      </c>
      <c r="V117" s="10" t="s">
        <v>635</v>
      </c>
      <c r="W117" s="12">
        <v>138.4</v>
      </c>
      <c r="X117" s="12">
        <v>127.6</v>
      </c>
      <c r="Y117" s="12">
        <v>23.4</v>
      </c>
      <c r="Z117" s="12">
        <v>19.5</v>
      </c>
      <c r="AA117" s="15">
        <v>31</v>
      </c>
      <c r="AB117" s="15">
        <v>31</v>
      </c>
      <c r="AC117" s="12">
        <f t="shared" ref="AC117:AC118" si="131">W117-X117</f>
        <v>10.800000000000011</v>
      </c>
      <c r="AD117" s="12">
        <f t="shared" ref="AD117:AD118" si="132">SQRT(((AA117-1)*Y117^2+(AB117-1)*Z117^2)/(AA117+AB117-2))</f>
        <v>21.538453983515158</v>
      </c>
      <c r="AE117" s="12">
        <f t="shared" ref="AE117:AE118" si="133">AC117/AD117</f>
        <v>0.50142874731241083</v>
      </c>
      <c r="AF117" s="12">
        <f t="shared" ref="AF117:AF118" si="134">SQRT(((AA117+AB117)/(AA117*AB117)+(AE117^2/(2*(AA117+AB117)))))</f>
        <v>0.25796084331252761</v>
      </c>
      <c r="AG117" s="12" t="s">
        <v>157</v>
      </c>
      <c r="AH117" s="12"/>
      <c r="AI117" s="12" t="s">
        <v>780</v>
      </c>
      <c r="AJ117" s="12" t="s">
        <v>348</v>
      </c>
      <c r="AK117" s="12" t="s">
        <v>842</v>
      </c>
      <c r="AL117" s="12"/>
      <c r="AM117" s="10" t="s">
        <v>705</v>
      </c>
      <c r="AN117" s="10" t="s">
        <v>157</v>
      </c>
    </row>
    <row r="118" spans="1:40" s="10" customFormat="1" x14ac:dyDescent="0.2">
      <c r="A118" s="11">
        <v>2010</v>
      </c>
      <c r="B118" s="10">
        <v>20828223</v>
      </c>
      <c r="C118" s="10" t="s">
        <v>119</v>
      </c>
      <c r="E118" s="10" t="s">
        <v>157</v>
      </c>
      <c r="F118" s="10" t="s">
        <v>120</v>
      </c>
      <c r="G118" s="4" t="s">
        <v>1110</v>
      </c>
      <c r="H118" s="4" t="s">
        <v>1110</v>
      </c>
      <c r="I118" s="10">
        <v>13</v>
      </c>
      <c r="J118" s="10" t="s">
        <v>876</v>
      </c>
      <c r="K118" s="10" t="s">
        <v>86</v>
      </c>
      <c r="L118" s="10" t="s">
        <v>220</v>
      </c>
      <c r="M118" s="10" t="s">
        <v>903</v>
      </c>
      <c r="N118" s="10" t="s">
        <v>766</v>
      </c>
      <c r="P118" s="10" t="s">
        <v>911</v>
      </c>
      <c r="Q118" s="10">
        <v>2</v>
      </c>
      <c r="R118" s="10">
        <v>31</v>
      </c>
      <c r="S118" s="10">
        <v>69</v>
      </c>
      <c r="T118" s="13">
        <v>61</v>
      </c>
      <c r="U118" s="10" t="s">
        <v>779</v>
      </c>
      <c r="V118" s="10" t="s">
        <v>635</v>
      </c>
      <c r="W118" s="12">
        <v>82.2</v>
      </c>
      <c r="X118" s="12">
        <v>74.599999999999994</v>
      </c>
      <c r="Y118" s="12">
        <v>14.5</v>
      </c>
      <c r="Z118" s="12">
        <v>13.8</v>
      </c>
      <c r="AA118" s="15">
        <v>31</v>
      </c>
      <c r="AB118" s="15">
        <v>31</v>
      </c>
      <c r="AC118" s="12">
        <f t="shared" si="131"/>
        <v>7.6000000000000085</v>
      </c>
      <c r="AD118" s="12">
        <f t="shared" si="132"/>
        <v>14.154327960026926</v>
      </c>
      <c r="AE118" s="12">
        <f t="shared" si="133"/>
        <v>0.53693824401010637</v>
      </c>
      <c r="AF118" s="12">
        <f t="shared" si="134"/>
        <v>0.25853655569004125</v>
      </c>
      <c r="AG118" s="12" t="s">
        <v>157</v>
      </c>
      <c r="AH118" s="12"/>
      <c r="AI118" s="12" t="s">
        <v>780</v>
      </c>
      <c r="AJ118" s="12" t="s">
        <v>348</v>
      </c>
      <c r="AK118" s="12" t="s">
        <v>842</v>
      </c>
      <c r="AL118" s="12"/>
      <c r="AM118" s="10" t="s">
        <v>705</v>
      </c>
      <c r="AN118" s="10" t="s">
        <v>157</v>
      </c>
    </row>
    <row r="119" spans="1:40" s="10" customFormat="1" x14ac:dyDescent="0.2">
      <c r="A119" s="11">
        <v>2010</v>
      </c>
      <c r="B119" s="10">
        <v>20828223</v>
      </c>
      <c r="C119" s="10" t="s">
        <v>119</v>
      </c>
      <c r="E119" s="10" t="s">
        <v>157</v>
      </c>
      <c r="F119" s="10" t="s">
        <v>120</v>
      </c>
      <c r="G119" s="4" t="s">
        <v>1110</v>
      </c>
      <c r="H119" s="4" t="s">
        <v>1110</v>
      </c>
      <c r="I119" s="10">
        <v>13</v>
      </c>
      <c r="J119" s="10" t="s">
        <v>876</v>
      </c>
      <c r="K119" s="10" t="s">
        <v>86</v>
      </c>
      <c r="L119" s="10" t="s">
        <v>220</v>
      </c>
      <c r="M119" s="10" t="s">
        <v>903</v>
      </c>
      <c r="N119" s="10" t="s">
        <v>766</v>
      </c>
      <c r="P119" s="10" t="s">
        <v>911</v>
      </c>
      <c r="Q119" s="10">
        <v>2</v>
      </c>
      <c r="R119" s="10">
        <v>31</v>
      </c>
      <c r="S119" s="10">
        <v>69</v>
      </c>
      <c r="T119" s="13">
        <v>61</v>
      </c>
      <c r="U119" s="10" t="s">
        <v>436</v>
      </c>
      <c r="V119" s="10" t="s">
        <v>635</v>
      </c>
      <c r="W119" s="12">
        <v>75.3</v>
      </c>
      <c r="X119" s="12">
        <v>42.5</v>
      </c>
      <c r="Y119" s="12">
        <v>126.4</v>
      </c>
      <c r="Z119" s="12">
        <v>59.9</v>
      </c>
      <c r="AA119" s="15">
        <v>31</v>
      </c>
      <c r="AB119" s="15">
        <v>31</v>
      </c>
      <c r="AC119" s="12">
        <f t="shared" si="123"/>
        <v>32.799999999999997</v>
      </c>
      <c r="AD119" s="12">
        <f t="shared" si="124"/>
        <v>98.906445694909095</v>
      </c>
      <c r="AE119" s="12">
        <f t="shared" si="125"/>
        <v>0.3316265160430113</v>
      </c>
      <c r="AF119" s="12">
        <f t="shared" si="126"/>
        <v>0.25574016782006631</v>
      </c>
      <c r="AG119" s="12" t="s">
        <v>157</v>
      </c>
      <c r="AH119" s="12"/>
      <c r="AI119" s="12" t="s">
        <v>1302</v>
      </c>
      <c r="AJ119" s="12" t="s">
        <v>348</v>
      </c>
      <c r="AK119" s="12" t="s">
        <v>842</v>
      </c>
      <c r="AL119" s="12"/>
      <c r="AM119" s="10" t="s">
        <v>705</v>
      </c>
      <c r="AN119" s="10" t="s">
        <v>157</v>
      </c>
    </row>
    <row r="120" spans="1:40" s="10" customFormat="1" x14ac:dyDescent="0.2">
      <c r="A120" s="10">
        <v>2010</v>
      </c>
      <c r="B120" s="43">
        <v>20524801</v>
      </c>
      <c r="C120" s="10" t="s">
        <v>118</v>
      </c>
      <c r="E120" s="10" t="s">
        <v>157</v>
      </c>
      <c r="F120" s="10" t="s">
        <v>94</v>
      </c>
      <c r="G120" s="10" t="s">
        <v>95</v>
      </c>
      <c r="H120" s="10" t="s">
        <v>95</v>
      </c>
      <c r="I120" s="10">
        <v>40</v>
      </c>
      <c r="J120" s="10" t="s">
        <v>875</v>
      </c>
      <c r="K120" s="10" t="s">
        <v>86</v>
      </c>
      <c r="L120" s="10" t="s">
        <v>412</v>
      </c>
      <c r="M120" s="10" t="s">
        <v>736</v>
      </c>
      <c r="N120" s="10" t="s">
        <v>736</v>
      </c>
      <c r="O120" s="10" t="s">
        <v>652</v>
      </c>
      <c r="P120" s="10" t="s">
        <v>911</v>
      </c>
      <c r="Q120" s="10">
        <v>2</v>
      </c>
      <c r="R120" s="15">
        <f>AA120+AB120</f>
        <v>165</v>
      </c>
      <c r="S120" s="15">
        <v>42.5</v>
      </c>
      <c r="T120" s="13">
        <v>61</v>
      </c>
      <c r="U120" s="10" t="s">
        <v>640</v>
      </c>
      <c r="V120" s="10" t="s">
        <v>642</v>
      </c>
      <c r="W120" s="12">
        <v>119.6</v>
      </c>
      <c r="X120" s="12">
        <v>119.5</v>
      </c>
      <c r="Y120" s="12">
        <v>9.1</v>
      </c>
      <c r="Z120" s="12">
        <v>9.1999999999999993</v>
      </c>
      <c r="AA120" s="15">
        <v>83</v>
      </c>
      <c r="AB120" s="15">
        <v>82</v>
      </c>
      <c r="AC120" s="12">
        <f t="shared" si="123"/>
        <v>9.9999999999994316E-2</v>
      </c>
      <c r="AD120" s="12">
        <f t="shared" si="124"/>
        <v>9.1498298619737994</v>
      </c>
      <c r="AE120" s="12">
        <f t="shared" si="125"/>
        <v>1.0929164969021877E-2</v>
      </c>
      <c r="AF120" s="12">
        <f t="shared" si="126"/>
        <v>0.15570381074925549</v>
      </c>
      <c r="AG120" s="12" t="s">
        <v>193</v>
      </c>
      <c r="AH120" s="12"/>
      <c r="AI120" s="12" t="s">
        <v>780</v>
      </c>
      <c r="AJ120" s="12" t="s">
        <v>348</v>
      </c>
      <c r="AK120" s="12" t="s">
        <v>1298</v>
      </c>
      <c r="AL120" s="12"/>
      <c r="AM120" s="10" t="s">
        <v>704</v>
      </c>
      <c r="AN120" s="10" t="s">
        <v>193</v>
      </c>
    </row>
    <row r="121" spans="1:40" s="10" customFormat="1" x14ac:dyDescent="0.2">
      <c r="A121" s="10">
        <v>2010</v>
      </c>
      <c r="B121" s="10">
        <v>20524801</v>
      </c>
      <c r="C121" s="10" t="s">
        <v>118</v>
      </c>
      <c r="E121" s="10" t="s">
        <v>157</v>
      </c>
      <c r="F121" s="10" t="s">
        <v>94</v>
      </c>
      <c r="G121" s="10" t="s">
        <v>95</v>
      </c>
      <c r="H121" s="10" t="s">
        <v>95</v>
      </c>
      <c r="I121" s="10">
        <v>40</v>
      </c>
      <c r="J121" s="10" t="s">
        <v>875</v>
      </c>
      <c r="K121" s="10" t="s">
        <v>86</v>
      </c>
      <c r="L121" s="10" t="s">
        <v>412</v>
      </c>
      <c r="M121" s="10" t="s">
        <v>736</v>
      </c>
      <c r="N121" s="10" t="s">
        <v>736</v>
      </c>
      <c r="O121" s="10" t="s">
        <v>652</v>
      </c>
      <c r="P121" s="10" t="s">
        <v>911</v>
      </c>
      <c r="Q121" s="10">
        <v>2</v>
      </c>
      <c r="R121" s="15">
        <f t="shared" ref="R121:R125" si="135">AA121+AB121</f>
        <v>165</v>
      </c>
      <c r="S121" s="15">
        <v>42.5</v>
      </c>
      <c r="T121" s="13">
        <v>61</v>
      </c>
      <c r="U121" s="10" t="s">
        <v>641</v>
      </c>
      <c r="V121" s="10" t="s">
        <v>642</v>
      </c>
      <c r="W121" s="12">
        <v>75.8</v>
      </c>
      <c r="X121" s="12">
        <v>75.2</v>
      </c>
      <c r="Y121" s="12">
        <v>7.9</v>
      </c>
      <c r="Z121" s="12">
        <v>7.7</v>
      </c>
      <c r="AA121" s="15">
        <v>83</v>
      </c>
      <c r="AB121" s="15">
        <v>82</v>
      </c>
      <c r="AC121" s="12">
        <f t="shared" ref="AC121:AC125" si="136">W121-X121</f>
        <v>0.59999999999999432</v>
      </c>
      <c r="AD121" s="12">
        <f t="shared" ref="AD121:AD125" si="137">SQRT(((AA121-1)*Y121^2+(AB121-1)*Z121^2)/(AA121+AB121-2))</f>
        <v>7.8012544217034252</v>
      </c>
      <c r="AE121" s="12">
        <f t="shared" ref="AE121:AE125" si="138">AC121/AD121</f>
        <v>7.6910707889588689E-2</v>
      </c>
      <c r="AF121" s="12">
        <f t="shared" ref="AF121:AF125" si="139">SQRT(((AA121+AB121)/(AA121*AB121)+(AE121^2/(2*(AA121+AB121)))))</f>
        <v>0.15576019948459183</v>
      </c>
      <c r="AG121" s="12" t="s">
        <v>193</v>
      </c>
      <c r="AH121" s="12"/>
      <c r="AI121" s="12" t="s">
        <v>780</v>
      </c>
      <c r="AJ121" s="12" t="s">
        <v>348</v>
      </c>
      <c r="AK121" s="12" t="s">
        <v>1298</v>
      </c>
      <c r="AL121" s="12"/>
      <c r="AM121" s="10" t="s">
        <v>704</v>
      </c>
      <c r="AN121" s="10" t="s">
        <v>193</v>
      </c>
    </row>
    <row r="122" spans="1:40" s="10" customFormat="1" x14ac:dyDescent="0.2">
      <c r="A122" s="10">
        <v>2010</v>
      </c>
      <c r="B122" s="10">
        <v>20524801</v>
      </c>
      <c r="C122" s="10" t="s">
        <v>118</v>
      </c>
      <c r="E122" s="10" t="s">
        <v>157</v>
      </c>
      <c r="F122" s="10" t="s">
        <v>94</v>
      </c>
      <c r="G122" s="10" t="s">
        <v>95</v>
      </c>
      <c r="H122" s="10" t="s">
        <v>95</v>
      </c>
      <c r="I122" s="10">
        <v>40</v>
      </c>
      <c r="J122" s="10" t="s">
        <v>875</v>
      </c>
      <c r="K122" s="10" t="s">
        <v>86</v>
      </c>
      <c r="L122" s="10" t="s">
        <v>412</v>
      </c>
      <c r="M122" s="10" t="s">
        <v>736</v>
      </c>
      <c r="N122" s="10" t="s">
        <v>736</v>
      </c>
      <c r="O122" s="10" t="s">
        <v>652</v>
      </c>
      <c r="P122" s="10" t="s">
        <v>911</v>
      </c>
      <c r="Q122" s="10">
        <v>2</v>
      </c>
      <c r="R122" s="15">
        <f t="shared" si="135"/>
        <v>165</v>
      </c>
      <c r="S122" s="15">
        <v>42.5</v>
      </c>
      <c r="T122" s="13">
        <v>61</v>
      </c>
      <c r="U122" s="10" t="s">
        <v>644</v>
      </c>
      <c r="V122" s="10" t="s">
        <v>642</v>
      </c>
      <c r="W122" s="12">
        <v>121.3</v>
      </c>
      <c r="X122" s="12">
        <v>125</v>
      </c>
      <c r="Y122" s="12">
        <v>9.6</v>
      </c>
      <c r="Z122" s="12">
        <v>10.3</v>
      </c>
      <c r="AA122" s="15">
        <v>83</v>
      </c>
      <c r="AB122" s="15">
        <v>82</v>
      </c>
      <c r="AC122" s="12">
        <f t="shared" si="136"/>
        <v>-3.7000000000000028</v>
      </c>
      <c r="AD122" s="12">
        <f t="shared" si="137"/>
        <v>9.9540077324990204</v>
      </c>
      <c r="AE122" s="12">
        <f t="shared" si="138"/>
        <v>-0.37170957662809578</v>
      </c>
      <c r="AF122" s="12">
        <f t="shared" si="139"/>
        <v>0.15704141383644449</v>
      </c>
      <c r="AG122" s="12" t="s">
        <v>193</v>
      </c>
      <c r="AH122" s="12"/>
      <c r="AI122" s="12" t="s">
        <v>780</v>
      </c>
      <c r="AJ122" s="12" t="s">
        <v>328</v>
      </c>
      <c r="AK122" s="12" t="s">
        <v>1298</v>
      </c>
      <c r="AL122" s="12"/>
      <c r="AM122" s="10" t="s">
        <v>704</v>
      </c>
      <c r="AN122" s="10" t="s">
        <v>193</v>
      </c>
    </row>
    <row r="123" spans="1:40" s="10" customFormat="1" x14ac:dyDescent="0.2">
      <c r="A123" s="10">
        <v>2010</v>
      </c>
      <c r="B123" s="10">
        <v>20524801</v>
      </c>
      <c r="C123" s="10" t="s">
        <v>118</v>
      </c>
      <c r="E123" s="10" t="s">
        <v>157</v>
      </c>
      <c r="F123" s="10" t="s">
        <v>94</v>
      </c>
      <c r="G123" s="10" t="s">
        <v>95</v>
      </c>
      <c r="H123" s="10" t="s">
        <v>95</v>
      </c>
      <c r="I123" s="10">
        <v>40</v>
      </c>
      <c r="J123" s="10" t="s">
        <v>875</v>
      </c>
      <c r="K123" s="10" t="s">
        <v>86</v>
      </c>
      <c r="L123" s="10" t="s">
        <v>412</v>
      </c>
      <c r="M123" s="10" t="s">
        <v>736</v>
      </c>
      <c r="N123" s="10" t="s">
        <v>736</v>
      </c>
      <c r="O123" s="10" t="s">
        <v>652</v>
      </c>
      <c r="P123" s="10" t="s">
        <v>911</v>
      </c>
      <c r="Q123" s="10">
        <v>2</v>
      </c>
      <c r="R123" s="15">
        <f t="shared" si="135"/>
        <v>165</v>
      </c>
      <c r="S123" s="15">
        <v>42.5</v>
      </c>
      <c r="T123" s="13">
        <v>61</v>
      </c>
      <c r="U123" s="10" t="s">
        <v>645</v>
      </c>
      <c r="V123" s="10" t="s">
        <v>642</v>
      </c>
      <c r="W123" s="12">
        <v>79.2</v>
      </c>
      <c r="X123" s="12">
        <v>79.3</v>
      </c>
      <c r="Y123" s="12">
        <v>8.6</v>
      </c>
      <c r="Z123" s="12">
        <v>8.9</v>
      </c>
      <c r="AA123" s="15">
        <v>83</v>
      </c>
      <c r="AB123" s="15">
        <v>82</v>
      </c>
      <c r="AC123" s="12">
        <f t="shared" si="136"/>
        <v>-9.9999999999994316E-2</v>
      </c>
      <c r="AD123" s="12">
        <f t="shared" si="137"/>
        <v>8.7503654612548303</v>
      </c>
      <c r="AE123" s="12">
        <f t="shared" si="138"/>
        <v>-1.1428094111357721E-2</v>
      </c>
      <c r="AF123" s="12">
        <f t="shared" si="139"/>
        <v>0.15570391929532512</v>
      </c>
      <c r="AG123" s="12" t="s">
        <v>193</v>
      </c>
      <c r="AH123" s="12"/>
      <c r="AI123" s="12" t="s">
        <v>780</v>
      </c>
      <c r="AJ123" s="12" t="s">
        <v>328</v>
      </c>
      <c r="AK123" s="12" t="s">
        <v>1298</v>
      </c>
      <c r="AL123" s="12"/>
      <c r="AM123" s="10" t="s">
        <v>704</v>
      </c>
      <c r="AN123" s="10" t="s">
        <v>193</v>
      </c>
    </row>
    <row r="124" spans="1:40" s="10" customFormat="1" x14ac:dyDescent="0.2">
      <c r="A124" s="10">
        <v>2010</v>
      </c>
      <c r="B124" s="10">
        <v>20524801</v>
      </c>
      <c r="C124" s="10" t="s">
        <v>118</v>
      </c>
      <c r="E124" s="10" t="s">
        <v>157</v>
      </c>
      <c r="F124" s="10" t="s">
        <v>94</v>
      </c>
      <c r="G124" s="10" t="s">
        <v>95</v>
      </c>
      <c r="H124" s="10" t="s">
        <v>95</v>
      </c>
      <c r="I124" s="10">
        <v>40</v>
      </c>
      <c r="J124" s="10" t="s">
        <v>875</v>
      </c>
      <c r="K124" s="10" t="s">
        <v>86</v>
      </c>
      <c r="L124" s="10" t="s">
        <v>412</v>
      </c>
      <c r="M124" s="10" t="s">
        <v>736</v>
      </c>
      <c r="N124" s="10" t="s">
        <v>736</v>
      </c>
      <c r="O124" s="10" t="s">
        <v>652</v>
      </c>
      <c r="P124" s="10" t="s">
        <v>911</v>
      </c>
      <c r="Q124" s="10">
        <v>2</v>
      </c>
      <c r="R124" s="15">
        <f t="shared" si="135"/>
        <v>165</v>
      </c>
      <c r="S124" s="15">
        <v>42.5</v>
      </c>
      <c r="T124" s="13">
        <v>61</v>
      </c>
      <c r="U124" s="10" t="s">
        <v>637</v>
      </c>
      <c r="V124" s="10" t="s">
        <v>635</v>
      </c>
      <c r="W124" s="12">
        <v>111.8</v>
      </c>
      <c r="X124" s="12">
        <v>107</v>
      </c>
      <c r="Y124" s="12">
        <v>9.3000000000000007</v>
      </c>
      <c r="Z124" s="12">
        <v>9.9</v>
      </c>
      <c r="AA124" s="15">
        <v>83</v>
      </c>
      <c r="AB124" s="15">
        <v>82</v>
      </c>
      <c r="AC124" s="12">
        <f t="shared" si="136"/>
        <v>4.7999999999999972</v>
      </c>
      <c r="AD124" s="12">
        <f t="shared" si="137"/>
        <v>9.6028465871681572</v>
      </c>
      <c r="AE124" s="12">
        <f t="shared" si="138"/>
        <v>0.49985178420053245</v>
      </c>
      <c r="AF124" s="12">
        <f t="shared" si="139"/>
        <v>0.15811527885584875</v>
      </c>
      <c r="AG124" s="12" t="s">
        <v>193</v>
      </c>
      <c r="AH124" s="12" t="s">
        <v>193</v>
      </c>
      <c r="AI124" s="12" t="s">
        <v>780</v>
      </c>
      <c r="AJ124" s="12" t="s">
        <v>348</v>
      </c>
      <c r="AK124" s="12" t="s">
        <v>1298</v>
      </c>
      <c r="AL124" s="12"/>
      <c r="AM124" s="10" t="s">
        <v>704</v>
      </c>
      <c r="AN124" s="10" t="s">
        <v>193</v>
      </c>
    </row>
    <row r="125" spans="1:40" s="10" customFormat="1" x14ac:dyDescent="0.2">
      <c r="A125" s="10">
        <v>2010</v>
      </c>
      <c r="B125" s="10">
        <v>20524801</v>
      </c>
      <c r="C125" s="10" t="s">
        <v>118</v>
      </c>
      <c r="E125" s="10" t="s">
        <v>157</v>
      </c>
      <c r="F125" s="10" t="s">
        <v>94</v>
      </c>
      <c r="G125" s="10" t="s">
        <v>95</v>
      </c>
      <c r="H125" s="10" t="s">
        <v>95</v>
      </c>
      <c r="I125" s="10">
        <v>40</v>
      </c>
      <c r="J125" s="10" t="s">
        <v>875</v>
      </c>
      <c r="K125" s="10" t="s">
        <v>86</v>
      </c>
      <c r="L125" s="10" t="s">
        <v>412</v>
      </c>
      <c r="M125" s="10" t="s">
        <v>736</v>
      </c>
      <c r="N125" s="10" t="s">
        <v>736</v>
      </c>
      <c r="O125" s="10" t="s">
        <v>652</v>
      </c>
      <c r="P125" s="10" t="s">
        <v>911</v>
      </c>
      <c r="Q125" s="10">
        <v>2</v>
      </c>
      <c r="R125" s="15">
        <f t="shared" si="135"/>
        <v>165</v>
      </c>
      <c r="S125" s="15">
        <v>42.5</v>
      </c>
      <c r="T125" s="13">
        <v>61</v>
      </c>
      <c r="U125" s="10" t="s">
        <v>638</v>
      </c>
      <c r="V125" s="10" t="s">
        <v>635</v>
      </c>
      <c r="W125" s="12">
        <v>68.2</v>
      </c>
      <c r="X125" s="12">
        <v>63.8</v>
      </c>
      <c r="Y125" s="12">
        <v>7.4</v>
      </c>
      <c r="Z125" s="12">
        <v>7.3</v>
      </c>
      <c r="AA125" s="15">
        <v>83</v>
      </c>
      <c r="AB125" s="15">
        <v>82</v>
      </c>
      <c r="AC125" s="12">
        <f t="shared" si="136"/>
        <v>4.4000000000000057</v>
      </c>
      <c r="AD125" s="12">
        <f t="shared" si="137"/>
        <v>7.3504768010282158</v>
      </c>
      <c r="AE125" s="12">
        <f t="shared" si="138"/>
        <v>0.59860062402816039</v>
      </c>
      <c r="AF125" s="12">
        <f t="shared" si="139"/>
        <v>0.15915131512939401</v>
      </c>
      <c r="AG125" s="12" t="s">
        <v>193</v>
      </c>
      <c r="AH125" s="12"/>
      <c r="AI125" s="12" t="s">
        <v>780</v>
      </c>
      <c r="AJ125" s="12" t="s">
        <v>348</v>
      </c>
      <c r="AK125" s="12" t="s">
        <v>1298</v>
      </c>
      <c r="AL125" s="12"/>
      <c r="AM125" s="10" t="s">
        <v>704</v>
      </c>
      <c r="AN125" s="10" t="s">
        <v>193</v>
      </c>
    </row>
    <row r="126" spans="1:40" s="10" customFormat="1" x14ac:dyDescent="0.2">
      <c r="A126" s="6">
        <v>2009</v>
      </c>
      <c r="B126" s="25">
        <v>19433778</v>
      </c>
      <c r="C126" s="4" t="s">
        <v>98</v>
      </c>
      <c r="D126" s="4"/>
      <c r="E126" s="4" t="s">
        <v>157</v>
      </c>
      <c r="F126" s="4" t="s">
        <v>94</v>
      </c>
      <c r="G126" s="4" t="s">
        <v>95</v>
      </c>
      <c r="H126" s="4" t="s">
        <v>95</v>
      </c>
      <c r="I126" s="4">
        <v>24</v>
      </c>
      <c r="J126" s="4" t="s">
        <v>876</v>
      </c>
      <c r="K126" s="4" t="s">
        <v>86</v>
      </c>
      <c r="L126" s="10" t="s">
        <v>412</v>
      </c>
      <c r="M126" s="10" t="s">
        <v>902</v>
      </c>
      <c r="N126" s="10" t="s">
        <v>766</v>
      </c>
      <c r="O126" s="10" t="s">
        <v>651</v>
      </c>
      <c r="P126" s="10" t="s">
        <v>911</v>
      </c>
      <c r="Q126" s="10">
        <v>2</v>
      </c>
      <c r="R126" s="10">
        <v>115</v>
      </c>
      <c r="S126" s="10">
        <v>46.7</v>
      </c>
      <c r="T126" s="13">
        <v>55</v>
      </c>
      <c r="U126" s="10" t="s">
        <v>644</v>
      </c>
      <c r="V126" s="10" t="s">
        <v>642</v>
      </c>
      <c r="W126" s="12">
        <v>124.6</v>
      </c>
      <c r="X126" s="12">
        <v>124.7</v>
      </c>
      <c r="Y126" s="12">
        <v>13</v>
      </c>
      <c r="Z126" s="12">
        <v>7.5</v>
      </c>
      <c r="AA126" s="15">
        <v>58</v>
      </c>
      <c r="AB126" s="15">
        <v>57</v>
      </c>
      <c r="AC126" s="12">
        <f t="shared" ref="AC126:AC127" si="140">W126-X126</f>
        <v>-0.10000000000000853</v>
      </c>
      <c r="AD126" s="12">
        <f t="shared" ref="AD126:AD127" si="141">SQRT(((AA126-1)*Y126^2+(AB126-1)*Z126^2)/(AA126+AB126-2))</f>
        <v>10.635971690697081</v>
      </c>
      <c r="AE126" s="12">
        <f t="shared" ref="AE126:AE127" si="142">AC126/AD126</f>
        <v>-9.4020558636382125E-3</v>
      </c>
      <c r="AF126" s="12">
        <f t="shared" ref="AF126:AF127" si="143">SQRT(((AA126+AB126)/(AA126*AB126)+(AE126^2/(2*(AA126+AB126)))))</f>
        <v>0.18650904348434036</v>
      </c>
      <c r="AG126" s="12" t="s">
        <v>193</v>
      </c>
      <c r="AH126" s="12"/>
      <c r="AI126" s="12" t="s">
        <v>780</v>
      </c>
      <c r="AJ126" s="12" t="s">
        <v>328</v>
      </c>
      <c r="AK126" s="12" t="s">
        <v>1298</v>
      </c>
      <c r="AL126" s="12"/>
      <c r="AM126" s="10" t="s">
        <v>706</v>
      </c>
      <c r="AN126" s="10" t="s">
        <v>193</v>
      </c>
    </row>
    <row r="127" spans="1:40" s="10" customFormat="1" x14ac:dyDescent="0.2">
      <c r="A127" s="6">
        <v>2009</v>
      </c>
      <c r="B127" s="4">
        <v>19433778</v>
      </c>
      <c r="C127" s="4" t="s">
        <v>98</v>
      </c>
      <c r="D127" s="4"/>
      <c r="E127" s="4" t="s">
        <v>157</v>
      </c>
      <c r="F127" s="4" t="s">
        <v>94</v>
      </c>
      <c r="G127" s="4" t="s">
        <v>95</v>
      </c>
      <c r="H127" s="4" t="s">
        <v>95</v>
      </c>
      <c r="I127" s="4">
        <v>24</v>
      </c>
      <c r="J127" s="4" t="s">
        <v>876</v>
      </c>
      <c r="K127" s="4" t="s">
        <v>86</v>
      </c>
      <c r="L127" s="10" t="s">
        <v>412</v>
      </c>
      <c r="M127" s="10" t="s">
        <v>902</v>
      </c>
      <c r="N127" s="10" t="s">
        <v>766</v>
      </c>
      <c r="O127" s="10" t="s">
        <v>651</v>
      </c>
      <c r="P127" s="10" t="s">
        <v>911</v>
      </c>
      <c r="Q127" s="10">
        <v>2</v>
      </c>
      <c r="R127" s="10">
        <v>115</v>
      </c>
      <c r="S127" s="10">
        <v>46.7</v>
      </c>
      <c r="T127" s="13">
        <v>55</v>
      </c>
      <c r="U127" s="10" t="s">
        <v>645</v>
      </c>
      <c r="V127" s="10" t="s">
        <v>642</v>
      </c>
      <c r="W127" s="12">
        <v>82.8</v>
      </c>
      <c r="X127" s="12">
        <v>81.099999999999994</v>
      </c>
      <c r="Y127" s="12">
        <v>7.4</v>
      </c>
      <c r="Z127" s="12">
        <v>7.4</v>
      </c>
      <c r="AA127" s="15">
        <v>58</v>
      </c>
      <c r="AB127" s="15">
        <v>57</v>
      </c>
      <c r="AC127" s="12">
        <f t="shared" si="140"/>
        <v>1.7000000000000028</v>
      </c>
      <c r="AD127" s="12">
        <f t="shared" si="141"/>
        <v>7.4000000000000012</v>
      </c>
      <c r="AE127" s="12">
        <f t="shared" si="142"/>
        <v>0.22972972972973008</v>
      </c>
      <c r="AF127" s="12">
        <f t="shared" si="143"/>
        <v>0.18712214924085946</v>
      </c>
      <c r="AG127" s="12" t="s">
        <v>193</v>
      </c>
      <c r="AH127" s="12"/>
      <c r="AI127" s="12" t="s">
        <v>780</v>
      </c>
      <c r="AJ127" s="12" t="s">
        <v>348</v>
      </c>
      <c r="AK127" s="12" t="s">
        <v>1298</v>
      </c>
      <c r="AL127" s="12"/>
      <c r="AM127" s="10" t="s">
        <v>706</v>
      </c>
      <c r="AN127" s="10" t="s">
        <v>193</v>
      </c>
    </row>
    <row r="128" spans="1:40" s="10" customFormat="1" x14ac:dyDescent="0.2">
      <c r="A128" s="6">
        <v>2009</v>
      </c>
      <c r="B128" s="4">
        <v>19433778</v>
      </c>
      <c r="C128" s="4" t="s">
        <v>98</v>
      </c>
      <c r="D128" s="4"/>
      <c r="E128" s="4" t="s">
        <v>157</v>
      </c>
      <c r="F128" s="4" t="s">
        <v>94</v>
      </c>
      <c r="G128" s="4" t="s">
        <v>95</v>
      </c>
      <c r="H128" s="4" t="s">
        <v>95</v>
      </c>
      <c r="I128" s="4">
        <v>24</v>
      </c>
      <c r="J128" s="4" t="s">
        <v>876</v>
      </c>
      <c r="K128" s="4" t="s">
        <v>86</v>
      </c>
      <c r="L128" s="10" t="s">
        <v>412</v>
      </c>
      <c r="M128" s="10" t="s">
        <v>902</v>
      </c>
      <c r="N128" s="10" t="s">
        <v>766</v>
      </c>
      <c r="O128" s="10" t="s">
        <v>651</v>
      </c>
      <c r="P128" s="10" t="s">
        <v>911</v>
      </c>
      <c r="Q128" s="10">
        <v>2</v>
      </c>
      <c r="R128" s="10">
        <v>115</v>
      </c>
      <c r="S128" s="10">
        <v>46.7</v>
      </c>
      <c r="T128" s="13">
        <v>55</v>
      </c>
      <c r="U128" s="10" t="s">
        <v>637</v>
      </c>
      <c r="V128" s="10" t="s">
        <v>635</v>
      </c>
      <c r="W128" s="12">
        <v>111.6</v>
      </c>
      <c r="X128" s="12">
        <v>105.7</v>
      </c>
      <c r="Y128" s="12">
        <v>13.5</v>
      </c>
      <c r="Z128" s="12">
        <v>6.9</v>
      </c>
      <c r="AA128" s="15">
        <v>58</v>
      </c>
      <c r="AB128" s="15">
        <v>57</v>
      </c>
      <c r="AC128" s="12">
        <f t="shared" ref="AC128:AC134" si="144">W128-X128</f>
        <v>5.8999999999999915</v>
      </c>
      <c r="AD128" s="12">
        <f t="shared" ref="AD128:AD134" si="145">SQRT(((AA128-1)*Y128^2+(AB128-1)*Z128^2)/(AA128+AB128-2))</f>
        <v>10.748290664677308</v>
      </c>
      <c r="AE128" s="12">
        <f t="shared" ref="AE128:AE134" si="146">AC128/AD128</f>
        <v>0.54892449265346743</v>
      </c>
      <c r="AF128" s="12">
        <f t="shared" ref="AF128:AF134" si="147">SQRT(((AA128+AB128)/(AA128*AB128)+(AE128^2/(2*(AA128+AB128)))))</f>
        <v>0.18998767762458818</v>
      </c>
      <c r="AG128" s="12" t="s">
        <v>193</v>
      </c>
      <c r="AH128" s="12" t="s">
        <v>193</v>
      </c>
      <c r="AI128" s="12" t="s">
        <v>780</v>
      </c>
      <c r="AJ128" s="12" t="s">
        <v>348</v>
      </c>
      <c r="AK128" s="12" t="s">
        <v>1299</v>
      </c>
      <c r="AL128" s="12"/>
      <c r="AM128" s="10" t="s">
        <v>706</v>
      </c>
      <c r="AN128" s="10" t="s">
        <v>193</v>
      </c>
    </row>
    <row r="129" spans="1:40" s="10" customFormat="1" x14ac:dyDescent="0.2">
      <c r="A129" s="6">
        <v>2009</v>
      </c>
      <c r="B129" s="4">
        <v>19433778</v>
      </c>
      <c r="C129" s="4" t="s">
        <v>98</v>
      </c>
      <c r="D129" s="4"/>
      <c r="E129" s="4" t="s">
        <v>157</v>
      </c>
      <c r="F129" s="4" t="s">
        <v>94</v>
      </c>
      <c r="G129" s="4" t="s">
        <v>95</v>
      </c>
      <c r="H129" s="4" t="s">
        <v>95</v>
      </c>
      <c r="I129" s="4">
        <v>24</v>
      </c>
      <c r="J129" s="4" t="s">
        <v>876</v>
      </c>
      <c r="K129" s="4" t="s">
        <v>86</v>
      </c>
      <c r="L129" s="10" t="s">
        <v>412</v>
      </c>
      <c r="M129" s="10" t="s">
        <v>902</v>
      </c>
      <c r="N129" s="10" t="s">
        <v>766</v>
      </c>
      <c r="O129" s="10" t="s">
        <v>651</v>
      </c>
      <c r="P129" s="10" t="s">
        <v>911</v>
      </c>
      <c r="Q129" s="10">
        <v>2</v>
      </c>
      <c r="R129" s="10">
        <v>115</v>
      </c>
      <c r="S129" s="10">
        <v>46.7</v>
      </c>
      <c r="T129" s="13">
        <v>55</v>
      </c>
      <c r="U129" s="10" t="s">
        <v>638</v>
      </c>
      <c r="V129" s="10" t="s">
        <v>635</v>
      </c>
      <c r="W129" s="12">
        <v>69.099999999999994</v>
      </c>
      <c r="X129" s="12">
        <v>63.6</v>
      </c>
      <c r="Y129" s="12">
        <v>8.1999999999999993</v>
      </c>
      <c r="Z129" s="12">
        <v>6.5</v>
      </c>
      <c r="AA129" s="15">
        <v>58</v>
      </c>
      <c r="AB129" s="15">
        <v>57</v>
      </c>
      <c r="AC129" s="12">
        <f t="shared" si="144"/>
        <v>5.4999999999999929</v>
      </c>
      <c r="AD129" s="12">
        <f t="shared" si="145"/>
        <v>7.406454969905572</v>
      </c>
      <c r="AE129" s="12">
        <f t="shared" si="146"/>
        <v>0.74259548223110505</v>
      </c>
      <c r="AF129" s="12">
        <f t="shared" si="147"/>
        <v>0.19282852272902767</v>
      </c>
      <c r="AG129" s="12" t="s">
        <v>193</v>
      </c>
      <c r="AI129" s="10" t="s">
        <v>780</v>
      </c>
      <c r="AJ129" s="12" t="s">
        <v>348</v>
      </c>
      <c r="AK129" s="12" t="s">
        <v>1298</v>
      </c>
      <c r="AL129" s="12"/>
      <c r="AM129" s="10" t="s">
        <v>706</v>
      </c>
      <c r="AN129" s="10" t="s">
        <v>193</v>
      </c>
    </row>
    <row r="130" spans="1:40" s="10" customFormat="1" x14ac:dyDescent="0.2">
      <c r="A130" s="6">
        <v>2009</v>
      </c>
      <c r="B130" s="4">
        <v>19433778</v>
      </c>
      <c r="C130" s="4" t="s">
        <v>98</v>
      </c>
      <c r="D130" s="4"/>
      <c r="E130" s="4" t="s">
        <v>157</v>
      </c>
      <c r="F130" s="4" t="s">
        <v>94</v>
      </c>
      <c r="G130" s="4" t="s">
        <v>95</v>
      </c>
      <c r="H130" s="4" t="s">
        <v>95</v>
      </c>
      <c r="I130" s="4">
        <v>24</v>
      </c>
      <c r="J130" s="4" t="s">
        <v>876</v>
      </c>
      <c r="K130" s="4" t="s">
        <v>86</v>
      </c>
      <c r="L130" s="10" t="s">
        <v>412</v>
      </c>
      <c r="M130" s="10" t="s">
        <v>902</v>
      </c>
      <c r="N130" s="10" t="s">
        <v>766</v>
      </c>
      <c r="O130" s="10" t="s">
        <v>651</v>
      </c>
      <c r="P130" s="10" t="s">
        <v>911</v>
      </c>
      <c r="Q130" s="10">
        <v>2</v>
      </c>
      <c r="R130" s="10">
        <v>115</v>
      </c>
      <c r="S130" s="10">
        <v>46.7</v>
      </c>
      <c r="T130" s="13">
        <v>55</v>
      </c>
      <c r="U130" s="10" t="s">
        <v>451</v>
      </c>
      <c r="V130" s="10" t="s">
        <v>635</v>
      </c>
      <c r="W130" s="12">
        <v>127</v>
      </c>
      <c r="X130" s="12">
        <v>119.8</v>
      </c>
      <c r="Y130" s="12">
        <v>14.3</v>
      </c>
      <c r="Z130" s="12">
        <v>8.1999999999999993</v>
      </c>
      <c r="AA130" s="15">
        <v>58</v>
      </c>
      <c r="AB130" s="15">
        <v>57</v>
      </c>
      <c r="AC130" s="12">
        <f t="shared" si="144"/>
        <v>7.2000000000000028</v>
      </c>
      <c r="AD130" s="12">
        <f t="shared" si="145"/>
        <v>11.682135972713027</v>
      </c>
      <c r="AE130" s="12">
        <f t="shared" si="146"/>
        <v>0.61632564599638828</v>
      </c>
      <c r="AF130" s="12">
        <f t="shared" si="147"/>
        <v>0.19088423833843723</v>
      </c>
      <c r="AG130" s="12" t="s">
        <v>157</v>
      </c>
      <c r="AH130" s="12"/>
      <c r="AI130" s="12" t="s">
        <v>780</v>
      </c>
      <c r="AJ130" s="12" t="s">
        <v>348</v>
      </c>
      <c r="AK130" s="12" t="s">
        <v>1298</v>
      </c>
      <c r="AL130" s="12"/>
      <c r="AM130" s="10" t="s">
        <v>706</v>
      </c>
      <c r="AN130" s="10" t="s">
        <v>193</v>
      </c>
    </row>
    <row r="131" spans="1:40" s="10" customFormat="1" x14ac:dyDescent="0.2">
      <c r="A131" s="6">
        <v>2009</v>
      </c>
      <c r="B131" s="4">
        <v>19433778</v>
      </c>
      <c r="C131" s="4" t="s">
        <v>98</v>
      </c>
      <c r="D131" s="4"/>
      <c r="E131" s="4" t="s">
        <v>157</v>
      </c>
      <c r="F131" s="4" t="s">
        <v>94</v>
      </c>
      <c r="G131" s="4" t="s">
        <v>95</v>
      </c>
      <c r="H131" s="4" t="s">
        <v>95</v>
      </c>
      <c r="I131" s="4">
        <v>24</v>
      </c>
      <c r="J131" s="4" t="s">
        <v>876</v>
      </c>
      <c r="K131" s="4" t="s">
        <v>86</v>
      </c>
      <c r="L131" s="10" t="s">
        <v>412</v>
      </c>
      <c r="M131" s="10" t="s">
        <v>902</v>
      </c>
      <c r="N131" s="10" t="s">
        <v>766</v>
      </c>
      <c r="O131" s="10" t="s">
        <v>651</v>
      </c>
      <c r="P131" s="10" t="s">
        <v>911</v>
      </c>
      <c r="Q131" s="10">
        <v>2</v>
      </c>
      <c r="R131" s="10">
        <v>115</v>
      </c>
      <c r="S131" s="10">
        <v>46.7</v>
      </c>
      <c r="T131" s="13">
        <v>55</v>
      </c>
      <c r="U131" s="10" t="s">
        <v>794</v>
      </c>
      <c r="V131" s="10" t="s">
        <v>635</v>
      </c>
      <c r="W131" s="12">
        <v>81.3</v>
      </c>
      <c r="X131" s="12">
        <v>77.400000000000006</v>
      </c>
      <c r="Y131" s="12">
        <v>9.3000000000000007</v>
      </c>
      <c r="Z131" s="12">
        <v>7.7</v>
      </c>
      <c r="AA131" s="15">
        <v>58</v>
      </c>
      <c r="AB131" s="15">
        <v>57</v>
      </c>
      <c r="AC131" s="12">
        <f t="shared" ref="AC131" si="148">W131-X131</f>
        <v>3.8999999999999915</v>
      </c>
      <c r="AD131" s="12">
        <f t="shared" ref="AD131" si="149">SQRT(((AA131-1)*Y131^2+(AB131-1)*Z131^2)/(AA131+AB131-2))</f>
        <v>8.5446096448170685</v>
      </c>
      <c r="AE131" s="12">
        <f t="shared" ref="AE131" si="150">AC131/AD131</f>
        <v>0.45642810638700471</v>
      </c>
      <c r="AF131" s="12">
        <f t="shared" ref="AF131" si="151">SQRT(((AA131+AB131)/(AA131*AB131)+(AE131^2/(2*(AA131+AB131)))))</f>
        <v>0.18892063639640924</v>
      </c>
      <c r="AG131" s="12" t="s">
        <v>157</v>
      </c>
      <c r="AH131" s="12"/>
      <c r="AI131" s="12" t="s">
        <v>780</v>
      </c>
      <c r="AJ131" s="12" t="s">
        <v>348</v>
      </c>
      <c r="AK131" s="12" t="s">
        <v>1298</v>
      </c>
      <c r="AL131" s="12"/>
      <c r="AM131" s="10" t="s">
        <v>706</v>
      </c>
      <c r="AN131" s="10" t="s">
        <v>193</v>
      </c>
    </row>
    <row r="132" spans="1:40" s="10" customFormat="1" x14ac:dyDescent="0.2">
      <c r="A132" s="6">
        <v>2009</v>
      </c>
      <c r="B132" s="4">
        <v>19433778</v>
      </c>
      <c r="C132" s="4" t="s">
        <v>98</v>
      </c>
      <c r="D132" s="4"/>
      <c r="E132" s="4" t="s">
        <v>157</v>
      </c>
      <c r="F132" s="4" t="s">
        <v>94</v>
      </c>
      <c r="G132" s="4" t="s">
        <v>95</v>
      </c>
      <c r="H132" s="4" t="s">
        <v>95</v>
      </c>
      <c r="I132" s="4">
        <v>24</v>
      </c>
      <c r="J132" s="4" t="s">
        <v>876</v>
      </c>
      <c r="K132" s="4" t="s">
        <v>86</v>
      </c>
      <c r="L132" s="10" t="s">
        <v>412</v>
      </c>
      <c r="M132" s="10" t="s">
        <v>902</v>
      </c>
      <c r="N132" s="10" t="s">
        <v>766</v>
      </c>
      <c r="O132" s="10" t="s">
        <v>651</v>
      </c>
      <c r="P132" s="10" t="s">
        <v>911</v>
      </c>
      <c r="Q132" s="10">
        <v>2</v>
      </c>
      <c r="R132" s="10">
        <v>115</v>
      </c>
      <c r="S132" s="10">
        <v>46.7</v>
      </c>
      <c r="T132" s="13">
        <v>55</v>
      </c>
      <c r="U132" s="4" t="s">
        <v>452</v>
      </c>
      <c r="V132" s="4" t="s">
        <v>635</v>
      </c>
      <c r="W132" s="7">
        <v>10.4</v>
      </c>
      <c r="X132" s="7">
        <v>15.1</v>
      </c>
      <c r="Y132" s="7">
        <v>5.5</v>
      </c>
      <c r="Z132" s="7">
        <v>5.4</v>
      </c>
      <c r="AA132" s="15">
        <v>58</v>
      </c>
      <c r="AB132" s="15">
        <v>57</v>
      </c>
      <c r="AC132" s="7">
        <f t="shared" si="144"/>
        <v>-4.6999999999999993</v>
      </c>
      <c r="AD132" s="7">
        <f t="shared" si="145"/>
        <v>5.4506717942699101</v>
      </c>
      <c r="AE132" s="7">
        <f t="shared" si="146"/>
        <v>-0.86227903227285407</v>
      </c>
      <c r="AF132" s="12">
        <f t="shared" si="147"/>
        <v>0.19498193996830629</v>
      </c>
      <c r="AG132" s="12" t="s">
        <v>157</v>
      </c>
      <c r="AH132" s="7"/>
      <c r="AI132" s="7" t="s">
        <v>780</v>
      </c>
      <c r="AJ132" s="7" t="s">
        <v>348</v>
      </c>
      <c r="AK132" s="12" t="s">
        <v>1298</v>
      </c>
      <c r="AL132" s="7"/>
      <c r="AM132" s="10" t="s">
        <v>706</v>
      </c>
      <c r="AN132" s="10" t="s">
        <v>193</v>
      </c>
    </row>
    <row r="133" spans="1:40" s="10" customFormat="1" x14ac:dyDescent="0.2">
      <c r="A133" s="6">
        <v>2009</v>
      </c>
      <c r="B133" s="25">
        <v>18600215</v>
      </c>
      <c r="C133" s="4" t="s">
        <v>103</v>
      </c>
      <c r="D133" s="4"/>
      <c r="E133" s="4" t="s">
        <v>157</v>
      </c>
      <c r="F133" s="4" t="s">
        <v>97</v>
      </c>
      <c r="G133" s="4" t="s">
        <v>1100</v>
      </c>
      <c r="H133" s="4" t="s">
        <v>1100</v>
      </c>
      <c r="I133" s="4">
        <v>24</v>
      </c>
      <c r="J133" s="4" t="s">
        <v>86</v>
      </c>
      <c r="K133" s="4" t="s">
        <v>86</v>
      </c>
      <c r="L133" s="10" t="s">
        <v>412</v>
      </c>
      <c r="M133" s="10" t="s">
        <v>902</v>
      </c>
      <c r="N133" s="10" t="s">
        <v>766</v>
      </c>
      <c r="O133" s="10" t="s">
        <v>652</v>
      </c>
      <c r="P133" s="10" t="s">
        <v>911</v>
      </c>
      <c r="Q133" s="10">
        <v>2</v>
      </c>
      <c r="R133" s="10">
        <v>180</v>
      </c>
      <c r="S133" s="10">
        <v>52.5</v>
      </c>
      <c r="T133" s="13">
        <v>52</v>
      </c>
      <c r="U133" s="4" t="s">
        <v>644</v>
      </c>
      <c r="V133" s="4" t="s">
        <v>642</v>
      </c>
      <c r="W133" s="7">
        <v>131</v>
      </c>
      <c r="X133" s="7">
        <v>128</v>
      </c>
      <c r="Y133" s="7">
        <v>11</v>
      </c>
      <c r="Z133" s="7">
        <v>11</v>
      </c>
      <c r="AA133" s="15">
        <v>88</v>
      </c>
      <c r="AB133" s="15">
        <v>92</v>
      </c>
      <c r="AC133" s="7">
        <f t="shared" si="144"/>
        <v>3</v>
      </c>
      <c r="AD133" s="7">
        <f t="shared" si="145"/>
        <v>11</v>
      </c>
      <c r="AE133" s="7">
        <f t="shared" si="146"/>
        <v>0.27272727272727271</v>
      </c>
      <c r="AF133" s="12">
        <f t="shared" si="147"/>
        <v>0.14979924282610912</v>
      </c>
      <c r="AG133" s="12" t="s">
        <v>193</v>
      </c>
      <c r="AH133" s="7"/>
      <c r="AI133" s="7" t="s">
        <v>780</v>
      </c>
      <c r="AJ133" s="7" t="s">
        <v>348</v>
      </c>
      <c r="AK133" s="12" t="s">
        <v>1298</v>
      </c>
      <c r="AL133" s="7"/>
      <c r="AM133" s="10" t="s">
        <v>706</v>
      </c>
      <c r="AN133" s="10" t="s">
        <v>193</v>
      </c>
    </row>
    <row r="134" spans="1:40" s="10" customFormat="1" x14ac:dyDescent="0.2">
      <c r="A134" s="6">
        <v>2009</v>
      </c>
      <c r="B134" s="4">
        <v>18600215</v>
      </c>
      <c r="C134" s="4" t="s">
        <v>103</v>
      </c>
      <c r="D134" s="4"/>
      <c r="E134" s="4" t="s">
        <v>157</v>
      </c>
      <c r="F134" s="4" t="s">
        <v>97</v>
      </c>
      <c r="G134" s="4" t="s">
        <v>1100</v>
      </c>
      <c r="H134" s="4" t="s">
        <v>1100</v>
      </c>
      <c r="I134" s="4">
        <v>24</v>
      </c>
      <c r="J134" s="4" t="s">
        <v>86</v>
      </c>
      <c r="K134" s="4" t="s">
        <v>86</v>
      </c>
      <c r="L134" s="10" t="s">
        <v>412</v>
      </c>
      <c r="M134" s="10" t="s">
        <v>902</v>
      </c>
      <c r="N134" s="10" t="s">
        <v>766</v>
      </c>
      <c r="O134" s="10" t="s">
        <v>652</v>
      </c>
      <c r="P134" s="10" t="s">
        <v>911</v>
      </c>
      <c r="Q134" s="10">
        <v>2</v>
      </c>
      <c r="R134" s="10">
        <v>180</v>
      </c>
      <c r="S134" s="10">
        <v>52.5</v>
      </c>
      <c r="T134" s="13">
        <v>52</v>
      </c>
      <c r="U134" s="4" t="s">
        <v>645</v>
      </c>
      <c r="V134" s="4" t="s">
        <v>642</v>
      </c>
      <c r="W134" s="7">
        <v>83</v>
      </c>
      <c r="X134" s="7">
        <v>82</v>
      </c>
      <c r="Y134" s="7">
        <v>7</v>
      </c>
      <c r="Z134" s="7">
        <v>9</v>
      </c>
      <c r="AA134" s="15">
        <v>88</v>
      </c>
      <c r="AB134" s="15">
        <v>92</v>
      </c>
      <c r="AC134" s="7">
        <f t="shared" si="144"/>
        <v>1</v>
      </c>
      <c r="AD134" s="7">
        <f t="shared" si="145"/>
        <v>8.0845253764087932</v>
      </c>
      <c r="AE134" s="7">
        <f t="shared" si="146"/>
        <v>0.12369309927804413</v>
      </c>
      <c r="AF134" s="12">
        <f t="shared" si="147"/>
        <v>0.14925046577238851</v>
      </c>
      <c r="AG134" s="12" t="s">
        <v>193</v>
      </c>
      <c r="AH134" s="7"/>
      <c r="AI134" s="7" t="s">
        <v>780</v>
      </c>
      <c r="AJ134" s="7" t="s">
        <v>348</v>
      </c>
      <c r="AK134" s="12" t="s">
        <v>1298</v>
      </c>
      <c r="AL134" s="7"/>
      <c r="AM134" s="10" t="s">
        <v>706</v>
      </c>
      <c r="AN134" s="10" t="s">
        <v>193</v>
      </c>
    </row>
    <row r="135" spans="1:40" s="10" customFormat="1" x14ac:dyDescent="0.2">
      <c r="A135" s="6">
        <v>2009</v>
      </c>
      <c r="B135" s="4">
        <v>18600215</v>
      </c>
      <c r="C135" s="4" t="s">
        <v>103</v>
      </c>
      <c r="D135" s="4"/>
      <c r="E135" s="4" t="s">
        <v>157</v>
      </c>
      <c r="F135" s="4" t="s">
        <v>97</v>
      </c>
      <c r="G135" s="4" t="s">
        <v>1100</v>
      </c>
      <c r="H135" s="4" t="s">
        <v>1100</v>
      </c>
      <c r="I135" s="4">
        <v>24</v>
      </c>
      <c r="J135" s="4" t="s">
        <v>86</v>
      </c>
      <c r="K135" s="4" t="s">
        <v>86</v>
      </c>
      <c r="L135" s="10" t="s">
        <v>412</v>
      </c>
      <c r="M135" s="10" t="s">
        <v>902</v>
      </c>
      <c r="N135" s="10" t="s">
        <v>766</v>
      </c>
      <c r="O135" s="10" t="s">
        <v>652</v>
      </c>
      <c r="P135" s="10" t="s">
        <v>911</v>
      </c>
      <c r="Q135" s="10">
        <v>2</v>
      </c>
      <c r="R135" s="10">
        <v>180</v>
      </c>
      <c r="S135" s="10">
        <v>52.5</v>
      </c>
      <c r="T135" s="13">
        <v>52</v>
      </c>
      <c r="U135" s="10" t="s">
        <v>637</v>
      </c>
      <c r="V135" s="10" t="s">
        <v>635</v>
      </c>
      <c r="W135" s="12">
        <v>118</v>
      </c>
      <c r="X135" s="12">
        <v>114</v>
      </c>
      <c r="Y135" s="12">
        <v>11</v>
      </c>
      <c r="Z135" s="12">
        <v>13</v>
      </c>
      <c r="AA135" s="15">
        <v>88</v>
      </c>
      <c r="AB135" s="15">
        <v>92</v>
      </c>
      <c r="AC135" s="12">
        <f t="shared" ref="AC135:AC141" si="152">W135-X135</f>
        <v>4</v>
      </c>
      <c r="AD135" s="12">
        <f t="shared" ref="AD135:AD141" si="153">SQRT(((AA135-1)*Y135^2+(AB135-1)*Z135^2)/(AA135+AB135-2))</f>
        <v>12.063968080308262</v>
      </c>
      <c r="AE135" s="12">
        <f t="shared" ref="AE135:AE141" si="154">AC135/AD135</f>
        <v>0.33156586401526611</v>
      </c>
      <c r="AF135" s="12">
        <f t="shared" ref="AF135:AF141" si="155">SQRT(((AA135+AB135)/(AA135*AB135)+(AE135^2/(2*(AA135+AB135)))))</f>
        <v>0.15012854206525589</v>
      </c>
      <c r="AG135" s="12" t="s">
        <v>193</v>
      </c>
      <c r="AH135" s="12"/>
      <c r="AI135" s="12" t="s">
        <v>780</v>
      </c>
      <c r="AJ135" s="12" t="s">
        <v>348</v>
      </c>
      <c r="AK135" s="12" t="s">
        <v>1298</v>
      </c>
      <c r="AL135" s="12"/>
      <c r="AM135" s="10" t="s">
        <v>706</v>
      </c>
      <c r="AN135" s="10" t="s">
        <v>193</v>
      </c>
    </row>
    <row r="136" spans="1:40" s="10" customFormat="1" x14ac:dyDescent="0.2">
      <c r="A136" s="6">
        <v>2009</v>
      </c>
      <c r="B136" s="4">
        <v>18600215</v>
      </c>
      <c r="C136" s="4" t="s">
        <v>103</v>
      </c>
      <c r="D136" s="4"/>
      <c r="E136" s="4" t="s">
        <v>157</v>
      </c>
      <c r="F136" s="4" t="s">
        <v>97</v>
      </c>
      <c r="G136" s="4" t="s">
        <v>1100</v>
      </c>
      <c r="H136" s="4" t="s">
        <v>1100</v>
      </c>
      <c r="I136" s="4">
        <v>24</v>
      </c>
      <c r="J136" s="4" t="s">
        <v>86</v>
      </c>
      <c r="K136" s="4" t="s">
        <v>86</v>
      </c>
      <c r="L136" s="10" t="s">
        <v>412</v>
      </c>
      <c r="M136" s="10" t="s">
        <v>902</v>
      </c>
      <c r="N136" s="10" t="s">
        <v>766</v>
      </c>
      <c r="O136" s="10" t="s">
        <v>652</v>
      </c>
      <c r="P136" s="10" t="s">
        <v>911</v>
      </c>
      <c r="Q136" s="10">
        <v>2</v>
      </c>
      <c r="R136" s="10">
        <v>180</v>
      </c>
      <c r="S136" s="10">
        <v>52.5</v>
      </c>
      <c r="T136" s="13">
        <v>52</v>
      </c>
      <c r="U136" s="10" t="s">
        <v>638</v>
      </c>
      <c r="V136" s="10" t="s">
        <v>635</v>
      </c>
      <c r="W136" s="12">
        <v>71</v>
      </c>
      <c r="X136" s="12">
        <v>68</v>
      </c>
      <c r="Y136" s="12">
        <v>7</v>
      </c>
      <c r="Z136" s="12">
        <v>9</v>
      </c>
      <c r="AA136" s="15">
        <v>88</v>
      </c>
      <c r="AB136" s="15">
        <v>92</v>
      </c>
      <c r="AC136" s="12">
        <f t="shared" si="152"/>
        <v>3</v>
      </c>
      <c r="AD136" s="12">
        <f t="shared" si="153"/>
        <v>8.0845253764087932</v>
      </c>
      <c r="AE136" s="12">
        <f t="shared" si="154"/>
        <v>0.3710792978341324</v>
      </c>
      <c r="AF136" s="12">
        <f t="shared" si="155"/>
        <v>0.15038517596908568</v>
      </c>
      <c r="AG136" s="12" t="s">
        <v>193</v>
      </c>
      <c r="AH136" s="12" t="s">
        <v>193</v>
      </c>
      <c r="AI136" s="12" t="s">
        <v>780</v>
      </c>
      <c r="AJ136" s="12" t="s">
        <v>348</v>
      </c>
      <c r="AK136" s="12" t="s">
        <v>1298</v>
      </c>
      <c r="AL136" s="12"/>
      <c r="AM136" s="10" t="s">
        <v>706</v>
      </c>
      <c r="AN136" s="10" t="s">
        <v>193</v>
      </c>
    </row>
    <row r="137" spans="1:40" s="10" customFormat="1" x14ac:dyDescent="0.2">
      <c r="A137" s="6">
        <v>2009</v>
      </c>
      <c r="B137" s="4">
        <v>18600215</v>
      </c>
      <c r="C137" s="4" t="s">
        <v>103</v>
      </c>
      <c r="D137" s="4"/>
      <c r="E137" s="4" t="s">
        <v>157</v>
      </c>
      <c r="F137" s="4" t="s">
        <v>97</v>
      </c>
      <c r="G137" s="4" t="s">
        <v>1100</v>
      </c>
      <c r="H137" s="4" t="s">
        <v>1100</v>
      </c>
      <c r="I137" s="4">
        <v>24</v>
      </c>
      <c r="J137" s="4" t="s">
        <v>86</v>
      </c>
      <c r="K137" s="4" t="s">
        <v>86</v>
      </c>
      <c r="L137" s="10" t="s">
        <v>412</v>
      </c>
      <c r="M137" s="10" t="s">
        <v>902</v>
      </c>
      <c r="N137" s="10" t="s">
        <v>766</v>
      </c>
      <c r="O137" s="10" t="s">
        <v>652</v>
      </c>
      <c r="P137" s="10" t="s">
        <v>911</v>
      </c>
      <c r="Q137" s="10">
        <v>2</v>
      </c>
      <c r="R137" s="10">
        <v>180</v>
      </c>
      <c r="S137" s="10">
        <v>52.5</v>
      </c>
      <c r="T137" s="13">
        <v>52</v>
      </c>
      <c r="U137" s="10" t="s">
        <v>640</v>
      </c>
      <c r="V137" s="10" t="s">
        <v>642</v>
      </c>
      <c r="W137" s="12">
        <v>127</v>
      </c>
      <c r="X137" s="12">
        <v>124</v>
      </c>
      <c r="Y137" s="12">
        <v>10</v>
      </c>
      <c r="Z137" s="12">
        <v>12</v>
      </c>
      <c r="AA137" s="15">
        <v>88</v>
      </c>
      <c r="AB137" s="15">
        <v>92</v>
      </c>
      <c r="AC137" s="12">
        <f t="shared" ref="AC137:AC138" si="156">W137-X137</f>
        <v>3</v>
      </c>
      <c r="AD137" s="12">
        <f t="shared" ref="AD137:AD138" si="157">SQRT(((AA137-1)*Y137^2+(AB137-1)*Z137^2)/(AA137+AB137-2))</f>
        <v>11.067718013324694</v>
      </c>
      <c r="AE137" s="12">
        <f t="shared" ref="AE137:AE138" si="158">AC137/AD137</f>
        <v>0.27105858645731917</v>
      </c>
      <c r="AF137" s="12">
        <f t="shared" ref="AF137:AF138" si="159">SQRT(((AA137+AB137)/(AA137*AB137)+(AE137^2/(2*(AA137+AB137)))))</f>
        <v>0.14979082940389279</v>
      </c>
      <c r="AG137" s="12" t="s">
        <v>193</v>
      </c>
      <c r="AH137" s="12"/>
      <c r="AI137" s="12" t="s">
        <v>780</v>
      </c>
      <c r="AJ137" s="12" t="s">
        <v>348</v>
      </c>
      <c r="AK137" s="12" t="s">
        <v>1298</v>
      </c>
      <c r="AL137" s="12"/>
      <c r="AM137" s="10" t="s">
        <v>706</v>
      </c>
      <c r="AN137" s="10" t="s">
        <v>193</v>
      </c>
    </row>
    <row r="138" spans="1:40" s="10" customFormat="1" x14ac:dyDescent="0.2">
      <c r="A138" s="6">
        <v>2009</v>
      </c>
      <c r="B138" s="4">
        <v>18600215</v>
      </c>
      <c r="C138" s="4" t="s">
        <v>103</v>
      </c>
      <c r="D138" s="4"/>
      <c r="E138" s="4" t="s">
        <v>157</v>
      </c>
      <c r="F138" s="4" t="s">
        <v>97</v>
      </c>
      <c r="G138" s="4" t="s">
        <v>1100</v>
      </c>
      <c r="H138" s="4" t="s">
        <v>1100</v>
      </c>
      <c r="I138" s="4">
        <v>24</v>
      </c>
      <c r="J138" s="4" t="s">
        <v>86</v>
      </c>
      <c r="K138" s="4" t="s">
        <v>86</v>
      </c>
      <c r="L138" s="10" t="s">
        <v>412</v>
      </c>
      <c r="M138" s="10" t="s">
        <v>902</v>
      </c>
      <c r="N138" s="10" t="s">
        <v>766</v>
      </c>
      <c r="O138" s="10" t="s">
        <v>652</v>
      </c>
      <c r="P138" s="10" t="s">
        <v>911</v>
      </c>
      <c r="Q138" s="10">
        <v>2</v>
      </c>
      <c r="R138" s="10">
        <v>180</v>
      </c>
      <c r="S138" s="10">
        <v>52.5</v>
      </c>
      <c r="T138" s="13">
        <v>52</v>
      </c>
      <c r="U138" s="10" t="s">
        <v>641</v>
      </c>
      <c r="V138" s="10" t="s">
        <v>642</v>
      </c>
      <c r="W138" s="12">
        <v>79</v>
      </c>
      <c r="X138" s="12">
        <v>78</v>
      </c>
      <c r="Y138" s="12">
        <v>7</v>
      </c>
      <c r="Z138" s="12">
        <v>9</v>
      </c>
      <c r="AA138" s="15">
        <v>88</v>
      </c>
      <c r="AB138" s="15">
        <v>92</v>
      </c>
      <c r="AC138" s="12">
        <f t="shared" si="156"/>
        <v>1</v>
      </c>
      <c r="AD138" s="12">
        <f t="shared" si="157"/>
        <v>8.0845253764087932</v>
      </c>
      <c r="AE138" s="12">
        <f t="shared" si="158"/>
        <v>0.12369309927804413</v>
      </c>
      <c r="AF138" s="12">
        <f t="shared" si="159"/>
        <v>0.14925046577238851</v>
      </c>
      <c r="AG138" s="12" t="s">
        <v>193</v>
      </c>
      <c r="AH138" s="12"/>
      <c r="AI138" s="12" t="s">
        <v>780</v>
      </c>
      <c r="AJ138" s="12" t="s">
        <v>348</v>
      </c>
      <c r="AK138" s="12" t="s">
        <v>1298</v>
      </c>
      <c r="AL138" s="12"/>
      <c r="AM138" s="10" t="s">
        <v>706</v>
      </c>
      <c r="AN138" s="10" t="s">
        <v>193</v>
      </c>
    </row>
    <row r="139" spans="1:40" s="10" customFormat="1" x14ac:dyDescent="0.2">
      <c r="A139" s="6">
        <v>2009</v>
      </c>
      <c r="B139" s="4">
        <v>18600215</v>
      </c>
      <c r="C139" s="4" t="s">
        <v>103</v>
      </c>
      <c r="D139" s="4"/>
      <c r="E139" s="4" t="s">
        <v>157</v>
      </c>
      <c r="F139" s="4" t="s">
        <v>97</v>
      </c>
      <c r="G139" s="4" t="s">
        <v>1100</v>
      </c>
      <c r="H139" s="4" t="s">
        <v>1100</v>
      </c>
      <c r="I139" s="4">
        <v>24</v>
      </c>
      <c r="J139" s="4" t="s">
        <v>86</v>
      </c>
      <c r="K139" s="4" t="s">
        <v>86</v>
      </c>
      <c r="L139" s="10" t="s">
        <v>412</v>
      </c>
      <c r="M139" s="10" t="s">
        <v>902</v>
      </c>
      <c r="N139" s="10" t="s">
        <v>766</v>
      </c>
      <c r="O139" s="10" t="s">
        <v>652</v>
      </c>
      <c r="P139" s="10" t="s">
        <v>911</v>
      </c>
      <c r="Q139" s="10">
        <v>2</v>
      </c>
      <c r="R139" s="10">
        <v>180</v>
      </c>
      <c r="S139" s="10">
        <v>52.5</v>
      </c>
      <c r="T139" s="13">
        <v>52</v>
      </c>
      <c r="U139" s="10" t="s">
        <v>449</v>
      </c>
      <c r="V139" s="10" t="s">
        <v>635</v>
      </c>
      <c r="W139" s="12">
        <v>21</v>
      </c>
      <c r="X139" s="12">
        <v>15</v>
      </c>
      <c r="Y139" s="12">
        <v>13</v>
      </c>
      <c r="Z139" s="12">
        <v>10</v>
      </c>
      <c r="AA139" s="15">
        <v>88</v>
      </c>
      <c r="AB139" s="15">
        <v>92</v>
      </c>
      <c r="AC139" s="12">
        <f t="shared" si="152"/>
        <v>6</v>
      </c>
      <c r="AD139" s="12">
        <f t="shared" si="153"/>
        <v>11.563940465997028</v>
      </c>
      <c r="AE139" s="12">
        <f t="shared" si="154"/>
        <v>0.51885427961537745</v>
      </c>
      <c r="AF139" s="12">
        <f t="shared" si="155"/>
        <v>0.15159487616529085</v>
      </c>
      <c r="AG139" s="12" t="s">
        <v>157</v>
      </c>
      <c r="AH139" s="12"/>
      <c r="AI139" s="12" t="s">
        <v>780</v>
      </c>
      <c r="AJ139" s="12" t="s">
        <v>348</v>
      </c>
      <c r="AK139" s="12" t="s">
        <v>1298</v>
      </c>
      <c r="AL139" s="12"/>
      <c r="AM139" s="10" t="s">
        <v>706</v>
      </c>
      <c r="AN139" s="10" t="s">
        <v>193</v>
      </c>
    </row>
    <row r="140" spans="1:40" s="10" customFormat="1" x14ac:dyDescent="0.2">
      <c r="A140" s="6">
        <v>2009</v>
      </c>
      <c r="B140" s="4">
        <v>18600215</v>
      </c>
      <c r="C140" s="4" t="s">
        <v>103</v>
      </c>
      <c r="D140" s="4"/>
      <c r="E140" s="4" t="s">
        <v>157</v>
      </c>
      <c r="F140" s="4" t="s">
        <v>97</v>
      </c>
      <c r="G140" s="4" t="s">
        <v>1100</v>
      </c>
      <c r="H140" s="4" t="s">
        <v>1100</v>
      </c>
      <c r="I140" s="4">
        <v>24</v>
      </c>
      <c r="J140" s="4" t="s">
        <v>86</v>
      </c>
      <c r="K140" s="4" t="s">
        <v>86</v>
      </c>
      <c r="L140" s="10" t="s">
        <v>412</v>
      </c>
      <c r="M140" s="10" t="s">
        <v>902</v>
      </c>
      <c r="N140" s="10" t="s">
        <v>766</v>
      </c>
      <c r="O140" s="10" t="s">
        <v>652</v>
      </c>
      <c r="P140" s="10" t="s">
        <v>911</v>
      </c>
      <c r="Q140" s="10">
        <v>2</v>
      </c>
      <c r="R140" s="10">
        <v>180</v>
      </c>
      <c r="S140" s="10">
        <v>52.5</v>
      </c>
      <c r="T140" s="13">
        <v>52</v>
      </c>
      <c r="U140" s="10" t="s">
        <v>450</v>
      </c>
      <c r="V140" s="10" t="s">
        <v>635</v>
      </c>
      <c r="W140" s="12">
        <v>18</v>
      </c>
      <c r="X140" s="12">
        <v>15</v>
      </c>
      <c r="Y140" s="12">
        <v>9</v>
      </c>
      <c r="Z140" s="12">
        <v>9</v>
      </c>
      <c r="AA140" s="15">
        <v>88</v>
      </c>
      <c r="AB140" s="15">
        <v>92</v>
      </c>
      <c r="AC140" s="12">
        <f t="shared" si="152"/>
        <v>3</v>
      </c>
      <c r="AD140" s="12">
        <f t="shared" si="153"/>
        <v>9</v>
      </c>
      <c r="AE140" s="12">
        <f t="shared" si="154"/>
        <v>0.33333333333333331</v>
      </c>
      <c r="AF140" s="12">
        <f t="shared" si="155"/>
        <v>0.15013941373382378</v>
      </c>
      <c r="AG140" s="12" t="s">
        <v>157</v>
      </c>
      <c r="AH140" s="12"/>
      <c r="AI140" s="12" t="s">
        <v>780</v>
      </c>
      <c r="AJ140" s="12" t="s">
        <v>348</v>
      </c>
      <c r="AK140" s="12" t="s">
        <v>1298</v>
      </c>
      <c r="AL140" s="12"/>
      <c r="AM140" s="10" t="s">
        <v>706</v>
      </c>
      <c r="AN140" s="10" t="s">
        <v>193</v>
      </c>
    </row>
    <row r="141" spans="1:40" s="10" customFormat="1" x14ac:dyDescent="0.2">
      <c r="A141" s="10">
        <v>2009</v>
      </c>
      <c r="B141" s="43">
        <v>19142758</v>
      </c>
      <c r="C141" s="4" t="s">
        <v>117</v>
      </c>
      <c r="D141" s="4"/>
      <c r="E141" s="4" t="s">
        <v>157</v>
      </c>
      <c r="F141" s="4" t="s">
        <v>108</v>
      </c>
      <c r="G141" s="4" t="s">
        <v>109</v>
      </c>
      <c r="H141" s="4" t="s">
        <v>109</v>
      </c>
      <c r="I141" s="4">
        <v>13</v>
      </c>
      <c r="J141" s="4" t="s">
        <v>871</v>
      </c>
      <c r="K141" s="4" t="s">
        <v>86</v>
      </c>
      <c r="L141" s="10" t="s">
        <v>412</v>
      </c>
      <c r="M141" s="10" t="s">
        <v>902</v>
      </c>
      <c r="N141" s="10" t="s">
        <v>766</v>
      </c>
      <c r="O141" s="10" t="s">
        <v>652</v>
      </c>
      <c r="P141" s="10" t="s">
        <v>911</v>
      </c>
      <c r="Q141" s="10">
        <v>2</v>
      </c>
      <c r="R141" s="15">
        <f>AA141+AB141</f>
        <v>133</v>
      </c>
      <c r="S141" s="13">
        <v>46.6</v>
      </c>
      <c r="T141" s="13">
        <v>68</v>
      </c>
      <c r="U141" s="10" t="s">
        <v>644</v>
      </c>
      <c r="V141" s="10" t="s">
        <v>642</v>
      </c>
      <c r="W141" s="12">
        <v>120.3</v>
      </c>
      <c r="X141" s="12">
        <v>121.6</v>
      </c>
      <c r="Y141" s="12">
        <v>11</v>
      </c>
      <c r="Z141" s="12">
        <v>11.4</v>
      </c>
      <c r="AA141" s="15">
        <v>67</v>
      </c>
      <c r="AB141" s="15">
        <v>66</v>
      </c>
      <c r="AC141" s="12">
        <f t="shared" si="152"/>
        <v>-1.2999999999999972</v>
      </c>
      <c r="AD141" s="12">
        <f t="shared" si="153"/>
        <v>11.20025899373392</v>
      </c>
      <c r="AE141" s="12">
        <f t="shared" si="154"/>
        <v>-0.11606874454664783</v>
      </c>
      <c r="AF141" s="12">
        <f t="shared" si="155"/>
        <v>0.17357285135476933</v>
      </c>
      <c r="AG141" s="12" t="s">
        <v>193</v>
      </c>
      <c r="AH141" s="12"/>
      <c r="AI141" s="12" t="s">
        <v>780</v>
      </c>
      <c r="AJ141" s="12" t="s">
        <v>328</v>
      </c>
      <c r="AK141" s="12" t="s">
        <v>1298</v>
      </c>
      <c r="AL141" s="12"/>
      <c r="AM141" s="10" t="s">
        <v>706</v>
      </c>
      <c r="AN141" s="10" t="s">
        <v>193</v>
      </c>
    </row>
    <row r="142" spans="1:40" s="10" customFormat="1" x14ac:dyDescent="0.2">
      <c r="A142" s="10">
        <v>2009</v>
      </c>
      <c r="B142" s="10">
        <v>19142758</v>
      </c>
      <c r="C142" s="4" t="s">
        <v>117</v>
      </c>
      <c r="D142" s="4"/>
      <c r="E142" s="4" t="s">
        <v>157</v>
      </c>
      <c r="F142" s="4" t="s">
        <v>108</v>
      </c>
      <c r="G142" s="4" t="s">
        <v>109</v>
      </c>
      <c r="H142" s="4" t="s">
        <v>109</v>
      </c>
      <c r="I142" s="4">
        <v>13</v>
      </c>
      <c r="J142" s="4" t="s">
        <v>871</v>
      </c>
      <c r="K142" s="4" t="s">
        <v>86</v>
      </c>
      <c r="L142" s="10" t="s">
        <v>412</v>
      </c>
      <c r="M142" s="10" t="s">
        <v>902</v>
      </c>
      <c r="N142" s="10" t="s">
        <v>766</v>
      </c>
      <c r="O142" s="10" t="s">
        <v>652</v>
      </c>
      <c r="P142" s="10" t="s">
        <v>911</v>
      </c>
      <c r="Q142" s="10">
        <v>2</v>
      </c>
      <c r="R142" s="15">
        <f t="shared" ref="R142:R147" si="160">AA142+AB142</f>
        <v>133</v>
      </c>
      <c r="S142" s="13">
        <v>46.6</v>
      </c>
      <c r="T142" s="13">
        <v>68</v>
      </c>
      <c r="U142" s="10" t="s">
        <v>645</v>
      </c>
      <c r="V142" s="10" t="s">
        <v>642</v>
      </c>
      <c r="W142" s="12">
        <v>75.3</v>
      </c>
      <c r="X142" s="12">
        <v>76.7</v>
      </c>
      <c r="Y142" s="12">
        <v>7.5</v>
      </c>
      <c r="Z142" s="12">
        <v>8.6999999999999993</v>
      </c>
      <c r="AA142" s="15">
        <v>67</v>
      </c>
      <c r="AB142" s="15">
        <v>66</v>
      </c>
      <c r="AC142" s="12">
        <f t="shared" ref="AC142:AC148" si="161">W142-X142</f>
        <v>-1.4000000000000057</v>
      </c>
      <c r="AD142" s="12">
        <f t="shared" ref="AD142:AD147" si="162">SQRT(((AA142-1)*Y142^2+(AB142-1)*Z142^2)/(AA142+AB142-2))</f>
        <v>8.1176228987750818</v>
      </c>
      <c r="AE142" s="12">
        <f t="shared" ref="AE142:AE147" si="163">AC142/AD142</f>
        <v>-0.17246428141066522</v>
      </c>
      <c r="AF142" s="12">
        <f t="shared" ref="AF142:AF147" si="164">SQRT(((AA142+AB142)/(AA142*AB142)+(AE142^2/(2*(AA142+AB142)))))</f>
        <v>0.17374897860247054</v>
      </c>
      <c r="AG142" s="12" t="s">
        <v>193</v>
      </c>
      <c r="AH142" s="12" t="s">
        <v>193</v>
      </c>
      <c r="AI142" s="12" t="s">
        <v>780</v>
      </c>
      <c r="AJ142" s="12" t="s">
        <v>328</v>
      </c>
      <c r="AK142" s="12" t="s">
        <v>1298</v>
      </c>
      <c r="AL142" s="12"/>
      <c r="AM142" s="10" t="s">
        <v>706</v>
      </c>
      <c r="AN142" s="10" t="s">
        <v>193</v>
      </c>
    </row>
    <row r="143" spans="1:40" s="10" customFormat="1" x14ac:dyDescent="0.2">
      <c r="A143" s="10">
        <v>2009</v>
      </c>
      <c r="B143" s="10">
        <v>19142758</v>
      </c>
      <c r="C143" s="4" t="s">
        <v>117</v>
      </c>
      <c r="D143" s="4"/>
      <c r="E143" s="4" t="s">
        <v>157</v>
      </c>
      <c r="F143" s="4" t="s">
        <v>108</v>
      </c>
      <c r="G143" s="4" t="s">
        <v>109</v>
      </c>
      <c r="H143" s="4" t="s">
        <v>109</v>
      </c>
      <c r="I143" s="4">
        <v>13</v>
      </c>
      <c r="J143" s="4" t="s">
        <v>871</v>
      </c>
      <c r="K143" s="4" t="s">
        <v>86</v>
      </c>
      <c r="L143" s="10" t="s">
        <v>412</v>
      </c>
      <c r="M143" s="10" t="s">
        <v>902</v>
      </c>
      <c r="N143" s="10" t="s">
        <v>766</v>
      </c>
      <c r="O143" s="10" t="s">
        <v>652</v>
      </c>
      <c r="P143" s="10" t="s">
        <v>911</v>
      </c>
      <c r="Q143" s="10">
        <v>2</v>
      </c>
      <c r="R143" s="15">
        <f t="shared" si="160"/>
        <v>133</v>
      </c>
      <c r="S143" s="13">
        <v>46.6</v>
      </c>
      <c r="T143" s="13">
        <v>68</v>
      </c>
      <c r="U143" s="10" t="s">
        <v>637</v>
      </c>
      <c r="V143" s="10" t="s">
        <v>642</v>
      </c>
      <c r="W143" s="12">
        <v>105.7</v>
      </c>
      <c r="X143" s="12">
        <v>104.8</v>
      </c>
      <c r="Y143" s="12">
        <v>8.9</v>
      </c>
      <c r="Z143" s="12">
        <v>13.3</v>
      </c>
      <c r="AA143" s="15">
        <v>67</v>
      </c>
      <c r="AB143" s="15">
        <v>66</v>
      </c>
      <c r="AC143" s="12">
        <f t="shared" si="161"/>
        <v>0.90000000000000568</v>
      </c>
      <c r="AD143" s="12">
        <f t="shared" si="162"/>
        <v>11.299432533207987</v>
      </c>
      <c r="AE143" s="12">
        <f t="shared" si="163"/>
        <v>7.9650017587607952E-2</v>
      </c>
      <c r="AF143" s="12">
        <f t="shared" si="164"/>
        <v>0.17349564369448214</v>
      </c>
      <c r="AG143" s="12" t="s">
        <v>193</v>
      </c>
      <c r="AH143" s="12"/>
      <c r="AI143" s="12" t="s">
        <v>780</v>
      </c>
      <c r="AJ143" s="12" t="s">
        <v>348</v>
      </c>
      <c r="AK143" s="12" t="s">
        <v>1298</v>
      </c>
      <c r="AL143" s="12"/>
      <c r="AM143" s="10" t="s">
        <v>706</v>
      </c>
      <c r="AN143" s="10" t="s">
        <v>193</v>
      </c>
    </row>
    <row r="144" spans="1:40" s="10" customFormat="1" x14ac:dyDescent="0.2">
      <c r="A144" s="10">
        <v>2009</v>
      </c>
      <c r="B144" s="10">
        <v>19142758</v>
      </c>
      <c r="C144" s="4" t="s">
        <v>117</v>
      </c>
      <c r="D144" s="4"/>
      <c r="E144" s="4" t="s">
        <v>157</v>
      </c>
      <c r="F144" s="4" t="s">
        <v>108</v>
      </c>
      <c r="G144" s="4" t="s">
        <v>109</v>
      </c>
      <c r="H144" s="4" t="s">
        <v>109</v>
      </c>
      <c r="I144" s="4">
        <v>13</v>
      </c>
      <c r="J144" s="4" t="s">
        <v>871</v>
      </c>
      <c r="K144" s="4" t="s">
        <v>86</v>
      </c>
      <c r="L144" s="10" t="s">
        <v>412</v>
      </c>
      <c r="M144" s="10" t="s">
        <v>902</v>
      </c>
      <c r="N144" s="10" t="s">
        <v>766</v>
      </c>
      <c r="O144" s="10" t="s">
        <v>652</v>
      </c>
      <c r="P144" s="10" t="s">
        <v>911</v>
      </c>
      <c r="Q144" s="10">
        <v>2</v>
      </c>
      <c r="R144" s="15">
        <f t="shared" si="160"/>
        <v>133</v>
      </c>
      <c r="S144" s="13">
        <v>46.6</v>
      </c>
      <c r="T144" s="13">
        <v>68</v>
      </c>
      <c r="U144" s="10" t="s">
        <v>638</v>
      </c>
      <c r="V144" s="10" t="s">
        <v>642</v>
      </c>
      <c r="W144" s="12">
        <v>61.6</v>
      </c>
      <c r="X144" s="12">
        <v>61.8</v>
      </c>
      <c r="Y144" s="12">
        <v>6.4</v>
      </c>
      <c r="Z144" s="12">
        <v>8.6999999999999993</v>
      </c>
      <c r="AA144" s="15">
        <v>67</v>
      </c>
      <c r="AB144" s="15">
        <v>66</v>
      </c>
      <c r="AC144" s="12">
        <f t="shared" si="161"/>
        <v>-0.19999999999999574</v>
      </c>
      <c r="AD144" s="12">
        <f t="shared" si="162"/>
        <v>7.6283971283678982</v>
      </c>
      <c r="AE144" s="12">
        <f t="shared" si="163"/>
        <v>-2.6217827498289395E-2</v>
      </c>
      <c r="AF144" s="12">
        <f t="shared" si="164"/>
        <v>0.17343434608065728</v>
      </c>
      <c r="AG144" s="12" t="s">
        <v>193</v>
      </c>
      <c r="AH144" s="12"/>
      <c r="AI144" s="12" t="s">
        <v>780</v>
      </c>
      <c r="AJ144" s="12" t="s">
        <v>328</v>
      </c>
      <c r="AK144" s="12" t="s">
        <v>1298</v>
      </c>
      <c r="AL144" s="12"/>
      <c r="AM144" s="10" t="s">
        <v>706</v>
      </c>
      <c r="AN144" s="10" t="s">
        <v>193</v>
      </c>
    </row>
    <row r="145" spans="1:40" s="10" customFormat="1" x14ac:dyDescent="0.2">
      <c r="A145" s="10">
        <v>2009</v>
      </c>
      <c r="B145" s="10">
        <v>19142758</v>
      </c>
      <c r="C145" s="4" t="s">
        <v>117</v>
      </c>
      <c r="D145" s="4"/>
      <c r="E145" s="4" t="s">
        <v>157</v>
      </c>
      <c r="F145" s="4" t="s">
        <v>108</v>
      </c>
      <c r="G145" s="4" t="s">
        <v>109</v>
      </c>
      <c r="H145" s="4" t="s">
        <v>109</v>
      </c>
      <c r="I145" s="4">
        <v>13</v>
      </c>
      <c r="J145" s="4" t="s">
        <v>871</v>
      </c>
      <c r="K145" s="4" t="s">
        <v>86</v>
      </c>
      <c r="L145" s="10" t="s">
        <v>412</v>
      </c>
      <c r="M145" s="10" t="s">
        <v>902</v>
      </c>
      <c r="N145" s="10" t="s">
        <v>766</v>
      </c>
      <c r="O145" s="10" t="s">
        <v>652</v>
      </c>
      <c r="P145" s="10" t="s">
        <v>911</v>
      </c>
      <c r="Q145" s="10">
        <v>2</v>
      </c>
      <c r="R145" s="15">
        <f t="shared" si="160"/>
        <v>133</v>
      </c>
      <c r="S145" s="13">
        <v>46.6</v>
      </c>
      <c r="T145" s="13">
        <v>68</v>
      </c>
      <c r="U145" s="10" t="s">
        <v>640</v>
      </c>
      <c r="V145" s="10" t="s">
        <v>642</v>
      </c>
      <c r="W145" s="12">
        <v>115.7</v>
      </c>
      <c r="X145" s="12">
        <v>116.5</v>
      </c>
      <c r="Y145" s="12">
        <v>10.1</v>
      </c>
      <c r="Z145" s="12">
        <v>12</v>
      </c>
      <c r="AA145" s="15">
        <v>67</v>
      </c>
      <c r="AB145" s="15">
        <v>66</v>
      </c>
      <c r="AC145" s="12">
        <f t="shared" si="161"/>
        <v>-0.79999999999999716</v>
      </c>
      <c r="AD145" s="12">
        <f t="shared" si="162"/>
        <v>11.083534311059243</v>
      </c>
      <c r="AE145" s="12">
        <f t="shared" si="163"/>
        <v>-7.2179142279710409E-2</v>
      </c>
      <c r="AF145" s="12">
        <f t="shared" si="164"/>
        <v>0.17348335397833914</v>
      </c>
      <c r="AG145" s="12" t="s">
        <v>193</v>
      </c>
      <c r="AH145" s="12"/>
      <c r="AI145" s="12" t="s">
        <v>780</v>
      </c>
      <c r="AJ145" s="12" t="s">
        <v>328</v>
      </c>
      <c r="AK145" s="12" t="s">
        <v>1298</v>
      </c>
      <c r="AL145" s="12"/>
      <c r="AM145" s="10" t="s">
        <v>706</v>
      </c>
      <c r="AN145" s="10" t="s">
        <v>193</v>
      </c>
    </row>
    <row r="146" spans="1:40" s="10" customFormat="1" x14ac:dyDescent="0.2">
      <c r="A146" s="10">
        <v>2009</v>
      </c>
      <c r="B146" s="10">
        <v>19142758</v>
      </c>
      <c r="C146" s="4" t="s">
        <v>117</v>
      </c>
      <c r="D146" s="4"/>
      <c r="E146" s="4" t="s">
        <v>157</v>
      </c>
      <c r="F146" s="4" t="s">
        <v>108</v>
      </c>
      <c r="G146" s="4" t="s">
        <v>109</v>
      </c>
      <c r="H146" s="4" t="s">
        <v>109</v>
      </c>
      <c r="I146" s="4">
        <v>13</v>
      </c>
      <c r="J146" s="4" t="s">
        <v>871</v>
      </c>
      <c r="K146" s="4" t="s">
        <v>86</v>
      </c>
      <c r="L146" s="10" t="s">
        <v>412</v>
      </c>
      <c r="M146" s="10" t="s">
        <v>902</v>
      </c>
      <c r="N146" s="10" t="s">
        <v>766</v>
      </c>
      <c r="O146" s="10" t="s">
        <v>652</v>
      </c>
      <c r="P146" s="10" t="s">
        <v>911</v>
      </c>
      <c r="Q146" s="10">
        <v>2</v>
      </c>
      <c r="R146" s="15">
        <f t="shared" si="160"/>
        <v>133</v>
      </c>
      <c r="S146" s="13">
        <v>46.6</v>
      </c>
      <c r="T146" s="13">
        <v>68</v>
      </c>
      <c r="U146" s="10" t="s">
        <v>641</v>
      </c>
      <c r="V146" s="10" t="s">
        <v>642</v>
      </c>
      <c r="W146" s="12">
        <v>71</v>
      </c>
      <c r="X146" s="12">
        <v>72.2</v>
      </c>
      <c r="Y146" s="12">
        <v>7</v>
      </c>
      <c r="Z146" s="12">
        <v>8.4</v>
      </c>
      <c r="AA146" s="15">
        <v>67</v>
      </c>
      <c r="AB146" s="15">
        <v>66</v>
      </c>
      <c r="AC146" s="12">
        <f t="shared" si="161"/>
        <v>-1.2000000000000028</v>
      </c>
      <c r="AD146" s="12">
        <f t="shared" si="162"/>
        <v>7.7264293126685715</v>
      </c>
      <c r="AE146" s="12">
        <f t="shared" si="163"/>
        <v>-0.15531106950430951</v>
      </c>
      <c r="AF146" s="12">
        <f t="shared" si="164"/>
        <v>0.17368814214879869</v>
      </c>
      <c r="AG146" s="12" t="s">
        <v>193</v>
      </c>
      <c r="AH146" s="12"/>
      <c r="AI146" s="12" t="s">
        <v>780</v>
      </c>
      <c r="AJ146" s="12" t="s">
        <v>328</v>
      </c>
      <c r="AK146" s="12" t="s">
        <v>1298</v>
      </c>
      <c r="AL146" s="12"/>
      <c r="AM146" s="10" t="s">
        <v>706</v>
      </c>
      <c r="AN146" s="10" t="s">
        <v>193</v>
      </c>
    </row>
    <row r="147" spans="1:40" s="10" customFormat="1" x14ac:dyDescent="0.2">
      <c r="A147" s="35">
        <v>2013</v>
      </c>
      <c r="B147" s="45">
        <v>23013888</v>
      </c>
      <c r="C147" s="35" t="s">
        <v>117</v>
      </c>
      <c r="D147" s="35"/>
      <c r="E147" s="35" t="s">
        <v>157</v>
      </c>
      <c r="F147" s="35" t="s">
        <v>108</v>
      </c>
      <c r="G147" s="35" t="s">
        <v>109</v>
      </c>
      <c r="H147" s="35" t="s">
        <v>109</v>
      </c>
      <c r="I147" s="35">
        <v>13</v>
      </c>
      <c r="J147" s="35" t="s">
        <v>978</v>
      </c>
      <c r="K147" s="35" t="s">
        <v>86</v>
      </c>
      <c r="L147" s="35" t="s">
        <v>156</v>
      </c>
      <c r="M147" s="35" t="s">
        <v>902</v>
      </c>
      <c r="N147" s="35" t="s">
        <v>766</v>
      </c>
      <c r="O147" s="35" t="s">
        <v>1272</v>
      </c>
      <c r="P147" s="35" t="s">
        <v>911</v>
      </c>
      <c r="Q147" s="35">
        <v>2</v>
      </c>
      <c r="R147" s="35">
        <f t="shared" si="160"/>
        <v>188</v>
      </c>
      <c r="S147" s="13">
        <v>61.45</v>
      </c>
      <c r="T147" s="13">
        <v>44</v>
      </c>
      <c r="U147" s="10" t="s">
        <v>979</v>
      </c>
      <c r="V147" s="10" t="s">
        <v>642</v>
      </c>
      <c r="W147" s="12">
        <v>-23.2</v>
      </c>
      <c r="X147" s="12">
        <v>-24.7</v>
      </c>
      <c r="Y147" s="12">
        <v>15.9</v>
      </c>
      <c r="Z147" s="12">
        <v>16.5</v>
      </c>
      <c r="AA147" s="15">
        <v>95</v>
      </c>
      <c r="AB147" s="15">
        <v>93</v>
      </c>
      <c r="AC147" s="12">
        <f t="shared" si="161"/>
        <v>1.5</v>
      </c>
      <c r="AD147" s="12">
        <f t="shared" si="162"/>
        <v>16.199551965130635</v>
      </c>
      <c r="AE147" s="12">
        <f t="shared" si="163"/>
        <v>9.2595153447992531E-2</v>
      </c>
      <c r="AF147" s="12">
        <f t="shared" si="164"/>
        <v>0.14595138501282015</v>
      </c>
      <c r="AG147" s="12" t="s">
        <v>193</v>
      </c>
      <c r="AH147" s="12"/>
      <c r="AI147" s="12" t="s">
        <v>780</v>
      </c>
      <c r="AJ147" s="12" t="s">
        <v>348</v>
      </c>
      <c r="AK147" s="12" t="s">
        <v>1299</v>
      </c>
      <c r="AL147" s="12"/>
      <c r="AM147" s="10" t="s">
        <v>976</v>
      </c>
      <c r="AN147" s="10" t="s">
        <v>157</v>
      </c>
    </row>
    <row r="148" spans="1:40" s="10" customFormat="1" x14ac:dyDescent="0.2">
      <c r="A148" s="35">
        <v>2013</v>
      </c>
      <c r="B148" s="35">
        <v>23013888</v>
      </c>
      <c r="C148" s="35" t="s">
        <v>117</v>
      </c>
      <c r="D148" s="35"/>
      <c r="E148" s="35" t="s">
        <v>157</v>
      </c>
      <c r="F148" s="35" t="s">
        <v>108</v>
      </c>
      <c r="G148" s="35" t="s">
        <v>109</v>
      </c>
      <c r="H148" s="35" t="s">
        <v>109</v>
      </c>
      <c r="I148" s="35">
        <v>13</v>
      </c>
      <c r="J148" s="35" t="s">
        <v>978</v>
      </c>
      <c r="K148" s="35" t="s">
        <v>86</v>
      </c>
      <c r="L148" s="35" t="s">
        <v>156</v>
      </c>
      <c r="M148" s="35" t="s">
        <v>902</v>
      </c>
      <c r="N148" s="35" t="s">
        <v>766</v>
      </c>
      <c r="O148" s="35" t="s">
        <v>1272</v>
      </c>
      <c r="P148" s="35" t="s">
        <v>911</v>
      </c>
      <c r="Q148" s="35">
        <v>2</v>
      </c>
      <c r="R148" s="35">
        <f t="shared" ref="R148" si="165">AA148+AB148</f>
        <v>188</v>
      </c>
      <c r="S148" s="13">
        <v>61.45</v>
      </c>
      <c r="T148" s="13">
        <v>44</v>
      </c>
      <c r="U148" s="10" t="s">
        <v>980</v>
      </c>
      <c r="V148" s="10" t="s">
        <v>642</v>
      </c>
      <c r="W148" s="12">
        <v>-11.5</v>
      </c>
      <c r="X148" s="12">
        <v>-13</v>
      </c>
      <c r="Y148" s="12">
        <v>10.9</v>
      </c>
      <c r="Z148" s="12">
        <v>10.8</v>
      </c>
      <c r="AA148" s="15">
        <v>95</v>
      </c>
      <c r="AB148" s="15">
        <v>93</v>
      </c>
      <c r="AC148" s="12">
        <f t="shared" si="161"/>
        <v>1.5</v>
      </c>
      <c r="AD148" s="12">
        <f t="shared" ref="AD148" si="166">SQRT(((AA148-1)*Y148^2+(AB148-1)*Z148^2)/(AA148+AB148-2))</f>
        <v>10.850652822142392</v>
      </c>
      <c r="AE148" s="12">
        <f t="shared" ref="AE148" si="167">AC148/AD148</f>
        <v>0.13824053027842012</v>
      </c>
      <c r="AF148" s="12">
        <f t="shared" ref="AF148" si="168">SQRT(((AA148+AB148)/(AA148*AB148)+(AE148^2/(2*(AA148+AB148)))))</f>
        <v>0.14604735400210367</v>
      </c>
      <c r="AG148" s="12" t="s">
        <v>193</v>
      </c>
      <c r="AH148" s="12" t="s">
        <v>193</v>
      </c>
      <c r="AI148" s="12" t="s">
        <v>780</v>
      </c>
      <c r="AJ148" s="12" t="s">
        <v>348</v>
      </c>
      <c r="AK148" s="12" t="s">
        <v>1299</v>
      </c>
      <c r="AL148" s="12"/>
      <c r="AM148" s="10" t="s">
        <v>976</v>
      </c>
      <c r="AN148" s="10" t="s">
        <v>157</v>
      </c>
    </row>
    <row r="149" spans="1:40" s="10" customFormat="1" x14ac:dyDescent="0.2">
      <c r="A149" s="4">
        <v>2015</v>
      </c>
      <c r="B149" s="25">
        <v>25704020</v>
      </c>
      <c r="C149" s="4" t="s">
        <v>117</v>
      </c>
      <c r="D149" s="4"/>
      <c r="E149" s="10" t="s">
        <v>157</v>
      </c>
      <c r="F149" s="4" t="s">
        <v>108</v>
      </c>
      <c r="G149" s="4" t="s">
        <v>109</v>
      </c>
      <c r="H149" s="4" t="s">
        <v>109</v>
      </c>
      <c r="I149" s="4">
        <v>13</v>
      </c>
      <c r="J149" s="4" t="s">
        <v>981</v>
      </c>
      <c r="K149" s="4" t="s">
        <v>86</v>
      </c>
      <c r="L149" s="4" t="s">
        <v>156</v>
      </c>
      <c r="M149" s="4" t="s">
        <v>902</v>
      </c>
      <c r="N149" s="4" t="s">
        <v>766</v>
      </c>
      <c r="O149" s="4" t="s">
        <v>1273</v>
      </c>
      <c r="P149" s="4" t="s">
        <v>911</v>
      </c>
      <c r="Q149" s="4">
        <v>2</v>
      </c>
      <c r="R149" s="4">
        <v>23</v>
      </c>
      <c r="S149" s="13">
        <v>65.3</v>
      </c>
      <c r="T149" s="13">
        <v>61</v>
      </c>
      <c r="U149" s="28" t="s">
        <v>640</v>
      </c>
      <c r="V149" s="10" t="s">
        <v>642</v>
      </c>
      <c r="W149" s="12">
        <v>137.1</v>
      </c>
      <c r="X149" s="12">
        <v>138.69999999999999</v>
      </c>
      <c r="Y149" s="12">
        <v>9.8000000000000007</v>
      </c>
      <c r="Z149" s="12">
        <v>18.399999999999999</v>
      </c>
      <c r="AA149" s="15">
        <v>11</v>
      </c>
      <c r="AB149" s="15">
        <v>12</v>
      </c>
      <c r="AC149" s="12">
        <f t="shared" ref="AC149:AC156" si="169">W149-X149</f>
        <v>-1.5999999999999943</v>
      </c>
      <c r="AD149" s="12">
        <f t="shared" ref="AD149:AD156" si="170">SQRT(((AA149-1)*Y149^2+(AB149-1)*Z149^2)/(AA149+AB149-2))</f>
        <v>14.935671585646414</v>
      </c>
      <c r="AE149" s="12">
        <f t="shared" ref="AE149:AE156" si="171">AC149/AD149</f>
        <v>-0.10712608340542502</v>
      </c>
      <c r="AF149" s="12">
        <f t="shared" ref="AF149:AF156" si="172">SQRT(((AA149+AB149)/(AA149*AB149)+(AE149^2/(2*(AA149+AB149)))))</f>
        <v>0.41772227909735576</v>
      </c>
      <c r="AG149" s="12"/>
      <c r="AH149" s="12"/>
      <c r="AI149" s="12" t="s">
        <v>780</v>
      </c>
      <c r="AJ149" s="12" t="s">
        <v>328</v>
      </c>
      <c r="AL149" s="12" t="s">
        <v>986</v>
      </c>
      <c r="AM149" s="10" t="s">
        <v>985</v>
      </c>
      <c r="AN149" s="10" t="s">
        <v>157</v>
      </c>
    </row>
    <row r="150" spans="1:40" s="10" customFormat="1" x14ac:dyDescent="0.2">
      <c r="A150" s="4">
        <v>2015</v>
      </c>
      <c r="B150" s="6">
        <v>25704020</v>
      </c>
      <c r="C150" s="4" t="s">
        <v>117</v>
      </c>
      <c r="D150" s="4"/>
      <c r="E150" s="10" t="s">
        <v>157</v>
      </c>
      <c r="F150" s="4" t="s">
        <v>108</v>
      </c>
      <c r="G150" s="4" t="s">
        <v>109</v>
      </c>
      <c r="H150" s="4" t="s">
        <v>109</v>
      </c>
      <c r="I150" s="4">
        <v>13</v>
      </c>
      <c r="J150" s="4" t="s">
        <v>981</v>
      </c>
      <c r="K150" s="4" t="s">
        <v>86</v>
      </c>
      <c r="L150" s="4" t="s">
        <v>156</v>
      </c>
      <c r="M150" s="4" t="s">
        <v>902</v>
      </c>
      <c r="N150" s="4" t="s">
        <v>766</v>
      </c>
      <c r="O150" s="4" t="s">
        <v>1273</v>
      </c>
      <c r="P150" s="4" t="s">
        <v>911</v>
      </c>
      <c r="Q150" s="4">
        <v>2</v>
      </c>
      <c r="R150" s="4">
        <v>23</v>
      </c>
      <c r="S150" s="13">
        <v>65.3</v>
      </c>
      <c r="T150" s="13">
        <v>61</v>
      </c>
      <c r="U150" s="28" t="s">
        <v>641</v>
      </c>
      <c r="V150" s="10" t="s">
        <v>642</v>
      </c>
      <c r="W150" s="12">
        <v>80.900000000000006</v>
      </c>
      <c r="X150" s="12">
        <v>79.7</v>
      </c>
      <c r="Y150" s="12">
        <v>5.9</v>
      </c>
      <c r="Z150" s="12">
        <v>9.1</v>
      </c>
      <c r="AA150" s="15">
        <v>11</v>
      </c>
      <c r="AB150" s="15">
        <v>12</v>
      </c>
      <c r="AC150" s="12">
        <f t="shared" si="169"/>
        <v>1.2000000000000028</v>
      </c>
      <c r="AD150" s="12">
        <f t="shared" si="170"/>
        <v>7.7429230360928383</v>
      </c>
      <c r="AE150" s="12">
        <f t="shared" si="171"/>
        <v>0.15498023090328117</v>
      </c>
      <c r="AF150" s="12">
        <f t="shared" si="172"/>
        <v>0.41804853023673527</v>
      </c>
      <c r="AG150" s="12" t="s">
        <v>193</v>
      </c>
      <c r="AH150" s="12"/>
      <c r="AI150" s="12" t="s">
        <v>780</v>
      </c>
      <c r="AJ150" s="12" t="s">
        <v>348</v>
      </c>
      <c r="AL150" s="12" t="s">
        <v>986</v>
      </c>
      <c r="AM150" s="10" t="s">
        <v>985</v>
      </c>
      <c r="AN150" s="10" t="s">
        <v>157</v>
      </c>
    </row>
    <row r="151" spans="1:40" s="10" customFormat="1" x14ac:dyDescent="0.2">
      <c r="A151" s="4">
        <v>2015</v>
      </c>
      <c r="B151" s="6">
        <v>25704020</v>
      </c>
      <c r="C151" s="4" t="s">
        <v>117</v>
      </c>
      <c r="D151" s="4"/>
      <c r="E151" s="10" t="s">
        <v>157</v>
      </c>
      <c r="F151" s="4" t="s">
        <v>108</v>
      </c>
      <c r="G151" s="4" t="s">
        <v>109</v>
      </c>
      <c r="H151" s="4" t="s">
        <v>109</v>
      </c>
      <c r="I151" s="4">
        <v>13</v>
      </c>
      <c r="J151" s="4" t="s">
        <v>981</v>
      </c>
      <c r="K151" s="4" t="s">
        <v>86</v>
      </c>
      <c r="L151" s="4" t="s">
        <v>156</v>
      </c>
      <c r="M151" s="4" t="s">
        <v>902</v>
      </c>
      <c r="N151" s="4" t="s">
        <v>766</v>
      </c>
      <c r="O151" s="4" t="s">
        <v>1273</v>
      </c>
      <c r="P151" s="4" t="s">
        <v>911</v>
      </c>
      <c r="Q151" s="4">
        <v>2</v>
      </c>
      <c r="R151" s="4">
        <v>23</v>
      </c>
      <c r="S151" s="13">
        <v>65.3</v>
      </c>
      <c r="T151" s="13">
        <v>61</v>
      </c>
      <c r="U151" s="28" t="s">
        <v>644</v>
      </c>
      <c r="V151" s="10" t="s">
        <v>642</v>
      </c>
      <c r="W151" s="12">
        <v>140.1</v>
      </c>
      <c r="X151" s="12">
        <v>139.19999999999999</v>
      </c>
      <c r="Y151" s="12">
        <v>10.8</v>
      </c>
      <c r="Z151" s="12">
        <v>18</v>
      </c>
      <c r="AA151" s="15">
        <v>11</v>
      </c>
      <c r="AB151" s="15">
        <v>12</v>
      </c>
      <c r="AC151" s="12">
        <f t="shared" si="169"/>
        <v>0.90000000000000568</v>
      </c>
      <c r="AD151" s="12">
        <f t="shared" si="170"/>
        <v>15.008568980990255</v>
      </c>
      <c r="AE151" s="12">
        <f t="shared" si="171"/>
        <v>5.9965743645509391E-2</v>
      </c>
      <c r="AF151" s="12">
        <f t="shared" si="172"/>
        <v>0.41751718021309886</v>
      </c>
      <c r="AG151" s="12" t="s">
        <v>193</v>
      </c>
      <c r="AH151" s="12"/>
      <c r="AI151" s="12" t="s">
        <v>780</v>
      </c>
      <c r="AJ151" s="12" t="s">
        <v>348</v>
      </c>
      <c r="AL151" s="12" t="s">
        <v>986</v>
      </c>
      <c r="AM151" s="10" t="s">
        <v>985</v>
      </c>
      <c r="AN151" s="10" t="s">
        <v>157</v>
      </c>
    </row>
    <row r="152" spans="1:40" s="10" customFormat="1" x14ac:dyDescent="0.2">
      <c r="A152" s="4">
        <v>2015</v>
      </c>
      <c r="B152" s="6">
        <v>25704020</v>
      </c>
      <c r="C152" s="4" t="s">
        <v>117</v>
      </c>
      <c r="D152" s="4"/>
      <c r="E152" s="10" t="s">
        <v>157</v>
      </c>
      <c r="F152" s="4" t="s">
        <v>108</v>
      </c>
      <c r="G152" s="4" t="s">
        <v>109</v>
      </c>
      <c r="H152" s="4" t="s">
        <v>109</v>
      </c>
      <c r="I152" s="4">
        <v>13</v>
      </c>
      <c r="J152" s="4" t="s">
        <v>981</v>
      </c>
      <c r="K152" s="4" t="s">
        <v>86</v>
      </c>
      <c r="L152" s="4" t="s">
        <v>156</v>
      </c>
      <c r="M152" s="4" t="s">
        <v>902</v>
      </c>
      <c r="N152" s="4" t="s">
        <v>766</v>
      </c>
      <c r="O152" s="4" t="s">
        <v>1273</v>
      </c>
      <c r="P152" s="4" t="s">
        <v>911</v>
      </c>
      <c r="Q152" s="4">
        <v>2</v>
      </c>
      <c r="R152" s="4">
        <v>23</v>
      </c>
      <c r="S152" s="13">
        <v>65.3</v>
      </c>
      <c r="T152" s="13">
        <v>61</v>
      </c>
      <c r="U152" s="28" t="s">
        <v>645</v>
      </c>
      <c r="V152" s="10" t="s">
        <v>642</v>
      </c>
      <c r="W152" s="12">
        <v>83.2</v>
      </c>
      <c r="X152" s="12">
        <v>82.8</v>
      </c>
      <c r="Y152" s="12">
        <v>5.9</v>
      </c>
      <c r="Z152" s="12">
        <v>7.9</v>
      </c>
      <c r="AA152" s="15">
        <v>11</v>
      </c>
      <c r="AB152" s="15">
        <v>12</v>
      </c>
      <c r="AC152" s="12">
        <f t="shared" si="169"/>
        <v>0.40000000000000568</v>
      </c>
      <c r="AD152" s="12">
        <f t="shared" si="170"/>
        <v>7.019055695543587</v>
      </c>
      <c r="AE152" s="12">
        <f t="shared" si="171"/>
        <v>5.6987722757915499E-2</v>
      </c>
      <c r="AF152" s="12">
        <f t="shared" si="172"/>
        <v>0.41750811280054784</v>
      </c>
      <c r="AG152" s="12" t="s">
        <v>193</v>
      </c>
      <c r="AH152" s="12"/>
      <c r="AI152" s="12" t="s">
        <v>780</v>
      </c>
      <c r="AJ152" s="12" t="s">
        <v>348</v>
      </c>
      <c r="AL152" s="12" t="s">
        <v>986</v>
      </c>
      <c r="AM152" s="10" t="s">
        <v>985</v>
      </c>
      <c r="AN152" s="10" t="s">
        <v>157</v>
      </c>
    </row>
    <row r="153" spans="1:40" s="10" customFormat="1" x14ac:dyDescent="0.2">
      <c r="A153" s="4">
        <v>2015</v>
      </c>
      <c r="B153" s="6">
        <v>25704020</v>
      </c>
      <c r="C153" s="4" t="s">
        <v>117</v>
      </c>
      <c r="D153" s="4"/>
      <c r="E153" s="10" t="s">
        <v>157</v>
      </c>
      <c r="F153" s="4" t="s">
        <v>108</v>
      </c>
      <c r="G153" s="4" t="s">
        <v>109</v>
      </c>
      <c r="H153" s="4" t="s">
        <v>109</v>
      </c>
      <c r="I153" s="4">
        <v>13</v>
      </c>
      <c r="J153" s="4" t="s">
        <v>981</v>
      </c>
      <c r="K153" s="4" t="s">
        <v>86</v>
      </c>
      <c r="L153" s="4" t="s">
        <v>156</v>
      </c>
      <c r="M153" s="4" t="s">
        <v>902</v>
      </c>
      <c r="N153" s="4" t="s">
        <v>766</v>
      </c>
      <c r="O153" s="4" t="s">
        <v>1273</v>
      </c>
      <c r="P153" s="4" t="s">
        <v>911</v>
      </c>
      <c r="Q153" s="4">
        <v>2</v>
      </c>
      <c r="R153" s="4">
        <v>23</v>
      </c>
      <c r="S153" s="13">
        <v>65.3</v>
      </c>
      <c r="T153" s="13">
        <v>61</v>
      </c>
      <c r="U153" s="28" t="s">
        <v>637</v>
      </c>
      <c r="V153" s="10" t="s">
        <v>642</v>
      </c>
      <c r="W153" s="12">
        <v>125.7</v>
      </c>
      <c r="X153" s="12">
        <v>130.30000000000001</v>
      </c>
      <c r="Y153" s="12">
        <v>10.6</v>
      </c>
      <c r="Z153" s="12">
        <v>18.3</v>
      </c>
      <c r="AA153" s="15">
        <v>11</v>
      </c>
      <c r="AB153" s="15">
        <v>12</v>
      </c>
      <c r="AC153" s="12">
        <f t="shared" si="169"/>
        <v>-4.6000000000000085</v>
      </c>
      <c r="AD153" s="12">
        <f t="shared" si="170"/>
        <v>15.130212600401006</v>
      </c>
      <c r="AE153" s="12">
        <f t="shared" si="171"/>
        <v>-0.30402745298358147</v>
      </c>
      <c r="AF153" s="12">
        <f t="shared" si="172"/>
        <v>0.4198235707936081</v>
      </c>
      <c r="AG153" s="12" t="s">
        <v>193</v>
      </c>
      <c r="AH153" s="12"/>
      <c r="AI153" s="12" t="s">
        <v>780</v>
      </c>
      <c r="AJ153" s="12" t="s">
        <v>328</v>
      </c>
      <c r="AL153" s="12" t="s">
        <v>986</v>
      </c>
      <c r="AM153" s="10" t="s">
        <v>985</v>
      </c>
      <c r="AN153" s="10" t="s">
        <v>157</v>
      </c>
    </row>
    <row r="154" spans="1:40" s="10" customFormat="1" x14ac:dyDescent="0.2">
      <c r="A154" s="4">
        <v>2015</v>
      </c>
      <c r="B154" s="6">
        <v>25704020</v>
      </c>
      <c r="C154" s="4" t="s">
        <v>117</v>
      </c>
      <c r="D154" s="4"/>
      <c r="E154" s="10" t="s">
        <v>157</v>
      </c>
      <c r="F154" s="4" t="s">
        <v>108</v>
      </c>
      <c r="G154" s="4" t="s">
        <v>109</v>
      </c>
      <c r="H154" s="4" t="s">
        <v>109</v>
      </c>
      <c r="I154" s="4">
        <v>13</v>
      </c>
      <c r="J154" s="4" t="s">
        <v>981</v>
      </c>
      <c r="K154" s="4" t="s">
        <v>86</v>
      </c>
      <c r="L154" s="4" t="s">
        <v>156</v>
      </c>
      <c r="M154" s="4" t="s">
        <v>902</v>
      </c>
      <c r="N154" s="4" t="s">
        <v>766</v>
      </c>
      <c r="O154" s="4" t="s">
        <v>1273</v>
      </c>
      <c r="P154" s="4" t="s">
        <v>911</v>
      </c>
      <c r="Q154" s="4">
        <v>2</v>
      </c>
      <c r="R154" s="4">
        <v>23</v>
      </c>
      <c r="S154" s="13">
        <v>65.3</v>
      </c>
      <c r="T154" s="13">
        <v>61</v>
      </c>
      <c r="U154" s="28" t="s">
        <v>638</v>
      </c>
      <c r="V154" s="10" t="s">
        <v>642</v>
      </c>
      <c r="W154" s="12">
        <v>72.3</v>
      </c>
      <c r="X154" s="12">
        <v>75.3</v>
      </c>
      <c r="Y154" s="12">
        <v>7.6</v>
      </c>
      <c r="Z154" s="12">
        <v>9.1</v>
      </c>
      <c r="AA154" s="15">
        <v>11</v>
      </c>
      <c r="AB154" s="15">
        <v>12</v>
      </c>
      <c r="AC154" s="12">
        <f t="shared" si="169"/>
        <v>-3</v>
      </c>
      <c r="AD154" s="12">
        <f t="shared" si="170"/>
        <v>8.4191109133582831</v>
      </c>
      <c r="AE154" s="12">
        <f t="shared" si="171"/>
        <v>-0.35633216272754098</v>
      </c>
      <c r="AF154" s="12">
        <f t="shared" si="172"/>
        <v>0.4207168862514058</v>
      </c>
      <c r="AG154" s="12" t="s">
        <v>193</v>
      </c>
      <c r="AH154" s="12" t="s">
        <v>193</v>
      </c>
      <c r="AI154" s="12" t="s">
        <v>780</v>
      </c>
      <c r="AJ154" s="12" t="s">
        <v>328</v>
      </c>
      <c r="AL154" s="12" t="s">
        <v>986</v>
      </c>
      <c r="AM154" s="10" t="s">
        <v>985</v>
      </c>
      <c r="AN154" s="10" t="s">
        <v>157</v>
      </c>
    </row>
    <row r="155" spans="1:40" s="10" customFormat="1" x14ac:dyDescent="0.2">
      <c r="A155" s="4">
        <v>2015</v>
      </c>
      <c r="B155" s="6">
        <v>25704020</v>
      </c>
      <c r="C155" s="4" t="s">
        <v>117</v>
      </c>
      <c r="D155" s="4"/>
      <c r="E155" s="10" t="s">
        <v>157</v>
      </c>
      <c r="F155" s="4" t="s">
        <v>108</v>
      </c>
      <c r="G155" s="4" t="s">
        <v>109</v>
      </c>
      <c r="H155" s="4" t="s">
        <v>109</v>
      </c>
      <c r="I155" s="4">
        <v>13</v>
      </c>
      <c r="J155" s="4" t="s">
        <v>981</v>
      </c>
      <c r="K155" s="4" t="s">
        <v>86</v>
      </c>
      <c r="L155" s="4" t="s">
        <v>156</v>
      </c>
      <c r="M155" s="4" t="s">
        <v>902</v>
      </c>
      <c r="N155" s="4" t="s">
        <v>766</v>
      </c>
      <c r="O155" s="4" t="s">
        <v>1273</v>
      </c>
      <c r="P155" s="4" t="s">
        <v>911</v>
      </c>
      <c r="Q155" s="4">
        <v>2</v>
      </c>
      <c r="R155" s="4">
        <v>23</v>
      </c>
      <c r="S155" s="13">
        <v>65.3</v>
      </c>
      <c r="T155" s="13">
        <v>61</v>
      </c>
      <c r="U155" s="10" t="s">
        <v>987</v>
      </c>
      <c r="V155" s="10" t="s">
        <v>642</v>
      </c>
      <c r="W155" s="12">
        <v>0.74</v>
      </c>
      <c r="X155" s="12">
        <v>0.79</v>
      </c>
      <c r="Y155" s="12">
        <v>0.2</v>
      </c>
      <c r="Z155" s="12">
        <v>0.23</v>
      </c>
      <c r="AA155" s="15">
        <v>11</v>
      </c>
      <c r="AB155" s="15">
        <v>12</v>
      </c>
      <c r="AC155" s="12">
        <f t="shared" si="169"/>
        <v>-5.0000000000000044E-2</v>
      </c>
      <c r="AD155" s="12">
        <f t="shared" si="170"/>
        <v>0.21623400023387365</v>
      </c>
      <c r="AE155" s="12">
        <f t="shared" si="171"/>
        <v>-0.2312309810016982</v>
      </c>
      <c r="AF155" s="12">
        <f t="shared" si="172"/>
        <v>0.41881352293598978</v>
      </c>
      <c r="AG155" s="12" t="s">
        <v>193</v>
      </c>
      <c r="AH155" s="12"/>
      <c r="AI155" s="12" t="s">
        <v>1302</v>
      </c>
      <c r="AJ155" s="12" t="s">
        <v>328</v>
      </c>
      <c r="AL155" s="12" t="s">
        <v>986</v>
      </c>
      <c r="AM155" s="10" t="s">
        <v>985</v>
      </c>
      <c r="AN155" s="10" t="s">
        <v>157</v>
      </c>
    </row>
    <row r="156" spans="1:40" s="10" customFormat="1" ht="17" customHeight="1" x14ac:dyDescent="0.2">
      <c r="A156" s="4">
        <v>2015</v>
      </c>
      <c r="B156" s="6">
        <v>25704020</v>
      </c>
      <c r="C156" s="4" t="s">
        <v>117</v>
      </c>
      <c r="D156" s="4"/>
      <c r="E156" s="10" t="s">
        <v>157</v>
      </c>
      <c r="F156" s="4" t="s">
        <v>108</v>
      </c>
      <c r="G156" s="4" t="s">
        <v>109</v>
      </c>
      <c r="H156" s="4" t="s">
        <v>109</v>
      </c>
      <c r="I156" s="4">
        <v>13</v>
      </c>
      <c r="J156" s="4" t="s">
        <v>981</v>
      </c>
      <c r="K156" s="4" t="s">
        <v>86</v>
      </c>
      <c r="L156" s="4" t="s">
        <v>156</v>
      </c>
      <c r="M156" s="4" t="s">
        <v>902</v>
      </c>
      <c r="N156" s="4" t="s">
        <v>766</v>
      </c>
      <c r="O156" s="4" t="s">
        <v>1273</v>
      </c>
      <c r="P156" s="4" t="s">
        <v>911</v>
      </c>
      <c r="Q156" s="4">
        <v>2</v>
      </c>
      <c r="R156" s="4">
        <v>23</v>
      </c>
      <c r="S156" s="13">
        <v>65.3</v>
      </c>
      <c r="T156" s="13">
        <v>61</v>
      </c>
      <c r="U156" s="10" t="s">
        <v>988</v>
      </c>
      <c r="V156" s="10" t="s">
        <v>642</v>
      </c>
      <c r="W156" s="12">
        <v>70.599999999999994</v>
      </c>
      <c r="X156" s="12">
        <v>69.400000000000006</v>
      </c>
      <c r="Y156" s="12">
        <v>14.2</v>
      </c>
      <c r="Z156" s="12">
        <v>16.100000000000001</v>
      </c>
      <c r="AA156" s="15">
        <v>11</v>
      </c>
      <c r="AB156" s="15">
        <v>12</v>
      </c>
      <c r="AC156" s="12">
        <f t="shared" si="169"/>
        <v>1.1999999999999886</v>
      </c>
      <c r="AD156" s="12">
        <f t="shared" si="170"/>
        <v>15.224838727740741</v>
      </c>
      <c r="AE156" s="12">
        <f t="shared" si="171"/>
        <v>7.881856888332768E-2</v>
      </c>
      <c r="AF156" s="12">
        <f t="shared" si="172"/>
        <v>0.41758529152092499</v>
      </c>
      <c r="AG156" s="12" t="s">
        <v>193</v>
      </c>
      <c r="AH156" s="12"/>
      <c r="AI156" s="12" t="s">
        <v>1302</v>
      </c>
      <c r="AJ156" s="12" t="s">
        <v>328</v>
      </c>
      <c r="AL156" s="12" t="s">
        <v>986</v>
      </c>
      <c r="AM156" s="10" t="s">
        <v>985</v>
      </c>
      <c r="AN156" s="10" t="s">
        <v>157</v>
      </c>
    </row>
    <row r="157" spans="1:40" s="10" customFormat="1" x14ac:dyDescent="0.2">
      <c r="A157" s="4">
        <v>2009</v>
      </c>
      <c r="B157" s="25">
        <v>19407805</v>
      </c>
      <c r="C157" s="4" t="s">
        <v>113</v>
      </c>
      <c r="D157" s="4" t="s">
        <v>908</v>
      </c>
      <c r="E157" s="4" t="s">
        <v>157</v>
      </c>
      <c r="F157" s="4" t="s">
        <v>66</v>
      </c>
      <c r="G157" s="4" t="s">
        <v>66</v>
      </c>
      <c r="H157" s="4" t="s">
        <v>66</v>
      </c>
      <c r="I157" s="4">
        <v>1</v>
      </c>
      <c r="J157" s="4" t="s">
        <v>795</v>
      </c>
      <c r="K157" s="4" t="s">
        <v>86</v>
      </c>
      <c r="L157" s="4" t="s">
        <v>412</v>
      </c>
      <c r="M157" s="10" t="s">
        <v>902</v>
      </c>
      <c r="N157" s="4" t="s">
        <v>766</v>
      </c>
      <c r="O157" s="10" t="s">
        <v>652</v>
      </c>
      <c r="P157" s="10" t="s">
        <v>911</v>
      </c>
      <c r="Q157" s="10">
        <v>2</v>
      </c>
      <c r="R157" s="16">
        <f>AA157+AB157</f>
        <v>120</v>
      </c>
      <c r="S157" s="32">
        <v>42.9</v>
      </c>
      <c r="T157" s="32">
        <v>68</v>
      </c>
      <c r="U157" s="10" t="s">
        <v>640</v>
      </c>
      <c r="V157" s="10" t="s">
        <v>635</v>
      </c>
      <c r="W157" s="12">
        <v>122</v>
      </c>
      <c r="X157" s="12">
        <v>115</v>
      </c>
      <c r="Y157" s="12">
        <v>7</v>
      </c>
      <c r="Z157" s="12">
        <v>6</v>
      </c>
      <c r="AA157" s="15">
        <v>61</v>
      </c>
      <c r="AB157" s="15">
        <v>59</v>
      </c>
      <c r="AC157" s="12">
        <f t="shared" ref="AC157:AC165" si="173">W157-X157</f>
        <v>7</v>
      </c>
      <c r="AD157" s="12">
        <f t="shared" ref="AD157:AD165" si="174">SQRT(((AA157-1)*Y157^2+(AB157-1)*Z157^2)/(AA157+AB157-2))</f>
        <v>6.5276465507505401</v>
      </c>
      <c r="AE157" s="12">
        <f t="shared" ref="AE157:AE165" si="175">AC157/AD157</f>
        <v>1.0723619830787483</v>
      </c>
      <c r="AF157" s="12">
        <f t="shared" ref="AF157:AF165" si="176">SQRT(((AA157+AB157)/(AA157*AB157)+(AE157^2/(2*(AA157+AB157)))))</f>
        <v>0.19527953321702579</v>
      </c>
      <c r="AG157" s="12" t="s">
        <v>193</v>
      </c>
      <c r="AH157" s="12" t="s">
        <v>193</v>
      </c>
      <c r="AI157" s="12" t="s">
        <v>780</v>
      </c>
      <c r="AJ157" s="12" t="s">
        <v>348</v>
      </c>
      <c r="AL157" s="12" t="s">
        <v>841</v>
      </c>
      <c r="AM157" s="10" t="s">
        <v>706</v>
      </c>
      <c r="AN157" s="10" t="s">
        <v>193</v>
      </c>
    </row>
    <row r="158" spans="1:40" s="10" customFormat="1" x14ac:dyDescent="0.2">
      <c r="A158" s="4">
        <v>2009</v>
      </c>
      <c r="B158" s="4">
        <v>19407805</v>
      </c>
      <c r="C158" s="4" t="s">
        <v>113</v>
      </c>
      <c r="D158" s="4" t="s">
        <v>908</v>
      </c>
      <c r="E158" s="4" t="s">
        <v>157</v>
      </c>
      <c r="F158" s="4" t="s">
        <v>66</v>
      </c>
      <c r="G158" s="4" t="s">
        <v>66</v>
      </c>
      <c r="H158" s="4" t="s">
        <v>66</v>
      </c>
      <c r="I158" s="4">
        <v>1</v>
      </c>
      <c r="J158" s="4" t="s">
        <v>795</v>
      </c>
      <c r="K158" s="4" t="s">
        <v>86</v>
      </c>
      <c r="L158" s="4" t="s">
        <v>412</v>
      </c>
      <c r="M158" s="10" t="s">
        <v>902</v>
      </c>
      <c r="N158" s="4" t="s">
        <v>766</v>
      </c>
      <c r="O158" s="10" t="s">
        <v>652</v>
      </c>
      <c r="P158" s="10" t="s">
        <v>911</v>
      </c>
      <c r="Q158" s="10">
        <v>2</v>
      </c>
      <c r="R158" s="16">
        <f t="shared" ref="R158:R162" si="177">AA158+AB158</f>
        <v>120</v>
      </c>
      <c r="S158" s="32">
        <v>42.9</v>
      </c>
      <c r="T158" s="32">
        <v>68</v>
      </c>
      <c r="U158" s="10" t="s">
        <v>641</v>
      </c>
      <c r="V158" s="10" t="s">
        <v>635</v>
      </c>
      <c r="W158" s="12">
        <v>79</v>
      </c>
      <c r="X158" s="12">
        <v>74</v>
      </c>
      <c r="Y158" s="12">
        <v>4</v>
      </c>
      <c r="Z158" s="12">
        <v>7</v>
      </c>
      <c r="AA158" s="15">
        <v>61</v>
      </c>
      <c r="AB158" s="15">
        <v>59</v>
      </c>
      <c r="AC158" s="12">
        <f t="shared" si="173"/>
        <v>5</v>
      </c>
      <c r="AD158" s="12">
        <f t="shared" si="174"/>
        <v>5.6762962381337045</v>
      </c>
      <c r="AE158" s="12">
        <f t="shared" si="175"/>
        <v>0.88085607062043292</v>
      </c>
      <c r="AF158" s="12">
        <f t="shared" si="176"/>
        <v>0.19124733393377624</v>
      </c>
      <c r="AG158" s="12" t="s">
        <v>193</v>
      </c>
      <c r="AH158" s="12"/>
      <c r="AI158" s="12" t="s">
        <v>780</v>
      </c>
      <c r="AJ158" s="12" t="s">
        <v>348</v>
      </c>
      <c r="AK158" s="12" t="s">
        <v>1298</v>
      </c>
      <c r="AL158" s="12"/>
      <c r="AM158" s="10" t="s">
        <v>706</v>
      </c>
      <c r="AN158" s="10" t="s">
        <v>193</v>
      </c>
    </row>
    <row r="159" spans="1:40" s="10" customFormat="1" x14ac:dyDescent="0.2">
      <c r="A159" s="4">
        <v>2009</v>
      </c>
      <c r="B159" s="4">
        <v>19407805</v>
      </c>
      <c r="C159" s="4" t="s">
        <v>113</v>
      </c>
      <c r="D159" s="4" t="s">
        <v>908</v>
      </c>
      <c r="E159" s="4" t="s">
        <v>157</v>
      </c>
      <c r="F159" s="4" t="s">
        <v>66</v>
      </c>
      <c r="G159" s="4" t="s">
        <v>66</v>
      </c>
      <c r="H159" s="4" t="s">
        <v>66</v>
      </c>
      <c r="I159" s="4">
        <v>1</v>
      </c>
      <c r="J159" s="4" t="s">
        <v>795</v>
      </c>
      <c r="K159" s="4" t="s">
        <v>86</v>
      </c>
      <c r="L159" s="4" t="s">
        <v>412</v>
      </c>
      <c r="M159" s="10" t="s">
        <v>902</v>
      </c>
      <c r="N159" s="4" t="s">
        <v>766</v>
      </c>
      <c r="O159" s="10" t="s">
        <v>652</v>
      </c>
      <c r="P159" s="10" t="s">
        <v>911</v>
      </c>
      <c r="Q159" s="10">
        <v>2</v>
      </c>
      <c r="R159" s="16">
        <f t="shared" si="177"/>
        <v>120</v>
      </c>
      <c r="S159" s="32">
        <v>42.9</v>
      </c>
      <c r="T159" s="32">
        <v>68</v>
      </c>
      <c r="U159" s="10" t="s">
        <v>644</v>
      </c>
      <c r="V159" s="10" t="s">
        <v>635</v>
      </c>
      <c r="W159" s="12">
        <v>127</v>
      </c>
      <c r="X159" s="12">
        <v>120</v>
      </c>
      <c r="Y159" s="12">
        <v>7</v>
      </c>
      <c r="Z159" s="12">
        <v>7</v>
      </c>
      <c r="AA159" s="15">
        <v>61</v>
      </c>
      <c r="AB159" s="15">
        <v>59</v>
      </c>
      <c r="AC159" s="12">
        <f t="shared" ref="AC159:AC160" si="178">W159-X159</f>
        <v>7</v>
      </c>
      <c r="AD159" s="12">
        <f t="shared" ref="AD159:AD160" si="179">SQRT(((AA159-1)*Y159^2+(AB159-1)*Z159^2)/(AA159+AB159-2))</f>
        <v>7</v>
      </c>
      <c r="AE159" s="12">
        <f t="shared" ref="AE159:AE160" si="180">AC159/AD159</f>
        <v>1</v>
      </c>
      <c r="AF159" s="12">
        <f t="shared" ref="AF159:AF160" si="181">SQRT(((AA159+AB159)/(AA159*AB159)+(AE159^2/(2*(AA159+AB159)))))</f>
        <v>0.19367307978134279</v>
      </c>
      <c r="AG159" s="12" t="s">
        <v>193</v>
      </c>
      <c r="AH159" s="12"/>
      <c r="AI159" s="12" t="s">
        <v>780</v>
      </c>
      <c r="AJ159" s="12" t="s">
        <v>348</v>
      </c>
      <c r="AK159" s="12" t="s">
        <v>1298</v>
      </c>
      <c r="AL159" s="12"/>
      <c r="AM159" s="10" t="s">
        <v>706</v>
      </c>
      <c r="AN159" s="10" t="s">
        <v>193</v>
      </c>
    </row>
    <row r="160" spans="1:40" s="10" customFormat="1" x14ac:dyDescent="0.2">
      <c r="A160" s="4">
        <v>2009</v>
      </c>
      <c r="B160" s="4">
        <v>19407805</v>
      </c>
      <c r="C160" s="4" t="s">
        <v>113</v>
      </c>
      <c r="D160" s="4" t="s">
        <v>908</v>
      </c>
      <c r="E160" s="4" t="s">
        <v>157</v>
      </c>
      <c r="F160" s="4" t="s">
        <v>66</v>
      </c>
      <c r="G160" s="4" t="s">
        <v>66</v>
      </c>
      <c r="H160" s="4" t="s">
        <v>66</v>
      </c>
      <c r="I160" s="4">
        <v>1</v>
      </c>
      <c r="J160" s="4" t="s">
        <v>795</v>
      </c>
      <c r="K160" s="4" t="s">
        <v>86</v>
      </c>
      <c r="L160" s="4" t="s">
        <v>412</v>
      </c>
      <c r="M160" s="10" t="s">
        <v>902</v>
      </c>
      <c r="N160" s="4" t="s">
        <v>766</v>
      </c>
      <c r="O160" s="10" t="s">
        <v>652</v>
      </c>
      <c r="P160" s="10" t="s">
        <v>911</v>
      </c>
      <c r="Q160" s="10">
        <v>2</v>
      </c>
      <c r="R160" s="16">
        <f t="shared" si="177"/>
        <v>120</v>
      </c>
      <c r="S160" s="32">
        <v>42.9</v>
      </c>
      <c r="T160" s="32">
        <v>68</v>
      </c>
      <c r="U160" s="10" t="s">
        <v>645</v>
      </c>
      <c r="V160" s="10" t="s">
        <v>635</v>
      </c>
      <c r="W160" s="12">
        <v>84</v>
      </c>
      <c r="X160" s="12">
        <v>78</v>
      </c>
      <c r="Y160" s="12">
        <v>5</v>
      </c>
      <c r="Z160" s="12">
        <v>7</v>
      </c>
      <c r="AA160" s="15">
        <v>61</v>
      </c>
      <c r="AB160" s="15">
        <v>59</v>
      </c>
      <c r="AC160" s="12">
        <f t="shared" si="178"/>
        <v>6</v>
      </c>
      <c r="AD160" s="12">
        <f t="shared" si="179"/>
        <v>6.0660209503010725</v>
      </c>
      <c r="AE160" s="12">
        <f t="shared" si="180"/>
        <v>0.98911626734526925</v>
      </c>
      <c r="AF160" s="12">
        <f t="shared" si="181"/>
        <v>0.1934400620993999</v>
      </c>
      <c r="AG160" s="12" t="s">
        <v>193</v>
      </c>
      <c r="AH160" s="12"/>
      <c r="AI160" s="12" t="s">
        <v>780</v>
      </c>
      <c r="AJ160" s="12" t="s">
        <v>348</v>
      </c>
      <c r="AK160" s="12" t="s">
        <v>1298</v>
      </c>
      <c r="AL160" s="12"/>
      <c r="AM160" s="10" t="s">
        <v>706</v>
      </c>
      <c r="AN160" s="10" t="s">
        <v>193</v>
      </c>
    </row>
    <row r="161" spans="1:40" s="10" customFormat="1" x14ac:dyDescent="0.2">
      <c r="A161" s="4">
        <v>2009</v>
      </c>
      <c r="B161" s="4">
        <v>19407805</v>
      </c>
      <c r="C161" s="4" t="s">
        <v>113</v>
      </c>
      <c r="D161" s="4" t="s">
        <v>908</v>
      </c>
      <c r="E161" s="4" t="s">
        <v>157</v>
      </c>
      <c r="F161" s="4" t="s">
        <v>66</v>
      </c>
      <c r="G161" s="4" t="s">
        <v>66</v>
      </c>
      <c r="H161" s="4" t="s">
        <v>66</v>
      </c>
      <c r="I161" s="4">
        <v>1</v>
      </c>
      <c r="J161" s="4" t="s">
        <v>795</v>
      </c>
      <c r="K161" s="4" t="s">
        <v>86</v>
      </c>
      <c r="L161" s="4" t="s">
        <v>412</v>
      </c>
      <c r="M161" s="10" t="s">
        <v>902</v>
      </c>
      <c r="N161" s="4" t="s">
        <v>766</v>
      </c>
      <c r="O161" s="10" t="s">
        <v>652</v>
      </c>
      <c r="P161" s="10" t="s">
        <v>911</v>
      </c>
      <c r="Q161" s="10">
        <v>2</v>
      </c>
      <c r="R161" s="16">
        <f t="shared" si="177"/>
        <v>120</v>
      </c>
      <c r="S161" s="32">
        <v>42.9</v>
      </c>
      <c r="T161" s="32">
        <v>68</v>
      </c>
      <c r="U161" s="10" t="s">
        <v>637</v>
      </c>
      <c r="V161" s="10" t="s">
        <v>635</v>
      </c>
      <c r="W161" s="12">
        <v>110</v>
      </c>
      <c r="X161" s="12">
        <v>105</v>
      </c>
      <c r="Y161" s="12">
        <v>8</v>
      </c>
      <c r="Z161" s="12">
        <v>7</v>
      </c>
      <c r="AA161" s="15">
        <v>61</v>
      </c>
      <c r="AB161" s="15">
        <v>59</v>
      </c>
      <c r="AC161" s="12">
        <f t="shared" si="173"/>
        <v>5</v>
      </c>
      <c r="AD161" s="12">
        <f t="shared" si="174"/>
        <v>7.5250992447985565</v>
      </c>
      <c r="AE161" s="12">
        <f t="shared" si="175"/>
        <v>0.66444306411720255</v>
      </c>
      <c r="AF161" s="12">
        <f t="shared" si="176"/>
        <v>0.18756895870953641</v>
      </c>
      <c r="AG161" s="12" t="s">
        <v>193</v>
      </c>
      <c r="AH161" s="12"/>
      <c r="AI161" s="12" t="s">
        <v>780</v>
      </c>
      <c r="AJ161" s="12" t="s">
        <v>348</v>
      </c>
      <c r="AK161" s="12" t="s">
        <v>1298</v>
      </c>
      <c r="AL161" s="12"/>
      <c r="AM161" s="10" t="s">
        <v>706</v>
      </c>
      <c r="AN161" s="10" t="s">
        <v>193</v>
      </c>
    </row>
    <row r="162" spans="1:40" s="10" customFormat="1" x14ac:dyDescent="0.2">
      <c r="A162" s="4">
        <v>2009</v>
      </c>
      <c r="B162" s="4">
        <v>19407805</v>
      </c>
      <c r="C162" s="4" t="s">
        <v>113</v>
      </c>
      <c r="D162" s="4" t="s">
        <v>908</v>
      </c>
      <c r="E162" s="4" t="s">
        <v>157</v>
      </c>
      <c r="F162" s="4" t="s">
        <v>66</v>
      </c>
      <c r="G162" s="4" t="s">
        <v>66</v>
      </c>
      <c r="H162" s="4" t="s">
        <v>66</v>
      </c>
      <c r="I162" s="4">
        <v>1</v>
      </c>
      <c r="J162" s="4" t="s">
        <v>795</v>
      </c>
      <c r="K162" s="4" t="s">
        <v>86</v>
      </c>
      <c r="L162" s="4" t="s">
        <v>412</v>
      </c>
      <c r="M162" s="10" t="s">
        <v>902</v>
      </c>
      <c r="N162" s="4" t="s">
        <v>766</v>
      </c>
      <c r="O162" s="10" t="s">
        <v>652</v>
      </c>
      <c r="P162" s="10" t="s">
        <v>911</v>
      </c>
      <c r="Q162" s="10">
        <v>2</v>
      </c>
      <c r="R162" s="16">
        <f t="shared" si="177"/>
        <v>120</v>
      </c>
      <c r="S162" s="32">
        <v>42.9</v>
      </c>
      <c r="T162" s="32">
        <v>68</v>
      </c>
      <c r="U162" s="10" t="s">
        <v>638</v>
      </c>
      <c r="V162" s="10" t="s">
        <v>635</v>
      </c>
      <c r="W162" s="12">
        <v>67</v>
      </c>
      <c r="X162" s="12">
        <v>64</v>
      </c>
      <c r="Y162" s="12">
        <v>5</v>
      </c>
      <c r="Z162" s="12">
        <v>7</v>
      </c>
      <c r="AA162" s="15">
        <v>61</v>
      </c>
      <c r="AB162" s="15">
        <v>59</v>
      </c>
      <c r="AC162" s="12">
        <f t="shared" si="173"/>
        <v>3</v>
      </c>
      <c r="AD162" s="12">
        <f t="shared" si="174"/>
        <v>6.0660209503010725</v>
      </c>
      <c r="AE162" s="12">
        <f t="shared" si="175"/>
        <v>0.49455813367263463</v>
      </c>
      <c r="AF162" s="12">
        <f t="shared" si="176"/>
        <v>0.18536912035246783</v>
      </c>
      <c r="AG162" s="12" t="s">
        <v>193</v>
      </c>
      <c r="AH162" s="12"/>
      <c r="AI162" s="12" t="s">
        <v>780</v>
      </c>
      <c r="AJ162" s="12" t="s">
        <v>348</v>
      </c>
      <c r="AK162" s="12" t="s">
        <v>1298</v>
      </c>
      <c r="AL162" s="12"/>
      <c r="AM162" s="10" t="s">
        <v>706</v>
      </c>
      <c r="AN162" s="10" t="s">
        <v>193</v>
      </c>
    </row>
    <row r="163" spans="1:40" s="10" customFormat="1" x14ac:dyDescent="0.2">
      <c r="A163" s="4">
        <v>2010</v>
      </c>
      <c r="B163" s="25">
        <v>21294404</v>
      </c>
      <c r="C163" s="4" t="s">
        <v>77</v>
      </c>
      <c r="D163" s="4"/>
      <c r="E163" s="4"/>
      <c r="F163" s="4" t="s">
        <v>78</v>
      </c>
      <c r="G163" s="4" t="s">
        <v>78</v>
      </c>
      <c r="H163" s="4" t="s">
        <v>78</v>
      </c>
      <c r="I163" s="4">
        <v>3</v>
      </c>
      <c r="J163" s="4" t="s">
        <v>79</v>
      </c>
      <c r="K163" s="4" t="s">
        <v>79</v>
      </c>
      <c r="L163" s="10" t="s">
        <v>156</v>
      </c>
      <c r="M163" s="10" t="s">
        <v>902</v>
      </c>
      <c r="N163" s="10" t="s">
        <v>766</v>
      </c>
      <c r="R163" s="10">
        <v>52</v>
      </c>
      <c r="S163" s="13"/>
      <c r="T163" s="13"/>
      <c r="U163" s="10" t="s">
        <v>797</v>
      </c>
      <c r="V163" s="10" t="s">
        <v>635</v>
      </c>
      <c r="W163" s="12">
        <v>136.30000000000001</v>
      </c>
      <c r="X163" s="12">
        <v>112</v>
      </c>
      <c r="Y163" s="12">
        <v>32</v>
      </c>
      <c r="Z163" s="12">
        <v>26</v>
      </c>
      <c r="AA163" s="15">
        <v>25</v>
      </c>
      <c r="AB163" s="15">
        <v>27</v>
      </c>
      <c r="AC163" s="12">
        <f t="shared" si="173"/>
        <v>24.300000000000011</v>
      </c>
      <c r="AD163" s="12">
        <f t="shared" si="174"/>
        <v>29.03515111033521</v>
      </c>
      <c r="AE163" s="12">
        <f t="shared" si="175"/>
        <v>0.83691660179961325</v>
      </c>
      <c r="AF163" s="12">
        <f t="shared" si="176"/>
        <v>0.28943381816620189</v>
      </c>
      <c r="AG163" s="12" t="s">
        <v>193</v>
      </c>
      <c r="AH163" s="12" t="s">
        <v>193</v>
      </c>
      <c r="AI163" s="12" t="s">
        <v>785</v>
      </c>
      <c r="AJ163" s="12" t="s">
        <v>348</v>
      </c>
      <c r="AK163" s="12"/>
      <c r="AL163" s="12"/>
      <c r="AM163" s="10" t="s">
        <v>707</v>
      </c>
      <c r="AN163" s="10" t="s">
        <v>157</v>
      </c>
    </row>
    <row r="164" spans="1:40" s="10" customFormat="1" x14ac:dyDescent="0.2">
      <c r="A164" s="4">
        <v>2010</v>
      </c>
      <c r="B164" s="4">
        <v>21294404</v>
      </c>
      <c r="C164" s="4" t="s">
        <v>77</v>
      </c>
      <c r="D164" s="4"/>
      <c r="E164" s="4"/>
      <c r="F164" s="4" t="s">
        <v>78</v>
      </c>
      <c r="G164" s="4" t="s">
        <v>78</v>
      </c>
      <c r="H164" s="4" t="s">
        <v>78</v>
      </c>
      <c r="I164" s="4">
        <v>3</v>
      </c>
      <c r="J164" s="4" t="s">
        <v>79</v>
      </c>
      <c r="K164" s="4" t="s">
        <v>79</v>
      </c>
      <c r="L164" s="10" t="s">
        <v>156</v>
      </c>
      <c r="M164" s="10" t="s">
        <v>902</v>
      </c>
      <c r="N164" s="10" t="s">
        <v>766</v>
      </c>
      <c r="R164" s="10">
        <v>52</v>
      </c>
      <c r="S164" s="13"/>
      <c r="T164" s="13"/>
      <c r="U164" s="10" t="s">
        <v>798</v>
      </c>
      <c r="V164" s="10" t="s">
        <v>635</v>
      </c>
      <c r="W164" s="12">
        <v>129.5</v>
      </c>
      <c r="X164" s="12">
        <v>109.7</v>
      </c>
      <c r="Y164" s="12">
        <v>27</v>
      </c>
      <c r="Z164" s="12">
        <v>28</v>
      </c>
      <c r="AA164" s="15">
        <v>25</v>
      </c>
      <c r="AB164" s="15">
        <v>27</v>
      </c>
      <c r="AC164" s="12">
        <f t="shared" si="173"/>
        <v>19.799999999999997</v>
      </c>
      <c r="AD164" s="12">
        <f t="shared" si="174"/>
        <v>27.52453451014204</v>
      </c>
      <c r="AE164" s="12">
        <f t="shared" si="175"/>
        <v>0.71935821449420834</v>
      </c>
      <c r="AF164" s="12">
        <f t="shared" si="176"/>
        <v>0.28637871799641584</v>
      </c>
      <c r="AG164" s="12" t="s">
        <v>193</v>
      </c>
      <c r="AH164" s="12"/>
      <c r="AI164" s="12" t="s">
        <v>785</v>
      </c>
      <c r="AJ164" s="12" t="s">
        <v>348</v>
      </c>
      <c r="AK164" s="12"/>
      <c r="AL164" s="12"/>
      <c r="AM164" s="10" t="s">
        <v>707</v>
      </c>
      <c r="AN164" s="10" t="s">
        <v>157</v>
      </c>
    </row>
    <row r="165" spans="1:40" s="10" customFormat="1" x14ac:dyDescent="0.2">
      <c r="A165" s="10">
        <v>2006</v>
      </c>
      <c r="B165" s="43">
        <v>16377282</v>
      </c>
      <c r="C165" s="4" t="s">
        <v>80</v>
      </c>
      <c r="D165" s="4"/>
      <c r="E165" s="4"/>
      <c r="F165" s="4" t="s">
        <v>78</v>
      </c>
      <c r="G165" s="4" t="s">
        <v>78</v>
      </c>
      <c r="H165" s="4" t="s">
        <v>78</v>
      </c>
      <c r="I165" s="4">
        <v>25</v>
      </c>
      <c r="J165" s="4" t="s">
        <v>863</v>
      </c>
      <c r="K165" s="4" t="s">
        <v>79</v>
      </c>
      <c r="L165" s="10" t="s">
        <v>156</v>
      </c>
      <c r="M165" s="10" t="s">
        <v>902</v>
      </c>
      <c r="N165" s="10" t="s">
        <v>766</v>
      </c>
      <c r="R165" s="15">
        <f>AA165+AB165</f>
        <v>152</v>
      </c>
      <c r="S165" s="13"/>
      <c r="T165" s="13"/>
      <c r="U165" s="10" t="s">
        <v>864</v>
      </c>
      <c r="V165" s="10" t="s">
        <v>635</v>
      </c>
      <c r="W165" s="12">
        <v>182</v>
      </c>
      <c r="X165" s="12">
        <v>178</v>
      </c>
      <c r="Y165" s="12">
        <v>11</v>
      </c>
      <c r="Z165" s="12">
        <v>12</v>
      </c>
      <c r="AA165" s="15">
        <v>73</v>
      </c>
      <c r="AB165" s="15">
        <v>79</v>
      </c>
      <c r="AC165" s="12">
        <f t="shared" si="173"/>
        <v>4</v>
      </c>
      <c r="AD165" s="12">
        <f t="shared" si="174"/>
        <v>11.530828244319659</v>
      </c>
      <c r="AE165" s="12">
        <f t="shared" si="175"/>
        <v>0.34689615656798012</v>
      </c>
      <c r="AF165" s="12">
        <f t="shared" si="176"/>
        <v>0.16356253603370535</v>
      </c>
      <c r="AG165" s="12" t="s">
        <v>193</v>
      </c>
      <c r="AH165" s="12"/>
      <c r="AI165" s="12" t="s">
        <v>785</v>
      </c>
      <c r="AJ165" s="12" t="s">
        <v>348</v>
      </c>
      <c r="AK165" s="12"/>
      <c r="AL165" s="12"/>
      <c r="AM165" s="10" t="s">
        <v>708</v>
      </c>
      <c r="AN165" s="10" t="s">
        <v>157</v>
      </c>
    </row>
    <row r="166" spans="1:40" s="10" customFormat="1" x14ac:dyDescent="0.2">
      <c r="A166" s="10">
        <v>2006</v>
      </c>
      <c r="B166" s="10">
        <v>16377282</v>
      </c>
      <c r="C166" s="4" t="s">
        <v>80</v>
      </c>
      <c r="D166" s="4"/>
      <c r="E166" s="4"/>
      <c r="F166" s="4" t="s">
        <v>78</v>
      </c>
      <c r="G166" s="4" t="s">
        <v>78</v>
      </c>
      <c r="H166" s="4" t="s">
        <v>78</v>
      </c>
      <c r="I166" s="4">
        <v>25</v>
      </c>
      <c r="J166" s="4" t="s">
        <v>863</v>
      </c>
      <c r="K166" s="4" t="s">
        <v>79</v>
      </c>
      <c r="L166" s="10" t="s">
        <v>156</v>
      </c>
      <c r="M166" s="10" t="s">
        <v>902</v>
      </c>
      <c r="N166" s="10" t="s">
        <v>766</v>
      </c>
      <c r="R166" s="15">
        <f t="shared" ref="R166:R168" si="182">AA166+AB166</f>
        <v>152</v>
      </c>
      <c r="S166" s="13"/>
      <c r="T166" s="13"/>
      <c r="U166" s="10" t="s">
        <v>865</v>
      </c>
      <c r="V166" s="10" t="s">
        <v>635</v>
      </c>
      <c r="W166" s="12">
        <v>140</v>
      </c>
      <c r="X166" s="12">
        <v>134</v>
      </c>
      <c r="Y166" s="12">
        <v>11</v>
      </c>
      <c r="Z166" s="12">
        <v>11</v>
      </c>
      <c r="AA166" s="15">
        <v>73</v>
      </c>
      <c r="AB166" s="15">
        <v>79</v>
      </c>
      <c r="AC166" s="12">
        <f t="shared" ref="AC166:AC176" si="183">W166-X166</f>
        <v>6</v>
      </c>
      <c r="AD166" s="12">
        <f t="shared" ref="AD166:AD176" si="184">SQRT(((AA166-1)*Y166^2+(AB166-1)*Z166^2)/(AA166+AB166-2))</f>
        <v>11</v>
      </c>
      <c r="AE166" s="12">
        <f t="shared" ref="AE166:AE176" si="185">AC166/AD166</f>
        <v>0.54545454545454541</v>
      </c>
      <c r="AF166" s="12">
        <f t="shared" ref="AF166:AF176" si="186">SQRT(((AA166+AB166)/(AA166*AB166)+(AE166^2/(2*(AA166+AB166)))))</f>
        <v>0.16533464358830705</v>
      </c>
      <c r="AG166" s="12" t="s">
        <v>193</v>
      </c>
      <c r="AH166" s="12"/>
      <c r="AI166" s="12" t="s">
        <v>785</v>
      </c>
      <c r="AJ166" s="12" t="s">
        <v>348</v>
      </c>
      <c r="AK166" s="12"/>
      <c r="AL166" s="12"/>
      <c r="AM166" s="10" t="s">
        <v>708</v>
      </c>
      <c r="AN166" s="10" t="s">
        <v>157</v>
      </c>
    </row>
    <row r="167" spans="1:40" s="10" customFormat="1" x14ac:dyDescent="0.2">
      <c r="A167" s="10">
        <v>2006</v>
      </c>
      <c r="B167" s="10">
        <v>16377282</v>
      </c>
      <c r="C167" s="4" t="s">
        <v>80</v>
      </c>
      <c r="D167" s="4"/>
      <c r="E167" s="4"/>
      <c r="F167" s="4" t="s">
        <v>78</v>
      </c>
      <c r="G167" s="4" t="s">
        <v>78</v>
      </c>
      <c r="H167" s="4" t="s">
        <v>78</v>
      </c>
      <c r="I167" s="4">
        <v>25</v>
      </c>
      <c r="J167" s="4" t="s">
        <v>863</v>
      </c>
      <c r="K167" s="4" t="s">
        <v>79</v>
      </c>
      <c r="L167" s="10" t="s">
        <v>156</v>
      </c>
      <c r="M167" s="10" t="s">
        <v>902</v>
      </c>
      <c r="N167" s="10" t="s">
        <v>766</v>
      </c>
      <c r="R167" s="15">
        <f t="shared" si="182"/>
        <v>152</v>
      </c>
      <c r="S167" s="13"/>
      <c r="T167" s="13"/>
      <c r="U167" s="10" t="s">
        <v>866</v>
      </c>
      <c r="V167" s="10" t="s">
        <v>635</v>
      </c>
      <c r="W167" s="12">
        <v>37</v>
      </c>
      <c r="X167" s="12">
        <v>39</v>
      </c>
      <c r="Y167" s="12">
        <v>3</v>
      </c>
      <c r="Z167" s="12">
        <v>3</v>
      </c>
      <c r="AA167" s="15">
        <v>73</v>
      </c>
      <c r="AB167" s="15">
        <v>79</v>
      </c>
      <c r="AC167" s="12">
        <f t="shared" si="183"/>
        <v>-2</v>
      </c>
      <c r="AD167" s="12">
        <f t="shared" si="184"/>
        <v>3</v>
      </c>
      <c r="AE167" s="12">
        <f t="shared" si="185"/>
        <v>-0.66666666666666663</v>
      </c>
      <c r="AF167" s="12">
        <f t="shared" si="186"/>
        <v>0.16678982669569847</v>
      </c>
      <c r="AG167" s="12" t="s">
        <v>193</v>
      </c>
      <c r="AH167" s="12" t="s">
        <v>193</v>
      </c>
      <c r="AI167" s="12" t="s">
        <v>785</v>
      </c>
      <c r="AJ167" s="12" t="s">
        <v>348</v>
      </c>
      <c r="AK167" s="12"/>
      <c r="AL167" s="12"/>
      <c r="AM167" s="10" t="s">
        <v>708</v>
      </c>
      <c r="AN167" s="10" t="s">
        <v>157</v>
      </c>
    </row>
    <row r="168" spans="1:40" s="10" customFormat="1" x14ac:dyDescent="0.2">
      <c r="A168" s="10">
        <v>2006</v>
      </c>
      <c r="B168" s="10">
        <v>16377282</v>
      </c>
      <c r="C168" s="4" t="s">
        <v>80</v>
      </c>
      <c r="D168" s="4"/>
      <c r="E168" s="4"/>
      <c r="F168" s="4" t="s">
        <v>78</v>
      </c>
      <c r="G168" s="4" t="s">
        <v>78</v>
      </c>
      <c r="H168" s="4" t="s">
        <v>78</v>
      </c>
      <c r="I168" s="4">
        <v>25</v>
      </c>
      <c r="J168" s="4" t="s">
        <v>863</v>
      </c>
      <c r="K168" s="4" t="s">
        <v>79</v>
      </c>
      <c r="L168" s="10" t="s">
        <v>156</v>
      </c>
      <c r="M168" s="10" t="s">
        <v>902</v>
      </c>
      <c r="N168" s="10" t="s">
        <v>766</v>
      </c>
      <c r="R168" s="15">
        <f t="shared" si="182"/>
        <v>152</v>
      </c>
      <c r="S168" s="13"/>
      <c r="T168" s="13"/>
      <c r="U168" s="10" t="s">
        <v>867</v>
      </c>
      <c r="V168" s="10" t="s">
        <v>635</v>
      </c>
      <c r="W168" s="12">
        <v>92</v>
      </c>
      <c r="X168" s="12">
        <v>87</v>
      </c>
      <c r="Y168" s="12">
        <v>13</v>
      </c>
      <c r="Z168" s="12">
        <v>7</v>
      </c>
      <c r="AA168" s="15">
        <v>73</v>
      </c>
      <c r="AB168" s="15">
        <v>79</v>
      </c>
      <c r="AC168" s="12">
        <f t="shared" si="183"/>
        <v>5</v>
      </c>
      <c r="AD168" s="12">
        <f t="shared" si="184"/>
        <v>10.324727599312245</v>
      </c>
      <c r="AE168" s="12">
        <f t="shared" si="185"/>
        <v>0.48427427764128728</v>
      </c>
      <c r="AF168" s="12">
        <f t="shared" si="186"/>
        <v>0.16470674102072985</v>
      </c>
      <c r="AG168" s="12" t="s">
        <v>193</v>
      </c>
      <c r="AH168" s="12"/>
      <c r="AI168" s="12" t="s">
        <v>785</v>
      </c>
      <c r="AJ168" s="12" t="s">
        <v>348</v>
      </c>
      <c r="AK168" s="12"/>
      <c r="AL168" s="12"/>
      <c r="AM168" s="10" t="s">
        <v>708</v>
      </c>
      <c r="AN168" s="10" t="s">
        <v>157</v>
      </c>
    </row>
    <row r="169" spans="1:40" s="10" customFormat="1" x14ac:dyDescent="0.2">
      <c r="A169" s="10">
        <v>2006</v>
      </c>
      <c r="B169" s="10">
        <v>16377282</v>
      </c>
      <c r="C169" s="4" t="s">
        <v>80</v>
      </c>
      <c r="D169" s="4"/>
      <c r="E169" s="4"/>
      <c r="F169" s="4" t="s">
        <v>78</v>
      </c>
      <c r="G169" s="4" t="s">
        <v>78</v>
      </c>
      <c r="H169" s="4" t="s">
        <v>78</v>
      </c>
      <c r="I169" s="4">
        <v>25</v>
      </c>
      <c r="J169" s="4" t="s">
        <v>863</v>
      </c>
      <c r="K169" s="4" t="s">
        <v>79</v>
      </c>
      <c r="L169" s="10" t="s">
        <v>156</v>
      </c>
      <c r="M169" s="10" t="s">
        <v>902</v>
      </c>
      <c r="N169" s="10" t="s">
        <v>766</v>
      </c>
      <c r="R169" s="15">
        <f>AA169+AB169</f>
        <v>152</v>
      </c>
      <c r="S169" s="13"/>
      <c r="T169" s="13"/>
      <c r="U169" s="10" t="s">
        <v>868</v>
      </c>
      <c r="V169" s="10" t="s">
        <v>635</v>
      </c>
      <c r="W169" s="12">
        <v>47.7</v>
      </c>
      <c r="X169" s="12">
        <v>13.7</v>
      </c>
      <c r="Y169" s="12">
        <v>36.4</v>
      </c>
      <c r="Z169" s="12">
        <v>23.7</v>
      </c>
      <c r="AA169" s="15">
        <v>73</v>
      </c>
      <c r="AB169" s="15">
        <v>79</v>
      </c>
      <c r="AC169" s="12">
        <f>W169-X169</f>
        <v>34</v>
      </c>
      <c r="AD169" s="12">
        <f>SQRT(((AA169-1)*Y169^2+(AB169-1)*Z169^2)/(AA169+AB169-2))</f>
        <v>30.464070640674397</v>
      </c>
      <c r="AE169" s="12">
        <f>AC169/AD169</f>
        <v>1.1160688406034804</v>
      </c>
      <c r="AF169" s="12">
        <f>SQRT(((AA169+AB169)/(AA169*AB169)+(AE169^2/(2*(AA169+AB169)))))</f>
        <v>0.17451148435697783</v>
      </c>
      <c r="AG169" s="12" t="s">
        <v>157</v>
      </c>
      <c r="AH169" s="12"/>
      <c r="AI169" s="12" t="s">
        <v>1304</v>
      </c>
      <c r="AJ169" s="12" t="s">
        <v>348</v>
      </c>
      <c r="AK169" s="12"/>
      <c r="AL169" s="12"/>
      <c r="AM169" s="10" t="s">
        <v>708</v>
      </c>
      <c r="AN169" s="10" t="s">
        <v>157</v>
      </c>
    </row>
    <row r="170" spans="1:40" s="10" customFormat="1" x14ac:dyDescent="0.2">
      <c r="A170" s="35">
        <v>2015</v>
      </c>
      <c r="B170" s="45">
        <v>25528311</v>
      </c>
      <c r="C170" s="35" t="s">
        <v>961</v>
      </c>
      <c r="D170" s="35"/>
      <c r="F170" s="35" t="s">
        <v>1283</v>
      </c>
      <c r="G170" s="35" t="s">
        <v>1283</v>
      </c>
      <c r="H170" s="35" t="s">
        <v>1283</v>
      </c>
      <c r="I170" s="35">
        <v>3</v>
      </c>
      <c r="J170" s="35" t="s">
        <v>969</v>
      </c>
      <c r="K170" s="35" t="s">
        <v>86</v>
      </c>
      <c r="L170" s="35" t="s">
        <v>156</v>
      </c>
      <c r="M170" s="35" t="s">
        <v>903</v>
      </c>
      <c r="N170" s="35" t="s">
        <v>766</v>
      </c>
      <c r="O170" s="35" t="s">
        <v>968</v>
      </c>
      <c r="P170" s="35" t="s">
        <v>911</v>
      </c>
      <c r="Q170" s="35">
        <v>2</v>
      </c>
      <c r="R170" s="35">
        <v>78</v>
      </c>
      <c r="S170" s="13">
        <v>67</v>
      </c>
      <c r="T170" s="13">
        <v>15</v>
      </c>
      <c r="U170" s="10" t="s">
        <v>971</v>
      </c>
      <c r="V170" s="10" t="s">
        <v>635</v>
      </c>
      <c r="W170" s="12">
        <v>4.3</v>
      </c>
      <c r="X170" s="12">
        <v>4</v>
      </c>
      <c r="Y170" s="12">
        <v>0.8</v>
      </c>
      <c r="Z170" s="12">
        <v>0.8</v>
      </c>
      <c r="AA170" s="15">
        <v>68</v>
      </c>
      <c r="AB170" s="15">
        <v>68</v>
      </c>
      <c r="AC170" s="12">
        <f t="shared" si="183"/>
        <v>0.29999999999999982</v>
      </c>
      <c r="AD170" s="12">
        <f t="shared" si="184"/>
        <v>0.8</v>
      </c>
      <c r="AE170" s="12">
        <f t="shared" si="185"/>
        <v>0.37499999999999978</v>
      </c>
      <c r="AF170" s="12">
        <f t="shared" si="186"/>
        <v>0.17299933058353995</v>
      </c>
      <c r="AG170" s="12" t="s">
        <v>193</v>
      </c>
      <c r="AH170" s="12"/>
      <c r="AI170" s="12" t="s">
        <v>785</v>
      </c>
      <c r="AJ170" s="12" t="s">
        <v>348</v>
      </c>
      <c r="AK170" s="12" t="s">
        <v>1298</v>
      </c>
      <c r="AL170" s="12"/>
      <c r="AM170" s="10" t="s">
        <v>967</v>
      </c>
      <c r="AN170" s="10" t="s">
        <v>157</v>
      </c>
    </row>
    <row r="171" spans="1:40" s="10" customFormat="1" x14ac:dyDescent="0.2">
      <c r="A171" s="35">
        <v>2015</v>
      </c>
      <c r="B171" s="35">
        <v>25528311</v>
      </c>
      <c r="C171" s="35" t="s">
        <v>961</v>
      </c>
      <c r="D171" s="35"/>
      <c r="F171" s="35" t="s">
        <v>1283</v>
      </c>
      <c r="G171" s="35" t="s">
        <v>1283</v>
      </c>
      <c r="H171" s="35" t="s">
        <v>1283</v>
      </c>
      <c r="I171" s="35">
        <v>3</v>
      </c>
      <c r="J171" s="35" t="s">
        <v>969</v>
      </c>
      <c r="K171" s="35" t="s">
        <v>86</v>
      </c>
      <c r="L171" s="35" t="s">
        <v>156</v>
      </c>
      <c r="M171" s="35" t="s">
        <v>903</v>
      </c>
      <c r="N171" s="35" t="s">
        <v>766</v>
      </c>
      <c r="O171" s="35" t="s">
        <v>968</v>
      </c>
      <c r="P171" s="35" t="s">
        <v>911</v>
      </c>
      <c r="Q171" s="35">
        <v>2</v>
      </c>
      <c r="R171" s="35">
        <v>78</v>
      </c>
      <c r="S171" s="13">
        <v>67</v>
      </c>
      <c r="T171" s="13">
        <v>15</v>
      </c>
      <c r="U171" s="10" t="s">
        <v>970</v>
      </c>
      <c r="V171" s="10" t="s">
        <v>635</v>
      </c>
      <c r="W171" s="12">
        <v>2.2999999999999998</v>
      </c>
      <c r="X171" s="12">
        <v>2.1</v>
      </c>
      <c r="Y171" s="12">
        <v>0.6</v>
      </c>
      <c r="Z171" s="12">
        <v>0.6</v>
      </c>
      <c r="AA171" s="15">
        <v>68</v>
      </c>
      <c r="AB171" s="15">
        <v>68</v>
      </c>
      <c r="AC171" s="12">
        <f t="shared" si="183"/>
        <v>0.19999999999999973</v>
      </c>
      <c r="AD171" s="12">
        <f t="shared" si="184"/>
        <v>0.6</v>
      </c>
      <c r="AE171" s="12">
        <f t="shared" si="185"/>
        <v>0.33333333333333293</v>
      </c>
      <c r="AF171" s="12">
        <f t="shared" si="186"/>
        <v>0.17268544072361311</v>
      </c>
      <c r="AG171" s="12" t="s">
        <v>193</v>
      </c>
      <c r="AH171" s="12" t="s">
        <v>193</v>
      </c>
      <c r="AI171" s="12" t="s">
        <v>785</v>
      </c>
      <c r="AJ171" s="12" t="s">
        <v>348</v>
      </c>
      <c r="AK171" s="12" t="s">
        <v>1299</v>
      </c>
      <c r="AL171" s="12"/>
      <c r="AM171" s="10" t="s">
        <v>967</v>
      </c>
      <c r="AN171" s="10" t="s">
        <v>157</v>
      </c>
    </row>
    <row r="172" spans="1:40" s="10" customFormat="1" x14ac:dyDescent="0.2">
      <c r="A172" s="35">
        <v>2015</v>
      </c>
      <c r="B172" s="35">
        <v>25528311</v>
      </c>
      <c r="C172" s="35" t="s">
        <v>961</v>
      </c>
      <c r="D172" s="35"/>
      <c r="F172" s="35" t="s">
        <v>1283</v>
      </c>
      <c r="G172" s="35" t="s">
        <v>1283</v>
      </c>
      <c r="H172" s="35" t="s">
        <v>1283</v>
      </c>
      <c r="I172" s="35">
        <v>3</v>
      </c>
      <c r="J172" s="35" t="s">
        <v>969</v>
      </c>
      <c r="K172" s="35" t="s">
        <v>86</v>
      </c>
      <c r="L172" s="35" t="s">
        <v>156</v>
      </c>
      <c r="M172" s="35" t="s">
        <v>903</v>
      </c>
      <c r="N172" s="35" t="s">
        <v>766</v>
      </c>
      <c r="O172" s="35" t="s">
        <v>968</v>
      </c>
      <c r="P172" s="35" t="s">
        <v>911</v>
      </c>
      <c r="Q172" s="35">
        <v>2</v>
      </c>
      <c r="R172" s="35">
        <v>78</v>
      </c>
      <c r="S172" s="13">
        <v>67</v>
      </c>
      <c r="T172" s="13">
        <v>15</v>
      </c>
      <c r="U172" s="10" t="s">
        <v>972</v>
      </c>
      <c r="V172" s="10" t="s">
        <v>642</v>
      </c>
      <c r="W172" s="12">
        <v>1.2</v>
      </c>
      <c r="X172" s="12">
        <v>1.2</v>
      </c>
      <c r="Y172" s="12">
        <v>0.3</v>
      </c>
      <c r="Z172" s="12">
        <v>0.3</v>
      </c>
      <c r="AA172" s="15">
        <v>68</v>
      </c>
      <c r="AB172" s="15">
        <v>68</v>
      </c>
      <c r="AC172" s="12">
        <f t="shared" si="183"/>
        <v>0</v>
      </c>
      <c r="AD172" s="12">
        <f t="shared" si="184"/>
        <v>0.3</v>
      </c>
      <c r="AE172" s="12">
        <f t="shared" si="185"/>
        <v>0</v>
      </c>
      <c r="AF172" s="12">
        <f t="shared" si="186"/>
        <v>0.17149858514250885</v>
      </c>
      <c r="AG172" s="12" t="s">
        <v>193</v>
      </c>
      <c r="AH172" s="12"/>
      <c r="AI172" s="12" t="s">
        <v>785</v>
      </c>
      <c r="AJ172" s="12" t="s">
        <v>348</v>
      </c>
      <c r="AK172" s="12" t="s">
        <v>1298</v>
      </c>
      <c r="AL172" s="12"/>
      <c r="AM172" s="10" t="s">
        <v>967</v>
      </c>
      <c r="AN172" s="10" t="s">
        <v>157</v>
      </c>
    </row>
    <row r="173" spans="1:40" s="10" customFormat="1" x14ac:dyDescent="0.2">
      <c r="A173" s="35">
        <v>2015</v>
      </c>
      <c r="B173" s="35">
        <v>25528311</v>
      </c>
      <c r="C173" s="35" t="s">
        <v>961</v>
      </c>
      <c r="D173" s="35"/>
      <c r="F173" s="35" t="s">
        <v>1283</v>
      </c>
      <c r="G173" s="35" t="s">
        <v>1283</v>
      </c>
      <c r="H173" s="35" t="s">
        <v>1283</v>
      </c>
      <c r="I173" s="35">
        <v>3</v>
      </c>
      <c r="J173" s="35" t="s">
        <v>969</v>
      </c>
      <c r="K173" s="35" t="s">
        <v>86</v>
      </c>
      <c r="L173" s="35" t="s">
        <v>156</v>
      </c>
      <c r="M173" s="35" t="s">
        <v>903</v>
      </c>
      <c r="N173" s="35" t="s">
        <v>766</v>
      </c>
      <c r="O173" s="35" t="s">
        <v>968</v>
      </c>
      <c r="P173" s="35" t="s">
        <v>911</v>
      </c>
      <c r="Q173" s="35">
        <v>2</v>
      </c>
      <c r="R173" s="35">
        <v>78</v>
      </c>
      <c r="S173" s="13">
        <v>67</v>
      </c>
      <c r="T173" s="13">
        <v>15</v>
      </c>
      <c r="U173" s="10" t="s">
        <v>640</v>
      </c>
      <c r="V173" s="10" t="s">
        <v>642</v>
      </c>
      <c r="W173" s="12">
        <v>122.7</v>
      </c>
      <c r="X173" s="12">
        <v>123.5</v>
      </c>
      <c r="Y173" s="12">
        <v>10.3</v>
      </c>
      <c r="Z173" s="12">
        <v>11.3</v>
      </c>
      <c r="AA173" s="15">
        <v>68</v>
      </c>
      <c r="AB173" s="15">
        <v>68</v>
      </c>
      <c r="AC173" s="12">
        <f t="shared" si="183"/>
        <v>-0.79999999999999716</v>
      </c>
      <c r="AD173" s="12">
        <f t="shared" si="184"/>
        <v>10.811567878897122</v>
      </c>
      <c r="AE173" s="12">
        <f t="shared" si="185"/>
        <v>-7.3994818231821927E-2</v>
      </c>
      <c r="AF173" s="12">
        <f t="shared" si="186"/>
        <v>0.17155726227540102</v>
      </c>
      <c r="AG173" s="12" t="s">
        <v>193</v>
      </c>
      <c r="AH173" s="12"/>
      <c r="AI173" s="12" t="s">
        <v>785</v>
      </c>
      <c r="AJ173" s="12" t="s">
        <v>328</v>
      </c>
      <c r="AK173" s="12" t="s">
        <v>1299</v>
      </c>
      <c r="AL173" s="12"/>
      <c r="AM173" s="10" t="s">
        <v>967</v>
      </c>
      <c r="AN173" s="10" t="s">
        <v>157</v>
      </c>
    </row>
    <row r="174" spans="1:40" s="10" customFormat="1" x14ac:dyDescent="0.2">
      <c r="A174" s="35">
        <v>2015</v>
      </c>
      <c r="B174" s="35">
        <v>25528311</v>
      </c>
      <c r="C174" s="35" t="s">
        <v>961</v>
      </c>
      <c r="D174" s="35"/>
      <c r="F174" s="35" t="s">
        <v>1283</v>
      </c>
      <c r="G174" s="35" t="s">
        <v>1283</v>
      </c>
      <c r="H174" s="35" t="s">
        <v>1283</v>
      </c>
      <c r="I174" s="35">
        <v>3</v>
      </c>
      <c r="J174" s="35" t="s">
        <v>969</v>
      </c>
      <c r="K174" s="35" t="s">
        <v>86</v>
      </c>
      <c r="L174" s="35" t="s">
        <v>156</v>
      </c>
      <c r="M174" s="35" t="s">
        <v>903</v>
      </c>
      <c r="N174" s="35" t="s">
        <v>766</v>
      </c>
      <c r="O174" s="35" t="s">
        <v>968</v>
      </c>
      <c r="P174" s="35" t="s">
        <v>911</v>
      </c>
      <c r="Q174" s="35">
        <v>2</v>
      </c>
      <c r="R174" s="35">
        <v>78</v>
      </c>
      <c r="S174" s="13">
        <v>67</v>
      </c>
      <c r="T174" s="13">
        <v>15</v>
      </c>
      <c r="U174" s="10" t="s">
        <v>644</v>
      </c>
      <c r="V174" s="10" t="s">
        <v>642</v>
      </c>
      <c r="W174" s="12">
        <v>126.9</v>
      </c>
      <c r="X174" s="12">
        <v>128.80000000000001</v>
      </c>
      <c r="Y174" s="12">
        <v>11</v>
      </c>
      <c r="Z174" s="12">
        <v>12.4</v>
      </c>
      <c r="AA174" s="15">
        <v>68</v>
      </c>
      <c r="AB174" s="15">
        <v>68</v>
      </c>
      <c r="AC174" s="12">
        <f t="shared" si="183"/>
        <v>-1.9000000000000057</v>
      </c>
      <c r="AD174" s="12">
        <f t="shared" si="184"/>
        <v>11.720921465482141</v>
      </c>
      <c r="AE174" s="12">
        <f t="shared" si="185"/>
        <v>-0.1621032958539535</v>
      </c>
      <c r="AF174" s="12">
        <f t="shared" si="186"/>
        <v>0.17178001363027889</v>
      </c>
      <c r="AG174" s="12" t="s">
        <v>193</v>
      </c>
      <c r="AH174" s="12"/>
      <c r="AI174" s="12" t="s">
        <v>785</v>
      </c>
      <c r="AJ174" s="12" t="s">
        <v>328</v>
      </c>
      <c r="AK174" s="12" t="s">
        <v>1298</v>
      </c>
      <c r="AL174" s="12"/>
      <c r="AM174" s="10" t="s">
        <v>967</v>
      </c>
      <c r="AN174" s="10" t="s">
        <v>157</v>
      </c>
    </row>
    <row r="175" spans="1:40" s="10" customFormat="1" x14ac:dyDescent="0.2">
      <c r="A175" s="35">
        <v>2015</v>
      </c>
      <c r="B175" s="35">
        <v>25528311</v>
      </c>
      <c r="C175" s="35" t="s">
        <v>961</v>
      </c>
      <c r="D175" s="35"/>
      <c r="F175" s="35" t="s">
        <v>1283</v>
      </c>
      <c r="G175" s="35" t="s">
        <v>1283</v>
      </c>
      <c r="H175" s="35" t="s">
        <v>1283</v>
      </c>
      <c r="I175" s="35">
        <v>3</v>
      </c>
      <c r="J175" s="35" t="s">
        <v>969</v>
      </c>
      <c r="K175" s="35" t="s">
        <v>86</v>
      </c>
      <c r="L175" s="35" t="s">
        <v>156</v>
      </c>
      <c r="M175" s="35" t="s">
        <v>903</v>
      </c>
      <c r="N175" s="35" t="s">
        <v>766</v>
      </c>
      <c r="O175" s="35" t="s">
        <v>968</v>
      </c>
      <c r="P175" s="35" t="s">
        <v>911</v>
      </c>
      <c r="Q175" s="35">
        <v>2</v>
      </c>
      <c r="R175" s="35">
        <v>78</v>
      </c>
      <c r="S175" s="13">
        <v>67</v>
      </c>
      <c r="T175" s="13">
        <v>15</v>
      </c>
      <c r="U175" s="10" t="s">
        <v>637</v>
      </c>
      <c r="V175" s="10" t="s">
        <v>642</v>
      </c>
      <c r="W175" s="12">
        <v>114.1</v>
      </c>
      <c r="X175" s="12">
        <v>112.6</v>
      </c>
      <c r="Y175" s="12">
        <v>11.6</v>
      </c>
      <c r="Z175" s="12">
        <v>12.6</v>
      </c>
      <c r="AA175" s="15">
        <v>68</v>
      </c>
      <c r="AB175" s="15">
        <v>68</v>
      </c>
      <c r="AC175" s="12">
        <f t="shared" si="183"/>
        <v>1.5</v>
      </c>
      <c r="AD175" s="12">
        <f t="shared" si="184"/>
        <v>12.110326172320876</v>
      </c>
      <c r="AE175" s="12">
        <f t="shared" si="185"/>
        <v>0.12386123863685608</v>
      </c>
      <c r="AF175" s="12">
        <f t="shared" si="186"/>
        <v>0.1716629478679747</v>
      </c>
      <c r="AG175" s="12" t="s">
        <v>193</v>
      </c>
      <c r="AH175" s="12"/>
      <c r="AI175" s="12" t="s">
        <v>785</v>
      </c>
      <c r="AJ175" s="12" t="s">
        <v>348</v>
      </c>
      <c r="AK175" s="12" t="s">
        <v>1298</v>
      </c>
      <c r="AL175" s="12"/>
      <c r="AM175" s="10" t="s">
        <v>967</v>
      </c>
      <c r="AN175" s="10" t="s">
        <v>157</v>
      </c>
    </row>
    <row r="176" spans="1:40" s="10" customFormat="1" x14ac:dyDescent="0.2">
      <c r="A176" s="35">
        <v>2015</v>
      </c>
      <c r="B176" s="35">
        <v>25528311</v>
      </c>
      <c r="C176" s="35" t="s">
        <v>961</v>
      </c>
      <c r="D176" s="35"/>
      <c r="F176" s="35" t="s">
        <v>1283</v>
      </c>
      <c r="G176" s="35" t="s">
        <v>1283</v>
      </c>
      <c r="H176" s="35" t="s">
        <v>1283</v>
      </c>
      <c r="I176" s="35">
        <v>3</v>
      </c>
      <c r="J176" s="35" t="s">
        <v>969</v>
      </c>
      <c r="K176" s="35" t="s">
        <v>86</v>
      </c>
      <c r="L176" s="35" t="s">
        <v>156</v>
      </c>
      <c r="M176" s="35" t="s">
        <v>903</v>
      </c>
      <c r="N176" s="35" t="s">
        <v>766</v>
      </c>
      <c r="O176" s="35" t="s">
        <v>968</v>
      </c>
      <c r="P176" s="35" t="s">
        <v>911</v>
      </c>
      <c r="Q176" s="35">
        <v>2</v>
      </c>
      <c r="R176" s="35">
        <v>78</v>
      </c>
      <c r="S176" s="13">
        <v>67</v>
      </c>
      <c r="T176" s="13">
        <v>15</v>
      </c>
      <c r="U176" s="10" t="s">
        <v>457</v>
      </c>
      <c r="V176" s="10" t="s">
        <v>642</v>
      </c>
      <c r="W176" s="12">
        <v>432</v>
      </c>
      <c r="X176" s="12">
        <v>428</v>
      </c>
      <c r="Y176" s="12">
        <v>58</v>
      </c>
      <c r="Z176" s="12">
        <v>48</v>
      </c>
      <c r="AA176" s="15">
        <v>68</v>
      </c>
      <c r="AB176" s="15">
        <v>68</v>
      </c>
      <c r="AC176" s="12">
        <f t="shared" si="183"/>
        <v>4</v>
      </c>
      <c r="AD176" s="12">
        <f t="shared" si="184"/>
        <v>53.235326616824658</v>
      </c>
      <c r="AE176" s="12">
        <f t="shared" si="185"/>
        <v>7.5138075676534452E-2</v>
      </c>
      <c r="AF176" s="12">
        <f t="shared" si="186"/>
        <v>0.17155908914338305</v>
      </c>
      <c r="AG176" s="12" t="s">
        <v>193</v>
      </c>
      <c r="AH176" s="12"/>
      <c r="AI176" s="12" t="s">
        <v>781</v>
      </c>
      <c r="AJ176" s="12" t="s">
        <v>348</v>
      </c>
      <c r="AK176" s="12" t="s">
        <v>1298</v>
      </c>
      <c r="AL176" s="12"/>
      <c r="AM176" s="10" t="s">
        <v>967</v>
      </c>
      <c r="AN176" s="10" t="s">
        <v>157</v>
      </c>
    </row>
    <row r="177" spans="1:40" s="10" customFormat="1" x14ac:dyDescent="0.2">
      <c r="A177" s="4">
        <v>2003</v>
      </c>
      <c r="B177" s="25">
        <v>14525878</v>
      </c>
      <c r="C177" s="4" t="s">
        <v>77</v>
      </c>
      <c r="D177" s="4"/>
      <c r="E177" s="4"/>
      <c r="F177" s="4" t="s">
        <v>78</v>
      </c>
      <c r="G177" s="4" t="s">
        <v>78</v>
      </c>
      <c r="H177" s="4" t="s">
        <v>78</v>
      </c>
      <c r="I177" s="4">
        <v>3</v>
      </c>
      <c r="J177" s="4" t="s">
        <v>79</v>
      </c>
      <c r="K177" s="4" t="s">
        <v>79</v>
      </c>
      <c r="L177" s="10" t="s">
        <v>156</v>
      </c>
      <c r="M177" s="10" t="s">
        <v>902</v>
      </c>
      <c r="N177" s="10" t="s">
        <v>766</v>
      </c>
      <c r="R177" s="10">
        <v>57</v>
      </c>
      <c r="S177" s="13"/>
      <c r="T177" s="13"/>
      <c r="U177" s="10" t="s">
        <v>796</v>
      </c>
      <c r="V177" s="10" t="s">
        <v>635</v>
      </c>
      <c r="W177" s="12">
        <v>4.78</v>
      </c>
      <c r="X177" s="12">
        <v>4.4000000000000004</v>
      </c>
      <c r="Y177" s="12">
        <v>0.8</v>
      </c>
      <c r="Z177" s="12">
        <v>0.8</v>
      </c>
      <c r="AA177" s="15">
        <v>27</v>
      </c>
      <c r="AB177" s="15">
        <v>33</v>
      </c>
      <c r="AC177" s="12">
        <f t="shared" ref="AC177:AC178" si="187">W177-X177</f>
        <v>0.37999999999999989</v>
      </c>
      <c r="AD177" s="12">
        <f t="shared" ref="AD177:AD178" si="188">SQRT(((AA177-1)*Y177^2+(AB177-1)*Z177^2)/(AA177+AB177-2))</f>
        <v>0.8</v>
      </c>
      <c r="AE177" s="12">
        <f t="shared" ref="AE177:AE178" si="189">AC177/AD177</f>
        <v>0.47499999999999987</v>
      </c>
      <c r="AF177" s="12">
        <f t="shared" ref="AF177:AF178" si="190">SQRT(((AA177+AB177)/(AA177*AB177)+(AE177^2/(2*(AA177+AB177)))))</f>
        <v>0.26309746420936986</v>
      </c>
      <c r="AG177" s="12" t="s">
        <v>193</v>
      </c>
      <c r="AH177" s="12" t="s">
        <v>193</v>
      </c>
      <c r="AI177" s="12" t="s">
        <v>785</v>
      </c>
      <c r="AJ177" s="12" t="s">
        <v>348</v>
      </c>
      <c r="AK177" s="12" t="s">
        <v>840</v>
      </c>
      <c r="AL177" s="12"/>
      <c r="AM177" s="10" t="s">
        <v>709</v>
      </c>
      <c r="AN177" s="10" t="s">
        <v>157</v>
      </c>
    </row>
    <row r="178" spans="1:40" s="10" customFormat="1" x14ac:dyDescent="0.2">
      <c r="A178" s="4">
        <v>2003</v>
      </c>
      <c r="B178" s="6">
        <v>14525878</v>
      </c>
      <c r="C178" s="4" t="s">
        <v>77</v>
      </c>
      <c r="D178" s="4"/>
      <c r="E178" s="4"/>
      <c r="F178" s="4" t="s">
        <v>78</v>
      </c>
      <c r="G178" s="4" t="s">
        <v>78</v>
      </c>
      <c r="H178" s="4" t="s">
        <v>78</v>
      </c>
      <c r="I178" s="4">
        <v>3</v>
      </c>
      <c r="J178" s="4" t="s">
        <v>79</v>
      </c>
      <c r="K178" s="4" t="s">
        <v>79</v>
      </c>
      <c r="L178" s="10" t="s">
        <v>156</v>
      </c>
      <c r="M178" s="10" t="s">
        <v>902</v>
      </c>
      <c r="N178" s="10" t="s">
        <v>766</v>
      </c>
      <c r="R178" s="10">
        <v>57</v>
      </c>
      <c r="S178" s="13"/>
      <c r="T178" s="13"/>
      <c r="U178" s="10" t="s">
        <v>800</v>
      </c>
      <c r="V178" s="10" t="s">
        <v>635</v>
      </c>
      <c r="W178" s="12">
        <f>X178+0.25</f>
        <v>2.65</v>
      </c>
      <c r="X178" s="12">
        <v>2.4</v>
      </c>
      <c r="Y178" s="12">
        <v>0.6</v>
      </c>
      <c r="Z178" s="12">
        <v>0.6</v>
      </c>
      <c r="AA178" s="15">
        <v>27</v>
      </c>
      <c r="AB178" s="15">
        <v>33</v>
      </c>
      <c r="AC178" s="12">
        <f t="shared" si="187"/>
        <v>0.25</v>
      </c>
      <c r="AD178" s="12">
        <f t="shared" si="188"/>
        <v>0.6</v>
      </c>
      <c r="AE178" s="12">
        <f t="shared" si="189"/>
        <v>0.41666666666666669</v>
      </c>
      <c r="AF178" s="12">
        <f t="shared" si="190"/>
        <v>0.26227242821029928</v>
      </c>
      <c r="AG178" s="12" t="s">
        <v>193</v>
      </c>
      <c r="AH178" s="12"/>
      <c r="AI178" s="12" t="s">
        <v>785</v>
      </c>
      <c r="AJ178" s="12" t="s">
        <v>348</v>
      </c>
      <c r="AK178" s="12" t="s">
        <v>840</v>
      </c>
      <c r="AL178" s="12"/>
      <c r="AM178" s="10" t="s">
        <v>709</v>
      </c>
      <c r="AN178" s="10" t="s">
        <v>157</v>
      </c>
    </row>
    <row r="179" spans="1:40" s="10" customFormat="1" x14ac:dyDescent="0.2">
      <c r="A179" s="4">
        <v>2003</v>
      </c>
      <c r="B179" s="6">
        <v>14525878</v>
      </c>
      <c r="C179" s="4" t="s">
        <v>77</v>
      </c>
      <c r="D179" s="4"/>
      <c r="E179" s="4"/>
      <c r="F179" s="4" t="s">
        <v>78</v>
      </c>
      <c r="G179" s="4" t="s">
        <v>78</v>
      </c>
      <c r="H179" s="4" t="s">
        <v>78</v>
      </c>
      <c r="I179" s="4">
        <v>3</v>
      </c>
      <c r="J179" s="4" t="s">
        <v>79</v>
      </c>
      <c r="K179" s="4" t="s">
        <v>79</v>
      </c>
      <c r="L179" s="10" t="s">
        <v>156</v>
      </c>
      <c r="M179" s="10" t="s">
        <v>902</v>
      </c>
      <c r="N179" s="10" t="s">
        <v>766</v>
      </c>
      <c r="R179" s="10">
        <v>57</v>
      </c>
      <c r="S179" s="13"/>
      <c r="T179" s="13"/>
      <c r="U179" s="10" t="s">
        <v>800</v>
      </c>
      <c r="V179" s="10" t="s">
        <v>642</v>
      </c>
      <c r="W179" s="12">
        <v>1.32</v>
      </c>
      <c r="X179" s="12">
        <v>1.3</v>
      </c>
      <c r="Y179" s="12">
        <v>0.3</v>
      </c>
      <c r="Z179" s="12">
        <v>0.3</v>
      </c>
      <c r="AA179" s="15">
        <v>27</v>
      </c>
      <c r="AB179" s="15">
        <v>33</v>
      </c>
      <c r="AC179" s="12">
        <f t="shared" ref="AC179" si="191">W179-X179</f>
        <v>2.0000000000000018E-2</v>
      </c>
      <c r="AD179" s="12">
        <f t="shared" ref="AD179" si="192">SQRT(((AA179-1)*Y179^2+(AB179-1)*Z179^2)/(AA179+AB179-2))</f>
        <v>0.3</v>
      </c>
      <c r="AE179" s="12">
        <f t="shared" ref="AE179" si="193">AC179/AD179</f>
        <v>6.6666666666666735E-2</v>
      </c>
      <c r="AF179" s="12">
        <f t="shared" ref="AF179" si="194">SQRT(((AA179+AB179)/(AA179*AB179)+(AE179^2/(2*(AA179+AB179)))))</f>
        <v>0.25957100064742283</v>
      </c>
      <c r="AG179" s="12" t="s">
        <v>193</v>
      </c>
      <c r="AH179" s="12"/>
      <c r="AI179" s="12" t="s">
        <v>785</v>
      </c>
      <c r="AJ179" s="12" t="s">
        <v>328</v>
      </c>
      <c r="AK179" s="12" t="s">
        <v>840</v>
      </c>
      <c r="AL179" s="12"/>
      <c r="AM179" s="10" t="s">
        <v>709</v>
      </c>
      <c r="AN179" s="10" t="s">
        <v>157</v>
      </c>
    </row>
    <row r="180" spans="1:40" s="10" customFormat="1" x14ac:dyDescent="0.2">
      <c r="A180" s="6">
        <v>2002</v>
      </c>
      <c r="B180" s="25">
        <v>12356401</v>
      </c>
      <c r="C180" s="4" t="s">
        <v>77</v>
      </c>
      <c r="D180" s="4"/>
      <c r="E180" s="4"/>
      <c r="F180" s="4" t="s">
        <v>78</v>
      </c>
      <c r="G180" s="4" t="s">
        <v>78</v>
      </c>
      <c r="H180" s="4" t="s">
        <v>78</v>
      </c>
      <c r="I180" s="4">
        <v>3</v>
      </c>
      <c r="J180" s="4" t="s">
        <v>79</v>
      </c>
      <c r="K180" s="4" t="s">
        <v>79</v>
      </c>
      <c r="L180" s="10" t="s">
        <v>156</v>
      </c>
      <c r="M180" s="10" t="s">
        <v>903</v>
      </c>
      <c r="N180" s="10" t="s">
        <v>766</v>
      </c>
      <c r="R180" s="10">
        <v>25</v>
      </c>
      <c r="S180" s="13"/>
      <c r="T180" s="13"/>
      <c r="U180" s="10" t="s">
        <v>801</v>
      </c>
      <c r="V180" s="10" t="s">
        <v>635</v>
      </c>
      <c r="W180" s="12">
        <v>186</v>
      </c>
      <c r="X180" s="12">
        <v>174</v>
      </c>
      <c r="Y180" s="12">
        <v>40</v>
      </c>
      <c r="Z180" s="12">
        <v>34</v>
      </c>
      <c r="AA180" s="15">
        <v>25</v>
      </c>
      <c r="AB180" s="15">
        <v>25</v>
      </c>
      <c r="AC180" s="12">
        <f t="shared" ref="AC180:AC183" si="195">W180-X180</f>
        <v>12</v>
      </c>
      <c r="AD180" s="12">
        <f t="shared" ref="AD180:AD183" si="196">SQRT(((AA180-1)*Y180^2+(AB180-1)*Z180^2)/(AA180+AB180-2))</f>
        <v>37.12142238654117</v>
      </c>
      <c r="AE180" s="12">
        <f t="shared" ref="AE180:AE183" si="197">AC180/AD180</f>
        <v>0.32326347506421921</v>
      </c>
      <c r="AF180" s="12">
        <f t="shared" ref="AF180:AF183" si="198">SQRT(((AA180+AB180)/(AA180*AB180)+(AE180^2/(2*(AA180+AB180)))))</f>
        <v>0.2846840226340529</v>
      </c>
      <c r="AG180" s="12" t="s">
        <v>193</v>
      </c>
      <c r="AH180" s="12"/>
      <c r="AI180" s="12" t="s">
        <v>785</v>
      </c>
      <c r="AJ180" s="12" t="s">
        <v>348</v>
      </c>
      <c r="AK180" s="12"/>
      <c r="AL180" s="12"/>
      <c r="AM180" s="10" t="s">
        <v>710</v>
      </c>
      <c r="AN180" s="10" t="s">
        <v>157</v>
      </c>
    </row>
    <row r="181" spans="1:40" s="10" customFormat="1" x14ac:dyDescent="0.2">
      <c r="A181" s="6">
        <v>2002</v>
      </c>
      <c r="B181" s="6">
        <v>12356401</v>
      </c>
      <c r="C181" s="4" t="s">
        <v>77</v>
      </c>
      <c r="D181" s="4"/>
      <c r="E181" s="4"/>
      <c r="F181" s="4" t="s">
        <v>78</v>
      </c>
      <c r="G181" s="4" t="s">
        <v>78</v>
      </c>
      <c r="H181" s="4" t="s">
        <v>78</v>
      </c>
      <c r="I181" s="4">
        <v>3</v>
      </c>
      <c r="J181" s="4" t="s">
        <v>79</v>
      </c>
      <c r="K181" s="4" t="s">
        <v>79</v>
      </c>
      <c r="L181" s="10" t="s">
        <v>156</v>
      </c>
      <c r="M181" s="10" t="s">
        <v>903</v>
      </c>
      <c r="N181" s="10" t="s">
        <v>766</v>
      </c>
      <c r="R181" s="10">
        <v>25</v>
      </c>
      <c r="S181" s="13"/>
      <c r="T181" s="13"/>
      <c r="U181" s="10" t="s">
        <v>804</v>
      </c>
      <c r="V181" s="10" t="s">
        <v>635</v>
      </c>
      <c r="W181" s="7">
        <v>108</v>
      </c>
      <c r="X181" s="7">
        <v>97</v>
      </c>
      <c r="Y181" s="7">
        <v>37</v>
      </c>
      <c r="Z181" s="12">
        <v>28</v>
      </c>
      <c r="AA181" s="15">
        <v>25</v>
      </c>
      <c r="AB181" s="15">
        <v>25</v>
      </c>
      <c r="AC181" s="12">
        <f t="shared" si="195"/>
        <v>11</v>
      </c>
      <c r="AD181" s="12">
        <f t="shared" si="196"/>
        <v>32.810059433045836</v>
      </c>
      <c r="AE181" s="12">
        <f t="shared" si="197"/>
        <v>0.33526303182861511</v>
      </c>
      <c r="AF181" s="12">
        <f t="shared" si="198"/>
        <v>0.2848227747303736</v>
      </c>
      <c r="AG181" s="12" t="s">
        <v>193</v>
      </c>
      <c r="AH181" s="12" t="s">
        <v>193</v>
      </c>
      <c r="AI181" s="12" t="s">
        <v>785</v>
      </c>
      <c r="AJ181" s="12" t="s">
        <v>348</v>
      </c>
      <c r="AK181" s="12"/>
      <c r="AL181" s="12"/>
      <c r="AM181" s="10" t="s">
        <v>710</v>
      </c>
      <c r="AN181" s="10" t="s">
        <v>157</v>
      </c>
    </row>
    <row r="182" spans="1:40" s="10" customFormat="1" x14ac:dyDescent="0.2">
      <c r="A182" s="6">
        <v>2002</v>
      </c>
      <c r="B182" s="6">
        <v>12356401</v>
      </c>
      <c r="C182" s="4" t="s">
        <v>77</v>
      </c>
      <c r="D182" s="4"/>
      <c r="E182" s="4"/>
      <c r="F182" s="4" t="s">
        <v>78</v>
      </c>
      <c r="G182" s="4" t="s">
        <v>78</v>
      </c>
      <c r="H182" s="4" t="s">
        <v>78</v>
      </c>
      <c r="I182" s="4">
        <v>3</v>
      </c>
      <c r="J182" s="4" t="s">
        <v>79</v>
      </c>
      <c r="K182" s="4" t="s">
        <v>79</v>
      </c>
      <c r="L182" s="10" t="s">
        <v>156</v>
      </c>
      <c r="M182" s="10" t="s">
        <v>903</v>
      </c>
      <c r="N182" s="10" t="s">
        <v>766</v>
      </c>
      <c r="R182" s="10">
        <v>25</v>
      </c>
      <c r="S182" s="13"/>
      <c r="T182" s="13"/>
      <c r="U182" s="10" t="s">
        <v>803</v>
      </c>
      <c r="V182" s="10" t="s">
        <v>642</v>
      </c>
      <c r="W182" s="7">
        <v>54</v>
      </c>
      <c r="X182" s="7">
        <v>54</v>
      </c>
      <c r="Y182" s="7">
        <v>13</v>
      </c>
      <c r="Z182" s="12">
        <v>13</v>
      </c>
      <c r="AA182" s="15">
        <v>25</v>
      </c>
      <c r="AB182" s="15">
        <v>25</v>
      </c>
      <c r="AC182" s="12">
        <f t="shared" ref="AC182" si="199">W182-X182</f>
        <v>0</v>
      </c>
      <c r="AD182" s="12">
        <f t="shared" ref="AD182" si="200">SQRT(((AA182-1)*Y182^2+(AB182-1)*Z182^2)/(AA182+AB182-2))</f>
        <v>13</v>
      </c>
      <c r="AE182" s="12">
        <f t="shared" ref="AE182" si="201">AC182/AD182</f>
        <v>0</v>
      </c>
      <c r="AF182" s="12">
        <f t="shared" ref="AF182" si="202">SQRT(((AA182+AB182)/(AA182*AB182)+(AE182^2/(2*(AA182+AB182)))))</f>
        <v>0.28284271247461901</v>
      </c>
      <c r="AG182" s="12" t="s">
        <v>193</v>
      </c>
      <c r="AH182" s="12"/>
      <c r="AI182" s="12" t="s">
        <v>785</v>
      </c>
      <c r="AJ182" s="12" t="s">
        <v>642</v>
      </c>
      <c r="AK182" s="12"/>
      <c r="AL182" s="12"/>
      <c r="AM182" s="10" t="s">
        <v>710</v>
      </c>
      <c r="AN182" s="10" t="s">
        <v>157</v>
      </c>
    </row>
    <row r="183" spans="1:40" s="10" customFormat="1" x14ac:dyDescent="0.2">
      <c r="A183" s="6">
        <v>2002</v>
      </c>
      <c r="B183" s="6">
        <v>12356401</v>
      </c>
      <c r="C183" s="4" t="s">
        <v>77</v>
      </c>
      <c r="D183" s="4"/>
      <c r="E183" s="4"/>
      <c r="F183" s="4" t="s">
        <v>78</v>
      </c>
      <c r="G183" s="4" t="s">
        <v>78</v>
      </c>
      <c r="H183" s="4" t="s">
        <v>78</v>
      </c>
      <c r="I183" s="4">
        <v>3</v>
      </c>
      <c r="J183" s="4" t="s">
        <v>79</v>
      </c>
      <c r="K183" s="4" t="s">
        <v>79</v>
      </c>
      <c r="L183" s="10" t="s">
        <v>156</v>
      </c>
      <c r="M183" s="10" t="s">
        <v>903</v>
      </c>
      <c r="N183" s="10" t="s">
        <v>766</v>
      </c>
      <c r="R183" s="10">
        <v>25</v>
      </c>
      <c r="S183" s="13"/>
      <c r="T183" s="13"/>
      <c r="U183" s="10" t="s">
        <v>802</v>
      </c>
      <c r="V183" s="10" t="s">
        <v>635</v>
      </c>
      <c r="W183" s="7">
        <v>3.6</v>
      </c>
      <c r="X183" s="7">
        <v>3.3</v>
      </c>
      <c r="Y183" s="7">
        <v>0.92</v>
      </c>
      <c r="Z183" s="12">
        <v>0.86</v>
      </c>
      <c r="AA183" s="15">
        <v>25</v>
      </c>
      <c r="AB183" s="15">
        <v>25</v>
      </c>
      <c r="AC183" s="12">
        <f t="shared" si="195"/>
        <v>0.30000000000000027</v>
      </c>
      <c r="AD183" s="12">
        <f t="shared" si="196"/>
        <v>0.89050547443572747</v>
      </c>
      <c r="AE183" s="12">
        <f t="shared" si="197"/>
        <v>0.33688731693659324</v>
      </c>
      <c r="AF183" s="12">
        <f t="shared" si="198"/>
        <v>0.28484193975453714</v>
      </c>
      <c r="AG183" s="12" t="s">
        <v>157</v>
      </c>
      <c r="AH183" s="12"/>
      <c r="AI183" s="12" t="s">
        <v>785</v>
      </c>
      <c r="AJ183" s="12" t="s">
        <v>348</v>
      </c>
      <c r="AK183" s="12"/>
      <c r="AL183" s="12"/>
      <c r="AM183" s="10" t="s">
        <v>710</v>
      </c>
      <c r="AN183" s="10" t="s">
        <v>157</v>
      </c>
    </row>
    <row r="184" spans="1:40" s="10" customFormat="1" hidden="1" x14ac:dyDescent="0.2">
      <c r="A184" s="6">
        <v>1991</v>
      </c>
      <c r="B184" s="6">
        <v>2065035</v>
      </c>
      <c r="C184" s="4" t="s">
        <v>77</v>
      </c>
      <c r="D184" s="4"/>
      <c r="E184" s="4"/>
      <c r="F184" s="4" t="s">
        <v>78</v>
      </c>
      <c r="G184" s="4" t="s">
        <v>78</v>
      </c>
      <c r="H184" s="4" t="s">
        <v>78</v>
      </c>
      <c r="I184" s="4">
        <v>3</v>
      </c>
      <c r="J184" s="4" t="s">
        <v>79</v>
      </c>
      <c r="K184" s="4" t="s">
        <v>79</v>
      </c>
      <c r="L184" s="10" t="s">
        <v>156</v>
      </c>
      <c r="M184" s="10" t="s">
        <v>902</v>
      </c>
      <c r="N184" s="10" t="s">
        <v>766</v>
      </c>
      <c r="R184" s="10">
        <v>61</v>
      </c>
      <c r="S184" s="13"/>
      <c r="T184" s="13"/>
      <c r="U184" s="13" t="s">
        <v>805</v>
      </c>
      <c r="V184" s="13" t="s">
        <v>635</v>
      </c>
      <c r="W184" s="12">
        <v>237.9</v>
      </c>
      <c r="X184" s="12">
        <v>227.5</v>
      </c>
      <c r="Y184" s="12">
        <v>45.4</v>
      </c>
      <c r="Z184" s="12">
        <v>38.9</v>
      </c>
      <c r="AA184" s="15">
        <v>32</v>
      </c>
      <c r="AB184" s="15">
        <v>29</v>
      </c>
      <c r="AC184" s="12">
        <f t="shared" ref="AC184:AC188" si="203">W184-X184</f>
        <v>10.400000000000006</v>
      </c>
      <c r="AD184" s="12">
        <f t="shared" ref="AD184:AD188" si="204">SQRT(((AA184-1)*Y184^2+(AB184-1)*Z184^2)/(AA184+AB184-2))</f>
        <v>42.439556220622642</v>
      </c>
      <c r="AE184" s="12">
        <f t="shared" ref="AE184:AE188" si="205">AC184/AD184</f>
        <v>0.24505440033197937</v>
      </c>
      <c r="AF184" s="12">
        <f t="shared" ref="AF184:AF188" si="206">SQRT(((AA184+AB184)/(AA184*AB184)+(AE184^2/(2*(AA184+AB184)))))</f>
        <v>0.25734215615558392</v>
      </c>
      <c r="AG184" s="12" t="s">
        <v>193</v>
      </c>
      <c r="AH184" s="12" t="s">
        <v>193</v>
      </c>
      <c r="AI184" s="12" t="s">
        <v>785</v>
      </c>
      <c r="AJ184" s="12" t="s">
        <v>348</v>
      </c>
      <c r="AK184" s="12"/>
      <c r="AL184" s="12"/>
      <c r="AM184" s="10" t="s">
        <v>711</v>
      </c>
      <c r="AN184" s="10" t="s">
        <v>157</v>
      </c>
    </row>
    <row r="185" spans="1:40" s="10" customFormat="1" hidden="1" x14ac:dyDescent="0.2">
      <c r="A185" s="6">
        <v>1991</v>
      </c>
      <c r="B185" s="6">
        <v>2065035</v>
      </c>
      <c r="C185" s="4" t="s">
        <v>77</v>
      </c>
      <c r="D185" s="4"/>
      <c r="E185" s="4"/>
      <c r="F185" s="4" t="s">
        <v>78</v>
      </c>
      <c r="G185" s="4" t="s">
        <v>78</v>
      </c>
      <c r="H185" s="4" t="s">
        <v>78</v>
      </c>
      <c r="I185" s="4">
        <v>3</v>
      </c>
      <c r="J185" s="4" t="s">
        <v>79</v>
      </c>
      <c r="K185" s="4" t="s">
        <v>79</v>
      </c>
      <c r="L185" s="10" t="s">
        <v>156</v>
      </c>
      <c r="M185" s="10" t="s">
        <v>902</v>
      </c>
      <c r="N185" s="10" t="s">
        <v>766</v>
      </c>
      <c r="R185" s="10">
        <v>61</v>
      </c>
      <c r="S185" s="13"/>
      <c r="T185" s="13"/>
      <c r="U185" s="13" t="s">
        <v>806</v>
      </c>
      <c r="V185" s="13" t="s">
        <v>642</v>
      </c>
      <c r="W185" s="12">
        <v>146.30000000000001</v>
      </c>
      <c r="X185" s="12">
        <v>133.9</v>
      </c>
      <c r="Y185" s="12">
        <v>76.3</v>
      </c>
      <c r="Z185" s="12">
        <v>53.3</v>
      </c>
      <c r="AA185" s="15">
        <v>32</v>
      </c>
      <c r="AB185" s="15">
        <v>29</v>
      </c>
      <c r="AC185" s="12">
        <f t="shared" ref="AC185" si="207">W185-X185</f>
        <v>12.400000000000006</v>
      </c>
      <c r="AD185" s="12">
        <f t="shared" ref="AD185" si="208">SQRT(((AA185-1)*Y185^2+(AB185-1)*Z185^2)/(AA185+AB185-2))</f>
        <v>66.385789524923609</v>
      </c>
      <c r="AE185" s="12">
        <f t="shared" ref="AE185" si="209">AC185/AD185</f>
        <v>0.18678696282349103</v>
      </c>
      <c r="AF185" s="12">
        <f t="shared" ref="AF185" si="210">SQRT(((AA185+AB185)/(AA185*AB185)+(AE185^2/(2*(AA185+AB185)))))</f>
        <v>0.25694111593720664</v>
      </c>
      <c r="AG185" s="12" t="s">
        <v>157</v>
      </c>
      <c r="AH185" s="12"/>
      <c r="AI185" s="12" t="s">
        <v>785</v>
      </c>
      <c r="AJ185" s="12" t="s">
        <v>348</v>
      </c>
      <c r="AK185" s="12"/>
      <c r="AL185" s="12"/>
      <c r="AM185" s="10" t="s">
        <v>711</v>
      </c>
      <c r="AN185" s="10" t="s">
        <v>157</v>
      </c>
    </row>
    <row r="186" spans="1:40" s="10" customFormat="1" hidden="1" x14ac:dyDescent="0.2">
      <c r="A186" s="6">
        <v>1991</v>
      </c>
      <c r="B186" s="6">
        <v>2065035</v>
      </c>
      <c r="C186" s="4" t="s">
        <v>77</v>
      </c>
      <c r="D186" s="4"/>
      <c r="E186" s="4"/>
      <c r="F186" s="4" t="s">
        <v>78</v>
      </c>
      <c r="G186" s="4" t="s">
        <v>78</v>
      </c>
      <c r="H186" s="4" t="s">
        <v>78</v>
      </c>
      <c r="I186" s="4">
        <v>3</v>
      </c>
      <c r="J186" s="4" t="s">
        <v>79</v>
      </c>
      <c r="K186" s="4" t="s">
        <v>79</v>
      </c>
      <c r="L186" s="10" t="s">
        <v>156</v>
      </c>
      <c r="M186" s="10" t="s">
        <v>902</v>
      </c>
      <c r="N186" s="10" t="s">
        <v>766</v>
      </c>
      <c r="R186" s="10">
        <v>61</v>
      </c>
      <c r="S186" s="13"/>
      <c r="T186" s="13"/>
      <c r="U186" s="13" t="s">
        <v>807</v>
      </c>
      <c r="V186" s="13" t="s">
        <v>642</v>
      </c>
      <c r="W186" s="12">
        <v>53.63</v>
      </c>
      <c r="X186" s="12">
        <v>55.72</v>
      </c>
      <c r="Y186" s="12">
        <v>17.54</v>
      </c>
      <c r="Z186" s="12">
        <v>14.28</v>
      </c>
      <c r="AA186" s="15">
        <v>32</v>
      </c>
      <c r="AB186" s="15">
        <v>29</v>
      </c>
      <c r="AC186" s="12">
        <f t="shared" ref="AC186:AC187" si="211">W186-X186</f>
        <v>-2.0899999999999963</v>
      </c>
      <c r="AD186" s="12">
        <f t="shared" ref="AD186:AD187" si="212">SQRT(((AA186-1)*Y186^2+(AB186-1)*Z186^2)/(AA186+AB186-2))</f>
        <v>16.075518179696811</v>
      </c>
      <c r="AE186" s="12">
        <f t="shared" ref="AE186:AE187" si="213">AC186/AD186</f>
        <v>-0.13001136116654963</v>
      </c>
      <c r="AF186" s="12">
        <f t="shared" ref="AF186:AF187" si="214">SQRT(((AA186+AB186)/(AA186*AB186)+(AE186^2/(2*(AA186+AB186)))))</f>
        <v>0.25665406177232758</v>
      </c>
      <c r="AG186" s="12" t="s">
        <v>193</v>
      </c>
      <c r="AH186" s="12"/>
      <c r="AI186" s="12" t="s">
        <v>785</v>
      </c>
      <c r="AJ186" s="12" t="s">
        <v>348</v>
      </c>
      <c r="AK186" s="12"/>
      <c r="AL186" s="12"/>
      <c r="AM186" s="10" t="s">
        <v>711</v>
      </c>
      <c r="AN186" s="10" t="s">
        <v>157</v>
      </c>
    </row>
    <row r="187" spans="1:40" s="10" customFormat="1" hidden="1" x14ac:dyDescent="0.2">
      <c r="A187" s="6">
        <v>1991</v>
      </c>
      <c r="B187" s="6">
        <v>2065035</v>
      </c>
      <c r="C187" s="4" t="s">
        <v>77</v>
      </c>
      <c r="D187" s="4"/>
      <c r="E187" s="4"/>
      <c r="F187" s="4" t="s">
        <v>78</v>
      </c>
      <c r="G187" s="4" t="s">
        <v>78</v>
      </c>
      <c r="H187" s="4" t="s">
        <v>78</v>
      </c>
      <c r="I187" s="4">
        <v>3</v>
      </c>
      <c r="J187" s="4" t="s">
        <v>79</v>
      </c>
      <c r="K187" s="4" t="s">
        <v>79</v>
      </c>
      <c r="L187" s="10" t="s">
        <v>156</v>
      </c>
      <c r="M187" s="10" t="s">
        <v>902</v>
      </c>
      <c r="N187" s="10" t="s">
        <v>766</v>
      </c>
      <c r="R187" s="10">
        <v>61</v>
      </c>
      <c r="S187" s="13"/>
      <c r="T187" s="13"/>
      <c r="U187" s="13" t="s">
        <v>808</v>
      </c>
      <c r="V187" s="13" t="s">
        <v>809</v>
      </c>
      <c r="W187" s="12">
        <v>155</v>
      </c>
      <c r="X187" s="12">
        <v>145</v>
      </c>
      <c r="Y187" s="12">
        <v>49.2</v>
      </c>
      <c r="Z187" s="12">
        <v>42.3</v>
      </c>
      <c r="AA187" s="15">
        <v>32</v>
      </c>
      <c r="AB187" s="15">
        <v>29</v>
      </c>
      <c r="AC187" s="12">
        <f t="shared" si="211"/>
        <v>10</v>
      </c>
      <c r="AD187" s="12">
        <f t="shared" si="212"/>
        <v>46.054492410474367</v>
      </c>
      <c r="AE187" s="12">
        <f t="shared" si="213"/>
        <v>0.21713408348684043</v>
      </c>
      <c r="AF187" s="12">
        <f t="shared" si="214"/>
        <v>0.25713656131209395</v>
      </c>
      <c r="AG187" s="12" t="s">
        <v>193</v>
      </c>
      <c r="AH187" s="12"/>
      <c r="AI187" s="12" t="s">
        <v>785</v>
      </c>
      <c r="AJ187" s="12" t="s">
        <v>348</v>
      </c>
      <c r="AK187" s="12"/>
      <c r="AL187" s="12"/>
      <c r="AM187" s="10" t="s">
        <v>711</v>
      </c>
      <c r="AN187" s="10" t="s">
        <v>157</v>
      </c>
    </row>
    <row r="188" spans="1:40" s="10" customFormat="1" x14ac:dyDescent="0.2">
      <c r="A188" s="4">
        <v>2016</v>
      </c>
      <c r="B188" s="25">
        <v>26644369</v>
      </c>
      <c r="C188" s="4" t="s">
        <v>74</v>
      </c>
      <c r="D188" s="4"/>
      <c r="E188" s="4"/>
      <c r="F188" s="4" t="s">
        <v>75</v>
      </c>
      <c r="G188" s="4" t="s">
        <v>1170</v>
      </c>
      <c r="H188" s="4" t="s">
        <v>1170</v>
      </c>
      <c r="I188" s="4">
        <v>7</v>
      </c>
      <c r="J188" s="4" t="s">
        <v>76</v>
      </c>
      <c r="K188" s="4" t="s">
        <v>73</v>
      </c>
      <c r="L188" s="10" t="s">
        <v>156</v>
      </c>
      <c r="M188" s="10" t="s">
        <v>903</v>
      </c>
      <c r="N188" s="10" t="s">
        <v>766</v>
      </c>
      <c r="R188" s="10">
        <v>16</v>
      </c>
      <c r="T188" s="13"/>
      <c r="U188" s="13" t="s">
        <v>810</v>
      </c>
      <c r="V188" s="13" t="s">
        <v>635</v>
      </c>
      <c r="W188" s="12">
        <v>106</v>
      </c>
      <c r="X188" s="12">
        <v>85</v>
      </c>
      <c r="Y188" s="12">
        <f>SQRT(16) * ((124-88)/3.92)</f>
        <v>36.734693877551024</v>
      </c>
      <c r="Z188" s="12">
        <f>SQRT(16) * ((99-72)/3.92)</f>
        <v>27.551020408163264</v>
      </c>
      <c r="AA188" s="15">
        <v>16</v>
      </c>
      <c r="AB188" s="15">
        <v>16</v>
      </c>
      <c r="AC188" s="12">
        <f t="shared" si="203"/>
        <v>21</v>
      </c>
      <c r="AD188" s="12">
        <f t="shared" si="204"/>
        <v>32.469188932035344</v>
      </c>
      <c r="AE188" s="12">
        <f t="shared" si="205"/>
        <v>0.64676700252529551</v>
      </c>
      <c r="AF188" s="12">
        <f t="shared" si="206"/>
        <v>0.36267899795212233</v>
      </c>
      <c r="AG188" s="12" t="s">
        <v>193</v>
      </c>
      <c r="AH188" s="12" t="s">
        <v>193</v>
      </c>
      <c r="AI188" s="12" t="s">
        <v>781</v>
      </c>
      <c r="AJ188" s="12" t="s">
        <v>348</v>
      </c>
      <c r="AK188" s="12"/>
      <c r="AL188" s="12"/>
      <c r="AM188" s="10" t="s">
        <v>712</v>
      </c>
      <c r="AN188" s="10" t="s">
        <v>157</v>
      </c>
    </row>
    <row r="189" spans="1:40" s="10" customFormat="1" x14ac:dyDescent="0.2">
      <c r="A189" s="4">
        <v>2016</v>
      </c>
      <c r="B189" s="4">
        <v>26644369</v>
      </c>
      <c r="C189" s="4" t="s">
        <v>74</v>
      </c>
      <c r="D189" s="4"/>
      <c r="E189" s="4"/>
      <c r="F189" s="4" t="s">
        <v>75</v>
      </c>
      <c r="G189" s="4" t="s">
        <v>1170</v>
      </c>
      <c r="H189" s="4" t="s">
        <v>1170</v>
      </c>
      <c r="I189" s="4">
        <v>7</v>
      </c>
      <c r="J189" s="4" t="s">
        <v>76</v>
      </c>
      <c r="K189" s="4" t="s">
        <v>73</v>
      </c>
      <c r="L189" s="10" t="s">
        <v>156</v>
      </c>
      <c r="M189" s="10" t="s">
        <v>903</v>
      </c>
      <c r="N189" s="10" t="s">
        <v>766</v>
      </c>
      <c r="R189" s="10">
        <v>16</v>
      </c>
      <c r="T189" s="13"/>
      <c r="U189" s="13" t="s">
        <v>812</v>
      </c>
      <c r="V189" s="13" t="s">
        <v>642</v>
      </c>
      <c r="W189" s="12">
        <v>292</v>
      </c>
      <c r="X189" s="12">
        <v>288</v>
      </c>
      <c r="Y189" s="12">
        <f>SQRT(16) * ((340-243)/3.92)</f>
        <v>98.979591836734699</v>
      </c>
      <c r="Z189" s="12">
        <f>SQRT(16) * ((332-244)/3.92)</f>
        <v>89.795918367346943</v>
      </c>
      <c r="AA189" s="15">
        <v>16</v>
      </c>
      <c r="AB189" s="15">
        <v>16</v>
      </c>
      <c r="AC189" s="12">
        <f t="shared" ref="AC189" si="215">W189-X189</f>
        <v>4</v>
      </c>
      <c r="AD189" s="12">
        <f t="shared" ref="AD189" si="216">SQRT(((AA189-1)*Y189^2+(AB189-1)*Z189^2)/(AA189+AB189-2))</f>
        <v>94.499382420209059</v>
      </c>
      <c r="AE189" s="12">
        <f t="shared" ref="AE189" si="217">AC189/AD189</f>
        <v>4.2328318953591217E-2</v>
      </c>
      <c r="AF189" s="12">
        <f t="shared" ref="AF189" si="218">SQRT(((AA189+AB189)/(AA189*AB189)+(AE189^2/(2*(AA189+AB189)))))</f>
        <v>0.35359297943100826</v>
      </c>
      <c r="AG189" s="12" t="s">
        <v>193</v>
      </c>
      <c r="AH189" s="12"/>
      <c r="AI189" s="12" t="s">
        <v>781</v>
      </c>
      <c r="AJ189" s="12" t="s">
        <v>348</v>
      </c>
      <c r="AK189" s="12"/>
      <c r="AL189" s="12"/>
      <c r="AM189" s="10" t="s">
        <v>712</v>
      </c>
      <c r="AN189" s="10" t="s">
        <v>157</v>
      </c>
    </row>
    <row r="190" spans="1:40" s="10" customFormat="1" x14ac:dyDescent="0.2">
      <c r="A190" s="4">
        <v>2017</v>
      </c>
      <c r="B190" s="25">
        <v>29107324</v>
      </c>
      <c r="C190" s="4" t="s">
        <v>70</v>
      </c>
      <c r="D190" s="4"/>
      <c r="E190" s="4"/>
      <c r="F190" s="10" t="s">
        <v>72</v>
      </c>
      <c r="G190" s="10" t="s">
        <v>72</v>
      </c>
      <c r="H190" s="10" t="s">
        <v>72</v>
      </c>
      <c r="J190" s="4" t="s">
        <v>811</v>
      </c>
      <c r="K190" s="4" t="s">
        <v>73</v>
      </c>
      <c r="L190" s="4" t="s">
        <v>234</v>
      </c>
      <c r="M190" s="4" t="s">
        <v>736</v>
      </c>
      <c r="N190" s="4" t="s">
        <v>736</v>
      </c>
      <c r="O190" s="4" t="s">
        <v>1305</v>
      </c>
      <c r="P190" s="4"/>
      <c r="Q190" s="4"/>
      <c r="R190" s="4">
        <v>596</v>
      </c>
      <c r="S190" s="4"/>
      <c r="T190" s="32"/>
      <c r="U190" s="4" t="s">
        <v>513</v>
      </c>
      <c r="V190" s="4" t="s">
        <v>635</v>
      </c>
      <c r="W190" s="12"/>
      <c r="X190" s="12">
        <v>0.5</v>
      </c>
      <c r="Y190" s="12"/>
      <c r="Z190" s="7"/>
      <c r="AA190" s="16"/>
      <c r="AB190" s="16"/>
      <c r="AC190" s="7"/>
      <c r="AD190" s="7"/>
      <c r="AE190" s="7"/>
      <c r="AF190" s="7"/>
      <c r="AG190" s="7" t="s">
        <v>157</v>
      </c>
      <c r="AH190" s="12"/>
      <c r="AI190" s="12" t="s">
        <v>1300</v>
      </c>
      <c r="AJ190" s="12" t="s">
        <v>326</v>
      </c>
      <c r="AK190" s="12" t="s">
        <v>1298</v>
      </c>
      <c r="AL190" s="12" t="s">
        <v>1301</v>
      </c>
      <c r="AM190" s="10" t="s">
        <v>713</v>
      </c>
      <c r="AN190" s="10" t="s">
        <v>157</v>
      </c>
    </row>
    <row r="191" spans="1:40" s="10" customFormat="1" x14ac:dyDescent="0.2">
      <c r="A191" s="4">
        <v>2017</v>
      </c>
      <c r="B191" s="4">
        <v>29107324</v>
      </c>
      <c r="C191" s="4" t="s">
        <v>70</v>
      </c>
      <c r="D191" s="4"/>
      <c r="E191" s="4"/>
      <c r="F191" s="10" t="s">
        <v>72</v>
      </c>
      <c r="G191" s="10" t="s">
        <v>72</v>
      </c>
      <c r="H191" s="10" t="s">
        <v>72</v>
      </c>
      <c r="J191" s="4" t="s">
        <v>73</v>
      </c>
      <c r="K191" s="4" t="s">
        <v>73</v>
      </c>
      <c r="L191" s="4" t="s">
        <v>234</v>
      </c>
      <c r="M191" s="4" t="s">
        <v>736</v>
      </c>
      <c r="N191" s="4" t="s">
        <v>736</v>
      </c>
      <c r="O191" s="4" t="s">
        <v>1305</v>
      </c>
      <c r="P191" s="4"/>
      <c r="Q191" s="4"/>
      <c r="R191" s="4">
        <v>88</v>
      </c>
      <c r="S191" s="4"/>
      <c r="T191" s="32"/>
      <c r="U191" s="4" t="s">
        <v>514</v>
      </c>
      <c r="V191" s="4" t="s">
        <v>635</v>
      </c>
      <c r="W191" s="7">
        <v>225</v>
      </c>
      <c r="X191" s="7">
        <v>179</v>
      </c>
      <c r="Y191" s="7">
        <f>SQRT(44) * ((255-199)/3.92)</f>
        <v>94.760708295868568</v>
      </c>
      <c r="Z191" s="7">
        <f>SQRT(44) * ((198-161)/3.92)</f>
        <v>62.609753695484585</v>
      </c>
      <c r="AA191" s="16">
        <v>44</v>
      </c>
      <c r="AB191" s="16">
        <v>44</v>
      </c>
      <c r="AC191" s="7">
        <f t="shared" ref="AC191" si="219">W191-X191</f>
        <v>46</v>
      </c>
      <c r="AD191" s="7">
        <f t="shared" ref="AD191" si="220">SQRT(((AA191-1)*Y191^2+(AB191-1)*Z191^2)/(AA191+AB191-2))</f>
        <v>80.310563111411255</v>
      </c>
      <c r="AE191" s="7">
        <f t="shared" ref="AE191" si="221">AC191/AD191</f>
        <v>0.57277645950740319</v>
      </c>
      <c r="AF191" s="12">
        <f t="shared" ref="AF191" si="222">SQRT(((AA191+AB191)/(AA191*AB191)+(AE191^2/(2*(AA191+AB191)))))</f>
        <v>0.21752837945162773</v>
      </c>
      <c r="AG191" s="12" t="s">
        <v>193</v>
      </c>
      <c r="AH191" s="12" t="s">
        <v>193</v>
      </c>
      <c r="AI191" s="12" t="s">
        <v>787</v>
      </c>
      <c r="AJ191" s="12" t="s">
        <v>326</v>
      </c>
      <c r="AK191" s="12" t="s">
        <v>1299</v>
      </c>
      <c r="AL191" s="12"/>
      <c r="AM191" s="10" t="s">
        <v>713</v>
      </c>
      <c r="AN191" s="10" t="s">
        <v>157</v>
      </c>
    </row>
    <row r="192" spans="1:40" s="10" customFormat="1" x14ac:dyDescent="0.2">
      <c r="A192" s="4">
        <v>2008</v>
      </c>
      <c r="B192" s="25">
        <v>18207016</v>
      </c>
      <c r="C192" s="4" t="s">
        <v>40</v>
      </c>
      <c r="D192" s="4"/>
      <c r="E192" s="4"/>
      <c r="F192" s="4" t="s">
        <v>1104</v>
      </c>
      <c r="G192" s="4" t="s">
        <v>42</v>
      </c>
      <c r="H192" s="4" t="s">
        <v>43</v>
      </c>
      <c r="I192" s="4">
        <v>2.5</v>
      </c>
      <c r="J192" s="4" t="s">
        <v>63</v>
      </c>
      <c r="K192" s="4" t="s">
        <v>64</v>
      </c>
      <c r="L192" s="4" t="s">
        <v>156</v>
      </c>
      <c r="M192" s="4" t="s">
        <v>902</v>
      </c>
      <c r="N192" s="4" t="s">
        <v>766</v>
      </c>
      <c r="O192" s="4" t="s">
        <v>655</v>
      </c>
      <c r="P192" s="4"/>
      <c r="Q192" s="4"/>
      <c r="R192" s="4">
        <v>251</v>
      </c>
      <c r="S192" s="4"/>
      <c r="T192" s="32"/>
      <c r="U192" s="4" t="s">
        <v>820</v>
      </c>
      <c r="V192" s="4" t="s">
        <v>635</v>
      </c>
      <c r="W192" s="7">
        <v>22.68</v>
      </c>
      <c r="X192" s="7">
        <v>43.96</v>
      </c>
      <c r="Y192" s="7">
        <v>138.1</v>
      </c>
      <c r="Z192" s="7">
        <v>136.6</v>
      </c>
      <c r="AA192" s="16">
        <v>125</v>
      </c>
      <c r="AB192" s="16">
        <v>129</v>
      </c>
      <c r="AC192" s="7">
        <f t="shared" ref="AC192" si="223">W192-X192</f>
        <v>-21.28</v>
      </c>
      <c r="AD192" s="7">
        <f t="shared" ref="AD192" si="224">SQRT(((AA192-1)*Y192^2+(AB192-1)*Z192^2)/(AA192+AB192-2))</f>
        <v>137.34014257275533</v>
      </c>
      <c r="AE192" s="7">
        <f t="shared" ref="AE192" si="225">AC192/AD192</f>
        <v>-0.15494377391320252</v>
      </c>
      <c r="AF192" s="12">
        <f t="shared" ref="AF192" si="226">SQRT(((AA192+AB192)/(AA192*AB192)+(AE192^2/(2*(AA192+AB192)))))</f>
        <v>0.1256948566434252</v>
      </c>
      <c r="AG192" s="12" t="s">
        <v>193</v>
      </c>
      <c r="AH192" s="12" t="s">
        <v>193</v>
      </c>
      <c r="AI192" s="12" t="s">
        <v>786</v>
      </c>
      <c r="AJ192" s="12" t="s">
        <v>348</v>
      </c>
      <c r="AK192" s="12" t="s">
        <v>1299</v>
      </c>
      <c r="AL192" s="12" t="s">
        <v>819</v>
      </c>
      <c r="AM192" s="10" t="s">
        <v>714</v>
      </c>
      <c r="AN192" s="10" t="s">
        <v>157</v>
      </c>
    </row>
    <row r="193" spans="1:40" s="10" customFormat="1" hidden="1" x14ac:dyDescent="0.2">
      <c r="A193" s="4">
        <v>1997</v>
      </c>
      <c r="B193" s="4">
        <v>9059137</v>
      </c>
      <c r="C193" s="4" t="s">
        <v>40</v>
      </c>
      <c r="D193" s="4"/>
      <c r="E193" s="4"/>
      <c r="F193" s="4" t="s">
        <v>1104</v>
      </c>
      <c r="G193" s="4" t="s">
        <v>42</v>
      </c>
      <c r="H193" s="4" t="s">
        <v>43</v>
      </c>
      <c r="I193" s="4">
        <v>2.5</v>
      </c>
      <c r="J193" s="4" t="s">
        <v>63</v>
      </c>
      <c r="K193" s="4" t="s">
        <v>64</v>
      </c>
      <c r="L193" s="4" t="s">
        <v>156</v>
      </c>
      <c r="M193" s="4" t="s">
        <v>902</v>
      </c>
      <c r="N193" s="4" t="s">
        <v>766</v>
      </c>
      <c r="O193" s="4"/>
      <c r="P193" s="4"/>
      <c r="Q193" s="4"/>
      <c r="R193" s="4">
        <v>26</v>
      </c>
      <c r="S193" s="4"/>
      <c r="T193" s="32"/>
      <c r="U193" s="4" t="s">
        <v>813</v>
      </c>
      <c r="V193" s="4" t="s">
        <v>635</v>
      </c>
      <c r="W193" s="7">
        <v>260</v>
      </c>
      <c r="X193" s="7">
        <v>53</v>
      </c>
      <c r="Y193" s="7">
        <f>27*SQRT(13)</f>
        <v>97.349884437527706</v>
      </c>
      <c r="Z193" s="7">
        <f>104*SQRT(13)</f>
        <v>374.97733264825484</v>
      </c>
      <c r="AA193" s="16">
        <v>13</v>
      </c>
      <c r="AB193" s="16">
        <v>13</v>
      </c>
      <c r="AC193" s="7">
        <f t="shared" ref="AC193" si="227">W193-X193</f>
        <v>207</v>
      </c>
      <c r="AD193" s="7">
        <f t="shared" ref="AD193" si="228">SQRT(((AA193-1)*Y193^2+(AB193-1)*Z193^2)/(AA193+AB193-2))</f>
        <v>273.9388617921889</v>
      </c>
      <c r="AE193" s="7">
        <f t="shared" ref="AE193" si="229">AC193/AD193</f>
        <v>0.75564306081198152</v>
      </c>
      <c r="AF193" s="12">
        <f t="shared" ref="AF193" si="230">SQRT(((AA193+AB193)/(AA193*AB193)+(AE193^2/(2*(AA193+AB193)))))</f>
        <v>0.40598873694478887</v>
      </c>
      <c r="AG193" s="12" t="s">
        <v>193</v>
      </c>
      <c r="AH193" s="4" t="s">
        <v>193</v>
      </c>
      <c r="AI193" s="4" t="s">
        <v>786</v>
      </c>
      <c r="AJ193" s="4" t="s">
        <v>348</v>
      </c>
      <c r="AK193" s="4"/>
      <c r="AL193" s="4"/>
      <c r="AM193" s="10" t="s">
        <v>715</v>
      </c>
      <c r="AN193" s="10" t="s">
        <v>157</v>
      </c>
    </row>
    <row r="194" spans="1:40" s="10" customFormat="1" hidden="1" x14ac:dyDescent="0.2">
      <c r="A194" s="4">
        <v>1997</v>
      </c>
      <c r="B194" s="4">
        <v>9059137</v>
      </c>
      <c r="C194" s="4" t="s">
        <v>40</v>
      </c>
      <c r="D194" s="4"/>
      <c r="E194" s="4"/>
      <c r="F194" s="4" t="s">
        <v>1104</v>
      </c>
      <c r="G194" s="4" t="s">
        <v>42</v>
      </c>
      <c r="H194" s="4" t="s">
        <v>43</v>
      </c>
      <c r="I194" s="4">
        <v>2.5</v>
      </c>
      <c r="J194" s="4" t="s">
        <v>63</v>
      </c>
      <c r="K194" s="4" t="s">
        <v>64</v>
      </c>
      <c r="L194" s="4" t="s">
        <v>156</v>
      </c>
      <c r="M194" s="4" t="s">
        <v>902</v>
      </c>
      <c r="N194" s="4" t="s">
        <v>766</v>
      </c>
      <c r="O194" s="4"/>
      <c r="P194" s="4"/>
      <c r="Q194" s="4"/>
      <c r="R194" s="4">
        <v>26</v>
      </c>
      <c r="S194" s="4"/>
      <c r="T194" s="32"/>
      <c r="U194" s="4" t="s">
        <v>814</v>
      </c>
      <c r="V194" s="4" t="s">
        <v>635</v>
      </c>
      <c r="W194" s="7">
        <v>3.4</v>
      </c>
      <c r="X194" s="7">
        <v>1.5</v>
      </c>
      <c r="Y194" s="7">
        <f>0.7*SQRT(13)</f>
        <v>2.5238858928247923</v>
      </c>
      <c r="Z194" s="7">
        <f>0.4*SQRT(13)</f>
        <v>1.4422205101855958</v>
      </c>
      <c r="AA194" s="16">
        <v>13</v>
      </c>
      <c r="AB194" s="16">
        <v>13</v>
      </c>
      <c r="AC194" s="7">
        <f t="shared" ref="AC194:AC197" si="231">W194-X194</f>
        <v>1.9</v>
      </c>
      <c r="AD194" s="7">
        <f t="shared" ref="AD194:AD198" si="232">SQRT(((AA194-1)*Y194^2+(AB194-1)*Z194^2)/(AA194+AB194-2))</f>
        <v>2.0554804791094465</v>
      </c>
      <c r="AE194" s="7">
        <f t="shared" ref="AE194:AE198" si="233">AC194/AD194</f>
        <v>0.92435808527998775</v>
      </c>
      <c r="AF194" s="12">
        <f t="shared" ref="AF194:AF198" si="234">SQRT(((AA194+AB194)/(AA194*AB194)+(AE194^2/(2*(AA194+AB194)))))</f>
        <v>0.41264712690474425</v>
      </c>
      <c r="AG194" s="12" t="s">
        <v>157</v>
      </c>
      <c r="AH194" s="4"/>
      <c r="AI194" s="4" t="s">
        <v>786</v>
      </c>
      <c r="AJ194" s="4" t="s">
        <v>348</v>
      </c>
      <c r="AK194" s="4"/>
      <c r="AL194" s="4"/>
      <c r="AM194" s="10" t="s">
        <v>715</v>
      </c>
      <c r="AN194" s="10" t="s">
        <v>157</v>
      </c>
    </row>
    <row r="195" spans="1:40" s="10" customFormat="1" hidden="1" x14ac:dyDescent="0.2">
      <c r="A195" s="4">
        <v>1997</v>
      </c>
      <c r="B195" s="4">
        <v>9059137</v>
      </c>
      <c r="C195" s="4" t="s">
        <v>40</v>
      </c>
      <c r="D195" s="4"/>
      <c r="E195" s="4"/>
      <c r="F195" s="4" t="s">
        <v>1104</v>
      </c>
      <c r="G195" s="4" t="s">
        <v>42</v>
      </c>
      <c r="H195" s="4" t="s">
        <v>43</v>
      </c>
      <c r="I195" s="4">
        <v>2.5</v>
      </c>
      <c r="J195" s="4" t="s">
        <v>63</v>
      </c>
      <c r="K195" s="4" t="s">
        <v>64</v>
      </c>
      <c r="L195" s="4" t="s">
        <v>156</v>
      </c>
      <c r="M195" s="4" t="s">
        <v>902</v>
      </c>
      <c r="N195" s="4" t="s">
        <v>766</v>
      </c>
      <c r="O195" s="4"/>
      <c r="P195" s="4"/>
      <c r="Q195" s="4"/>
      <c r="R195" s="4">
        <v>26</v>
      </c>
      <c r="S195" s="4"/>
      <c r="T195" s="32"/>
      <c r="U195" s="4" t="s">
        <v>815</v>
      </c>
      <c r="V195" s="4" t="s">
        <v>635</v>
      </c>
      <c r="W195" s="7">
        <v>87</v>
      </c>
      <c r="X195" s="7">
        <v>33</v>
      </c>
      <c r="Y195" s="7">
        <f>13*SQRT(13)</f>
        <v>46.872166581031856</v>
      </c>
      <c r="Z195" s="7">
        <f>7*SQRT(13)</f>
        <v>25.238858928247925</v>
      </c>
      <c r="AA195" s="16">
        <v>13</v>
      </c>
      <c r="AB195" s="16">
        <v>13</v>
      </c>
      <c r="AC195" s="7">
        <f t="shared" si="231"/>
        <v>54</v>
      </c>
      <c r="AD195" s="7">
        <f t="shared" si="232"/>
        <v>37.643060449437421</v>
      </c>
      <c r="AE195" s="7">
        <f t="shared" si="233"/>
        <v>1.4345273565770085</v>
      </c>
      <c r="AF195" s="12">
        <f t="shared" si="234"/>
        <v>0.43979603525969901</v>
      </c>
      <c r="AG195" s="12" t="s">
        <v>157</v>
      </c>
      <c r="AH195" s="4"/>
      <c r="AI195" s="4" t="s">
        <v>786</v>
      </c>
      <c r="AJ195" s="4" t="s">
        <v>348</v>
      </c>
      <c r="AK195" s="4"/>
      <c r="AL195" s="4"/>
      <c r="AM195" s="10" t="s">
        <v>715</v>
      </c>
      <c r="AN195" s="10" t="s">
        <v>157</v>
      </c>
    </row>
    <row r="196" spans="1:40" s="10" customFormat="1" hidden="1" x14ac:dyDescent="0.2">
      <c r="A196" s="4">
        <v>1997</v>
      </c>
      <c r="B196" s="4">
        <v>9059137</v>
      </c>
      <c r="C196" s="4" t="s">
        <v>40</v>
      </c>
      <c r="D196" s="4"/>
      <c r="E196" s="4"/>
      <c r="F196" s="4" t="s">
        <v>1104</v>
      </c>
      <c r="G196" s="4" t="s">
        <v>42</v>
      </c>
      <c r="H196" s="4" t="s">
        <v>43</v>
      </c>
      <c r="I196" s="4">
        <v>2.5</v>
      </c>
      <c r="J196" s="4" t="s">
        <v>63</v>
      </c>
      <c r="K196" s="4" t="s">
        <v>64</v>
      </c>
      <c r="L196" s="4" t="s">
        <v>156</v>
      </c>
      <c r="M196" s="4" t="s">
        <v>902</v>
      </c>
      <c r="N196" s="4" t="s">
        <v>766</v>
      </c>
      <c r="O196" s="4"/>
      <c r="P196" s="4"/>
      <c r="Q196" s="4"/>
      <c r="R196" s="4">
        <v>26</v>
      </c>
      <c r="S196" s="4"/>
      <c r="T196" s="32"/>
      <c r="U196" s="4" t="s">
        <v>816</v>
      </c>
      <c r="V196" s="4" t="s">
        <v>635</v>
      </c>
      <c r="W196" s="7">
        <v>14</v>
      </c>
      <c r="X196" s="7">
        <v>10</v>
      </c>
      <c r="Y196" s="7">
        <f>2*SQRT(13)</f>
        <v>7.2111025509279782</v>
      </c>
      <c r="Z196" s="7">
        <f>2*SQRT(13)</f>
        <v>7.2111025509279782</v>
      </c>
      <c r="AA196" s="16">
        <v>13</v>
      </c>
      <c r="AB196" s="16">
        <v>13</v>
      </c>
      <c r="AC196" s="7">
        <f t="shared" si="231"/>
        <v>4</v>
      </c>
      <c r="AD196" s="7">
        <f t="shared" si="232"/>
        <v>7.2111025509279782</v>
      </c>
      <c r="AE196" s="7">
        <f t="shared" si="233"/>
        <v>0.55470019622522915</v>
      </c>
      <c r="AF196" s="12">
        <f t="shared" si="234"/>
        <v>0.39970403251589476</v>
      </c>
      <c r="AG196" s="12" t="s">
        <v>157</v>
      </c>
      <c r="AH196" s="4"/>
      <c r="AI196" s="4" t="s">
        <v>1306</v>
      </c>
      <c r="AJ196" s="4" t="s">
        <v>348</v>
      </c>
      <c r="AK196" s="4"/>
      <c r="AL196" s="4"/>
      <c r="AM196" s="10" t="s">
        <v>715</v>
      </c>
      <c r="AN196" s="10" t="s">
        <v>157</v>
      </c>
    </row>
    <row r="197" spans="1:40" s="10" customFormat="1" hidden="1" x14ac:dyDescent="0.2">
      <c r="A197" s="4">
        <v>1997</v>
      </c>
      <c r="B197" s="4">
        <v>9059137</v>
      </c>
      <c r="C197" s="4" t="s">
        <v>40</v>
      </c>
      <c r="D197" s="4"/>
      <c r="E197" s="4"/>
      <c r="F197" s="4" t="s">
        <v>1104</v>
      </c>
      <c r="G197" s="4" t="s">
        <v>42</v>
      </c>
      <c r="H197" s="4" t="s">
        <v>43</v>
      </c>
      <c r="I197" s="4">
        <v>2.5</v>
      </c>
      <c r="J197" s="4" t="s">
        <v>63</v>
      </c>
      <c r="K197" s="4" t="s">
        <v>64</v>
      </c>
      <c r="L197" s="4" t="s">
        <v>156</v>
      </c>
      <c r="M197" s="4" t="s">
        <v>902</v>
      </c>
      <c r="N197" s="4" t="s">
        <v>766</v>
      </c>
      <c r="O197" s="4"/>
      <c r="P197" s="4"/>
      <c r="Q197" s="4"/>
      <c r="R197" s="4">
        <v>26</v>
      </c>
      <c r="S197" s="4"/>
      <c r="T197" s="32"/>
      <c r="U197" s="4" t="s">
        <v>817</v>
      </c>
      <c r="V197" s="4" t="s">
        <v>635</v>
      </c>
      <c r="W197" s="7">
        <v>28</v>
      </c>
      <c r="X197" s="7">
        <v>10</v>
      </c>
      <c r="Y197" s="7">
        <f>8*SQRT(13)</f>
        <v>28.844410203711913</v>
      </c>
      <c r="Z197" s="7">
        <f>2*SQRT(13)</f>
        <v>7.2111025509279782</v>
      </c>
      <c r="AA197" s="16">
        <v>13</v>
      </c>
      <c r="AB197" s="16">
        <v>13</v>
      </c>
      <c r="AC197" s="7">
        <f t="shared" si="231"/>
        <v>18</v>
      </c>
      <c r="AD197" s="7">
        <f t="shared" si="232"/>
        <v>21.023796041628636</v>
      </c>
      <c r="AE197" s="7">
        <f t="shared" si="233"/>
        <v>0.85617268947808944</v>
      </c>
      <c r="AF197" s="12">
        <f t="shared" si="234"/>
        <v>0.40980839036273414</v>
      </c>
      <c r="AG197" s="12" t="s">
        <v>157</v>
      </c>
      <c r="AH197" s="4"/>
      <c r="AI197" s="4" t="s">
        <v>1307</v>
      </c>
      <c r="AJ197" s="4" t="s">
        <v>348</v>
      </c>
      <c r="AK197" s="4"/>
      <c r="AL197" s="4"/>
      <c r="AM197" s="10" t="s">
        <v>715</v>
      </c>
      <c r="AN197" s="10" t="s">
        <v>157</v>
      </c>
    </row>
    <row r="198" spans="1:40" s="10" customFormat="1" hidden="1" x14ac:dyDescent="0.2">
      <c r="A198" s="4">
        <v>1995</v>
      </c>
      <c r="B198" s="6">
        <v>8824658</v>
      </c>
      <c r="C198" s="4" t="s">
        <v>59</v>
      </c>
      <c r="D198" s="4"/>
      <c r="E198" s="4"/>
      <c r="F198" s="4" t="s">
        <v>60</v>
      </c>
      <c r="G198" s="4" t="s">
        <v>1111</v>
      </c>
      <c r="H198" s="4" t="s">
        <v>1111</v>
      </c>
      <c r="I198" s="4">
        <v>0.5</v>
      </c>
      <c r="J198" s="10" t="s">
        <v>892</v>
      </c>
      <c r="K198" s="4" t="s">
        <v>61</v>
      </c>
      <c r="L198" s="4" t="s">
        <v>156</v>
      </c>
      <c r="M198" s="4" t="s">
        <v>903</v>
      </c>
      <c r="N198" s="4" t="s">
        <v>766</v>
      </c>
      <c r="O198" s="4"/>
      <c r="P198" s="4"/>
      <c r="Q198" s="4">
        <v>2</v>
      </c>
      <c r="R198" s="4">
        <v>17</v>
      </c>
      <c r="S198" s="4"/>
      <c r="T198" s="32"/>
      <c r="U198" s="4" t="s">
        <v>895</v>
      </c>
      <c r="V198" s="4" t="s">
        <v>642</v>
      </c>
      <c r="W198" s="7"/>
      <c r="X198" s="7"/>
      <c r="Y198" s="7">
        <v>0.99</v>
      </c>
      <c r="Z198" s="7">
        <v>0.99</v>
      </c>
      <c r="AA198" s="16">
        <v>17</v>
      </c>
      <c r="AB198" s="16">
        <v>17</v>
      </c>
      <c r="AC198" s="7">
        <v>0.09</v>
      </c>
      <c r="AD198" s="7">
        <f t="shared" si="232"/>
        <v>0.99</v>
      </c>
      <c r="AE198" s="7">
        <f t="shared" si="233"/>
        <v>9.0909090909090912E-2</v>
      </c>
      <c r="AF198" s="7">
        <f t="shared" si="234"/>
        <v>0.3431742925123068</v>
      </c>
      <c r="AG198" s="7" t="s">
        <v>193</v>
      </c>
      <c r="AH198" s="4"/>
      <c r="AI198" s="4" t="s">
        <v>893</v>
      </c>
      <c r="AJ198" s="4" t="s">
        <v>328</v>
      </c>
      <c r="AL198" s="4" t="s">
        <v>894</v>
      </c>
      <c r="AM198" s="4" t="s">
        <v>716</v>
      </c>
      <c r="AN198" s="10" t="s">
        <v>157</v>
      </c>
    </row>
    <row r="199" spans="1:40" s="10" customFormat="1" hidden="1" x14ac:dyDescent="0.2">
      <c r="A199" s="4">
        <v>1995</v>
      </c>
      <c r="B199" s="6">
        <v>8824658</v>
      </c>
      <c r="C199" s="4" t="s">
        <v>59</v>
      </c>
      <c r="D199" s="4"/>
      <c r="E199" s="4"/>
      <c r="F199" s="4" t="s">
        <v>60</v>
      </c>
      <c r="G199" s="4" t="s">
        <v>1111</v>
      </c>
      <c r="H199" s="4" t="s">
        <v>1111</v>
      </c>
      <c r="I199" s="4">
        <v>0.5</v>
      </c>
      <c r="J199" s="10" t="s">
        <v>892</v>
      </c>
      <c r="K199" s="4" t="s">
        <v>61</v>
      </c>
      <c r="L199" s="4" t="s">
        <v>156</v>
      </c>
      <c r="M199" s="4" t="s">
        <v>903</v>
      </c>
      <c r="N199" s="4" t="s">
        <v>766</v>
      </c>
      <c r="O199" s="4"/>
      <c r="P199" s="4"/>
      <c r="Q199" s="4">
        <v>2</v>
      </c>
      <c r="R199" s="4">
        <v>17</v>
      </c>
      <c r="S199" s="4"/>
      <c r="T199" s="32"/>
      <c r="U199" s="4" t="s">
        <v>539</v>
      </c>
      <c r="V199" s="4" t="s">
        <v>635</v>
      </c>
      <c r="W199" s="7"/>
      <c r="X199" s="7"/>
      <c r="Y199" s="7">
        <v>0.91</v>
      </c>
      <c r="Z199" s="7">
        <v>0.91</v>
      </c>
      <c r="AA199" s="16">
        <v>17</v>
      </c>
      <c r="AB199" s="16">
        <v>17</v>
      </c>
      <c r="AC199" s="7">
        <v>0.72</v>
      </c>
      <c r="AD199" s="7">
        <f t="shared" ref="AD199" si="235">SQRT(((AA199-1)*Y199^2+(AB199-1)*Z199^2)/(AA199+AB199-2))</f>
        <v>0.91</v>
      </c>
      <c r="AE199" s="7">
        <f t="shared" ref="AE199" si="236">AC199/AD199</f>
        <v>0.79120879120879117</v>
      </c>
      <c r="AF199" s="7">
        <f t="shared" ref="AF199" si="237">SQRT(((AA199+AB199)/(AA199*AB199)+(AE199^2/(2*(AA199+AB199)))))</f>
        <v>0.35616443970046779</v>
      </c>
      <c r="AG199" s="7" t="s">
        <v>193</v>
      </c>
      <c r="AH199" s="4" t="s">
        <v>193</v>
      </c>
      <c r="AI199" s="4" t="s">
        <v>893</v>
      </c>
      <c r="AJ199" s="4" t="s">
        <v>328</v>
      </c>
      <c r="AL199" s="4" t="s">
        <v>894</v>
      </c>
      <c r="AM199" s="4" t="s">
        <v>716</v>
      </c>
      <c r="AN199" s="10" t="s">
        <v>157</v>
      </c>
    </row>
    <row r="200" spans="1:40" s="10" customFormat="1" hidden="1" x14ac:dyDescent="0.2">
      <c r="A200" s="4">
        <v>1995</v>
      </c>
      <c r="B200" s="6">
        <v>8824658</v>
      </c>
      <c r="C200" s="4" t="s">
        <v>59</v>
      </c>
      <c r="D200" s="4"/>
      <c r="E200" s="4"/>
      <c r="F200" s="4" t="s">
        <v>60</v>
      </c>
      <c r="G200" s="4" t="s">
        <v>1111</v>
      </c>
      <c r="H200" s="4" t="s">
        <v>1111</v>
      </c>
      <c r="I200" s="4">
        <v>0.5</v>
      </c>
      <c r="J200" s="10" t="s">
        <v>892</v>
      </c>
      <c r="K200" s="4" t="s">
        <v>61</v>
      </c>
      <c r="L200" s="4" t="s">
        <v>156</v>
      </c>
      <c r="M200" s="4" t="s">
        <v>903</v>
      </c>
      <c r="N200" s="4" t="s">
        <v>766</v>
      </c>
      <c r="O200" s="4"/>
      <c r="P200" s="4"/>
      <c r="Q200" s="4">
        <v>2</v>
      </c>
      <c r="R200" s="4">
        <v>17</v>
      </c>
      <c r="S200" s="4"/>
      <c r="T200" s="32"/>
      <c r="U200" s="4" t="s">
        <v>891</v>
      </c>
      <c r="V200" s="4" t="s">
        <v>635</v>
      </c>
      <c r="W200" s="7"/>
      <c r="X200" s="7"/>
      <c r="Y200" s="7">
        <v>0.83</v>
      </c>
      <c r="Z200" s="7">
        <v>0.83</v>
      </c>
      <c r="AA200" s="16">
        <v>17</v>
      </c>
      <c r="AB200" s="16">
        <v>17</v>
      </c>
      <c r="AC200" s="7">
        <v>-0.64</v>
      </c>
      <c r="AD200" s="7">
        <f t="shared" ref="AD200" si="238">SQRT(((AA200-1)*Y200^2+(AB200-1)*Z200^2)/(AA200+AB200-2))</f>
        <v>0.83</v>
      </c>
      <c r="AE200" s="7">
        <f t="shared" ref="AE200" si="239">AC200/AD200</f>
        <v>-0.77108433734939763</v>
      </c>
      <c r="AF200" s="7">
        <f t="shared" ref="AF200" si="240">SQRT(((AA200+AB200)/(AA200*AB200)+(AE200^2/(2*(AA200+AB200)))))</f>
        <v>0.35551476876962096</v>
      </c>
      <c r="AG200" s="7" t="s">
        <v>193</v>
      </c>
      <c r="AH200" s="12"/>
      <c r="AI200" s="12" t="s">
        <v>893</v>
      </c>
      <c r="AJ200" s="12" t="s">
        <v>348</v>
      </c>
      <c r="AL200" s="4" t="s">
        <v>894</v>
      </c>
      <c r="AM200" s="4" t="s">
        <v>716</v>
      </c>
      <c r="AN200" s="10" t="s">
        <v>157</v>
      </c>
    </row>
    <row r="201" spans="1:40" s="10" customFormat="1" hidden="1" x14ac:dyDescent="0.2">
      <c r="A201" s="4">
        <v>1988</v>
      </c>
      <c r="B201" s="4">
        <v>3132275</v>
      </c>
      <c r="C201" s="4" t="s">
        <v>54</v>
      </c>
      <c r="D201" s="4"/>
      <c r="E201" s="4"/>
      <c r="F201" s="4" t="s">
        <v>55</v>
      </c>
      <c r="G201" s="4" t="s">
        <v>56</v>
      </c>
      <c r="H201" s="4" t="s">
        <v>56</v>
      </c>
      <c r="I201" s="4">
        <v>3</v>
      </c>
      <c r="J201" s="4" t="s">
        <v>44</v>
      </c>
      <c r="K201" s="4" t="s">
        <v>44</v>
      </c>
      <c r="L201" s="4" t="s">
        <v>546</v>
      </c>
      <c r="M201" s="10" t="s">
        <v>903</v>
      </c>
      <c r="N201" s="10" t="s">
        <v>766</v>
      </c>
      <c r="R201" s="10">
        <v>10</v>
      </c>
      <c r="T201" s="13"/>
      <c r="U201" s="4" t="s">
        <v>656</v>
      </c>
      <c r="V201" s="4" t="s">
        <v>635</v>
      </c>
      <c r="W201" s="7">
        <v>390</v>
      </c>
      <c r="X201" s="7">
        <v>440</v>
      </c>
      <c r="Y201" s="7">
        <f>50*SQRT(10)</f>
        <v>158.11388300841898</v>
      </c>
      <c r="Z201" s="7">
        <f>50*SQRT(10)</f>
        <v>158.11388300841898</v>
      </c>
      <c r="AA201" s="16">
        <v>10</v>
      </c>
      <c r="AB201" s="16">
        <v>10</v>
      </c>
      <c r="AC201" s="7">
        <f t="shared" ref="AC201" si="241">W201-X201</f>
        <v>-50</v>
      </c>
      <c r="AD201" s="7">
        <f t="shared" ref="AD201" si="242">SQRT(((AA201-1)*Y201^2+(AB201-1)*Z201^2)/(AA201+AB201-2))</f>
        <v>158.11388300841898</v>
      </c>
      <c r="AE201" s="7">
        <f t="shared" ref="AE201" si="243">AC201/AD201</f>
        <v>-0.31622776601683789</v>
      </c>
      <c r="AF201" s="12">
        <f t="shared" ref="AF201" si="244">SQRT(((AA201+AB201)/(AA201*AB201)+(AE201^2/(2*(AA201+AB201)))))</f>
        <v>0.45</v>
      </c>
      <c r="AG201" s="12" t="s">
        <v>193</v>
      </c>
      <c r="AH201" s="4" t="s">
        <v>193</v>
      </c>
      <c r="AI201" s="4" t="s">
        <v>774</v>
      </c>
      <c r="AJ201" s="4" t="s">
        <v>348</v>
      </c>
      <c r="AL201" s="12" t="s">
        <v>818</v>
      </c>
      <c r="AM201" s="4" t="s">
        <v>717</v>
      </c>
      <c r="AN201" s="10" t="s">
        <v>157</v>
      </c>
    </row>
    <row r="202" spans="1:40" s="10" customFormat="1" hidden="1" x14ac:dyDescent="0.2">
      <c r="A202" s="4">
        <v>1988</v>
      </c>
      <c r="B202" s="6">
        <v>3219758</v>
      </c>
      <c r="C202" s="4" t="s">
        <v>53</v>
      </c>
      <c r="D202" s="4"/>
      <c r="E202" s="4"/>
      <c r="F202" s="4" t="s">
        <v>45</v>
      </c>
      <c r="G202" s="4" t="s">
        <v>46</v>
      </c>
      <c r="H202" s="4" t="s">
        <v>46</v>
      </c>
      <c r="I202" s="4">
        <v>6</v>
      </c>
      <c r="J202" s="4" t="s">
        <v>44</v>
      </c>
      <c r="K202" s="4" t="s">
        <v>44</v>
      </c>
      <c r="L202" s="4" t="s">
        <v>878</v>
      </c>
      <c r="M202" s="10" t="s">
        <v>902</v>
      </c>
      <c r="N202" s="10" t="s">
        <v>766</v>
      </c>
      <c r="R202" s="10">
        <v>6</v>
      </c>
      <c r="T202" s="13"/>
      <c r="U202" s="4" t="s">
        <v>879</v>
      </c>
      <c r="V202" s="4" t="s">
        <v>635</v>
      </c>
      <c r="W202" s="7">
        <v>0.7</v>
      </c>
      <c r="X202" s="7">
        <v>0.85</v>
      </c>
      <c r="Y202" s="7">
        <f>0.05*SQRT(AA202)</f>
        <v>0.1224744871391589</v>
      </c>
      <c r="Z202" s="7">
        <f>1*SQRT(AB202)</f>
        <v>2.4494897427831779</v>
      </c>
      <c r="AA202" s="16">
        <v>6</v>
      </c>
      <c r="AB202" s="16">
        <v>6</v>
      </c>
      <c r="AC202" s="7">
        <f>W202-X202</f>
        <v>-0.15000000000000002</v>
      </c>
      <c r="AD202" s="7">
        <f>SQRT(((AA202-1)*Y202^2+(AB202-1)*Z202^2)/(AA202+AB202-2))</f>
        <v>1.7342145196024623</v>
      </c>
      <c r="AE202" s="7">
        <f>AC202/AD202</f>
        <v>-8.6494489755733817E-2</v>
      </c>
      <c r="AF202" s="12">
        <f>SQRT(((AA202+AB202)/(AA202*AB202)+(AE202^2/(2*(AA202+AB202)))))</f>
        <v>0.57762016414906059</v>
      </c>
      <c r="AG202" s="7" t="s">
        <v>193</v>
      </c>
      <c r="AH202" s="4" t="s">
        <v>193</v>
      </c>
      <c r="AI202" s="4" t="s">
        <v>774</v>
      </c>
      <c r="AJ202" s="4" t="s">
        <v>328</v>
      </c>
      <c r="AL202" s="4" t="s">
        <v>880</v>
      </c>
      <c r="AM202" s="4" t="s">
        <v>718</v>
      </c>
      <c r="AN202" s="10" t="s">
        <v>157</v>
      </c>
    </row>
    <row r="203" spans="1:40" s="10" customFormat="1" hidden="1" x14ac:dyDescent="0.2">
      <c r="A203" s="10">
        <v>1992</v>
      </c>
      <c r="B203" s="6">
        <v>1456570</v>
      </c>
      <c r="C203" s="4" t="s">
        <v>40</v>
      </c>
      <c r="D203" s="4"/>
      <c r="E203" s="4"/>
      <c r="F203" s="4" t="s">
        <v>1104</v>
      </c>
      <c r="G203" s="4" t="s">
        <v>42</v>
      </c>
      <c r="H203" s="4" t="s">
        <v>43</v>
      </c>
      <c r="I203" s="4">
        <v>2.5</v>
      </c>
      <c r="J203" s="4" t="s">
        <v>44</v>
      </c>
      <c r="K203" s="4" t="s">
        <v>44</v>
      </c>
      <c r="L203" s="4" t="s">
        <v>294</v>
      </c>
      <c r="M203" s="10" t="s">
        <v>903</v>
      </c>
      <c r="N203" s="10" t="s">
        <v>766</v>
      </c>
      <c r="Q203" s="10">
        <v>3</v>
      </c>
      <c r="R203" s="10">
        <v>8</v>
      </c>
      <c r="T203" s="13"/>
      <c r="U203" s="4" t="s">
        <v>896</v>
      </c>
      <c r="V203" s="4" t="s">
        <v>635</v>
      </c>
      <c r="W203" s="7">
        <v>3.43</v>
      </c>
      <c r="X203" s="7">
        <v>2.79</v>
      </c>
      <c r="Y203" s="7">
        <v>0.38</v>
      </c>
      <c r="Z203" s="7">
        <v>0.57999999999999996</v>
      </c>
      <c r="AA203" s="16">
        <v>8</v>
      </c>
      <c r="AB203" s="16">
        <v>8</v>
      </c>
      <c r="AC203" s="7">
        <f t="shared" ref="AC203:AC204" si="245">W203-X203</f>
        <v>0.64000000000000012</v>
      </c>
      <c r="AD203" s="7">
        <f t="shared" ref="AD203:AD204" si="246">SQRT(((AA203-1)*Y203^2+(AB203-1)*Z203^2)/(AA203+AB203-2))</f>
        <v>0.49030602688525049</v>
      </c>
      <c r="AE203" s="7">
        <f t="shared" ref="AE203:AE204" si="247">AC203/AD203</f>
        <v>1.3053072263168071</v>
      </c>
      <c r="AF203" s="7">
        <f t="shared" ref="AF203:AF204" si="248">SQRT(((AA203+AB203)/(AA203*AB203)+(AE203^2/(2*(AA203+AB203)))))</f>
        <v>0.55067648610240283</v>
      </c>
      <c r="AG203" s="7" t="s">
        <v>193</v>
      </c>
      <c r="AH203" s="4" t="s">
        <v>193</v>
      </c>
      <c r="AI203" s="4" t="s">
        <v>774</v>
      </c>
      <c r="AJ203" s="4" t="s">
        <v>326</v>
      </c>
      <c r="AL203" s="4" t="s">
        <v>899</v>
      </c>
      <c r="AM203" s="4" t="s">
        <v>719</v>
      </c>
      <c r="AN203" s="10" t="s">
        <v>157</v>
      </c>
    </row>
    <row r="204" spans="1:40" s="10" customFormat="1" hidden="1" x14ac:dyDescent="0.2">
      <c r="A204" s="10">
        <v>1992</v>
      </c>
      <c r="B204" s="6">
        <v>1456570</v>
      </c>
      <c r="C204" s="4" t="s">
        <v>40</v>
      </c>
      <c r="D204" s="4"/>
      <c r="E204" s="4"/>
      <c r="F204" s="4" t="s">
        <v>1104</v>
      </c>
      <c r="G204" s="4" t="s">
        <v>42</v>
      </c>
      <c r="H204" s="4" t="s">
        <v>43</v>
      </c>
      <c r="I204" s="4">
        <v>2.5</v>
      </c>
      <c r="J204" s="4" t="s">
        <v>44</v>
      </c>
      <c r="K204" s="4" t="s">
        <v>44</v>
      </c>
      <c r="L204" s="4" t="s">
        <v>294</v>
      </c>
      <c r="M204" s="10" t="s">
        <v>903</v>
      </c>
      <c r="N204" s="10" t="s">
        <v>766</v>
      </c>
      <c r="Q204" s="10">
        <v>3</v>
      </c>
      <c r="R204" s="10">
        <v>8</v>
      </c>
      <c r="T204" s="13"/>
      <c r="U204" s="4" t="s">
        <v>897</v>
      </c>
      <c r="V204" s="4" t="s">
        <v>635</v>
      </c>
      <c r="W204" s="7">
        <v>3.87</v>
      </c>
      <c r="X204" s="7">
        <v>3.29</v>
      </c>
      <c r="Y204" s="7">
        <v>0.47</v>
      </c>
      <c r="Z204" s="7">
        <v>0.51</v>
      </c>
      <c r="AA204" s="16">
        <v>8</v>
      </c>
      <c r="AB204" s="16">
        <v>8</v>
      </c>
      <c r="AC204" s="7">
        <f t="shared" si="245"/>
        <v>0.58000000000000007</v>
      </c>
      <c r="AD204" s="7">
        <f t="shared" si="246"/>
        <v>0.49040799340956914</v>
      </c>
      <c r="AE204" s="7">
        <f t="shared" si="247"/>
        <v>1.1826887159149693</v>
      </c>
      <c r="AF204" s="7">
        <f t="shared" si="248"/>
        <v>0.54195112206823481</v>
      </c>
      <c r="AG204" s="7" t="s">
        <v>193</v>
      </c>
      <c r="AH204" s="12"/>
      <c r="AI204" s="4" t="s">
        <v>774</v>
      </c>
      <c r="AJ204" s="12" t="s">
        <v>326</v>
      </c>
      <c r="AL204" s="4" t="s">
        <v>899</v>
      </c>
      <c r="AM204" s="4" t="s">
        <v>719</v>
      </c>
      <c r="AN204" s="10" t="s">
        <v>157</v>
      </c>
    </row>
    <row r="205" spans="1:40" s="10" customFormat="1" hidden="1" x14ac:dyDescent="0.2">
      <c r="A205" s="10">
        <v>1992</v>
      </c>
      <c r="B205" s="6">
        <v>1456570</v>
      </c>
      <c r="C205" s="4" t="s">
        <v>40</v>
      </c>
      <c r="D205" s="4"/>
      <c r="E205" s="4"/>
      <c r="F205" s="4" t="s">
        <v>1104</v>
      </c>
      <c r="G205" s="4" t="s">
        <v>42</v>
      </c>
      <c r="H205" s="4" t="s">
        <v>43</v>
      </c>
      <c r="I205" s="4">
        <v>2.5</v>
      </c>
      <c r="J205" s="4" t="s">
        <v>44</v>
      </c>
      <c r="K205" s="4" t="s">
        <v>44</v>
      </c>
      <c r="L205" s="4" t="s">
        <v>294</v>
      </c>
      <c r="M205" s="10" t="s">
        <v>903</v>
      </c>
      <c r="N205" s="10" t="s">
        <v>766</v>
      </c>
      <c r="Q205" s="10">
        <v>3</v>
      </c>
      <c r="R205" s="10">
        <v>8</v>
      </c>
      <c r="T205" s="13"/>
      <c r="U205" s="4" t="s">
        <v>898</v>
      </c>
      <c r="V205" s="4" t="s">
        <v>635</v>
      </c>
      <c r="W205" s="7">
        <v>11.8</v>
      </c>
      <c r="X205" s="7">
        <v>15.9</v>
      </c>
      <c r="Y205" s="7">
        <v>2.9</v>
      </c>
      <c r="Z205" s="7">
        <v>4.3</v>
      </c>
      <c r="AA205" s="16">
        <v>8</v>
      </c>
      <c r="AB205" s="16">
        <v>8</v>
      </c>
      <c r="AC205" s="7">
        <f t="shared" ref="AC205" si="249">W205-X205</f>
        <v>-4.0999999999999996</v>
      </c>
      <c r="AD205" s="7">
        <f t="shared" ref="AD205" si="250">SQRT(((AA205-1)*Y205^2+(AB205-1)*Z205^2)/(AA205+AB205-2))</f>
        <v>3.6674241641784495</v>
      </c>
      <c r="AE205" s="7">
        <f t="shared" ref="AE205" si="251">AC205/AD205</f>
        <v>-1.1179508604558843</v>
      </c>
      <c r="AF205" s="7">
        <f t="shared" ref="AF205" si="252">SQRT(((AA205+AB205)/(AA205*AB205)+(AE205^2/(2*(AA205+AB205)))))</f>
        <v>0.53763992732107801</v>
      </c>
      <c r="AG205" s="7" t="s">
        <v>157</v>
      </c>
      <c r="AH205" s="12"/>
      <c r="AI205" s="4" t="s">
        <v>1308</v>
      </c>
      <c r="AJ205" s="12" t="s">
        <v>326</v>
      </c>
      <c r="AK205" s="4" t="s">
        <v>899</v>
      </c>
      <c r="AL205" s="4"/>
      <c r="AM205" s="4" t="s">
        <v>719</v>
      </c>
      <c r="AN205" s="10" t="s">
        <v>157</v>
      </c>
    </row>
    <row r="206" spans="1:40" s="10" customFormat="1" x14ac:dyDescent="0.2">
      <c r="A206" s="4">
        <v>2016</v>
      </c>
      <c r="B206" s="25">
        <v>27129425</v>
      </c>
      <c r="C206" s="4" t="s">
        <v>34</v>
      </c>
      <c r="D206" s="4"/>
      <c r="E206" s="4"/>
      <c r="F206" s="4" t="s">
        <v>36</v>
      </c>
      <c r="G206" s="4" t="s">
        <v>36</v>
      </c>
      <c r="H206" s="4" t="s">
        <v>36</v>
      </c>
      <c r="I206" s="4"/>
      <c r="J206" s="4" t="s">
        <v>38</v>
      </c>
      <c r="K206" s="4" t="s">
        <v>306</v>
      </c>
      <c r="L206" s="4" t="s">
        <v>234</v>
      </c>
      <c r="M206" s="10" t="s">
        <v>902</v>
      </c>
      <c r="N206" s="10" t="s">
        <v>766</v>
      </c>
      <c r="O206" s="10" t="s">
        <v>662</v>
      </c>
      <c r="R206" s="10">
        <v>276</v>
      </c>
      <c r="T206" s="13"/>
      <c r="U206" s="4" t="s">
        <v>663</v>
      </c>
      <c r="V206" s="4" t="s">
        <v>635</v>
      </c>
      <c r="W206" s="7">
        <v>400</v>
      </c>
      <c r="X206" s="7">
        <v>110</v>
      </c>
      <c r="Y206" s="7">
        <f>150*SQRT(141)</f>
        <v>1781.1513130556875</v>
      </c>
      <c r="Z206" s="7">
        <f>25*SQRT(135)</f>
        <v>290.47375096555623</v>
      </c>
      <c r="AA206" s="16">
        <v>141</v>
      </c>
      <c r="AB206" s="16">
        <v>135</v>
      </c>
      <c r="AC206" s="7">
        <f t="shared" ref="AC206" si="253">W206-X206</f>
        <v>290</v>
      </c>
      <c r="AD206" s="7">
        <f t="shared" ref="AD206" si="254">SQRT(((AA206-1)*Y206^2+(AB206-1)*Z206^2)/(AA206+AB206-2))</f>
        <v>1289.2823924925217</v>
      </c>
      <c r="AE206" s="7">
        <f t="shared" ref="AE206" si="255">AC206/AD206</f>
        <v>0.22493132744902672</v>
      </c>
      <c r="AF206" s="12">
        <f t="shared" ref="AF206" si="256">SQRT(((AA206+AB206)/(AA206*AB206)+(AE206^2/(2*(AA206+AB206)))))</f>
        <v>0.12079429610281647</v>
      </c>
      <c r="AG206" s="12" t="s">
        <v>193</v>
      </c>
      <c r="AH206" s="4" t="s">
        <v>193</v>
      </c>
      <c r="AI206" s="12" t="s">
        <v>788</v>
      </c>
      <c r="AJ206" s="4" t="s">
        <v>328</v>
      </c>
      <c r="AL206" s="12" t="s">
        <v>566</v>
      </c>
      <c r="AM206" s="4" t="s">
        <v>720</v>
      </c>
      <c r="AN206" s="10" t="s">
        <v>157</v>
      </c>
    </row>
    <row r="207" spans="1:40" s="10" customFormat="1" x14ac:dyDescent="0.2">
      <c r="A207" s="4">
        <v>2007</v>
      </c>
      <c r="B207" s="25">
        <v>17635851</v>
      </c>
      <c r="C207" s="4" t="s">
        <v>114</v>
      </c>
      <c r="D207" s="4"/>
      <c r="E207" s="4" t="s">
        <v>157</v>
      </c>
      <c r="F207" s="4" t="s">
        <v>108</v>
      </c>
      <c r="G207" s="4" t="s">
        <v>109</v>
      </c>
      <c r="H207" s="4" t="s">
        <v>109</v>
      </c>
      <c r="I207" s="4">
        <v>24</v>
      </c>
      <c r="J207" s="4" t="s">
        <v>86</v>
      </c>
      <c r="K207" s="4" t="s">
        <v>86</v>
      </c>
      <c r="L207" s="4" t="s">
        <v>412</v>
      </c>
      <c r="M207" s="10" t="s">
        <v>902</v>
      </c>
      <c r="N207" s="10" t="s">
        <v>766</v>
      </c>
      <c r="O207" s="10" t="s">
        <v>652</v>
      </c>
      <c r="P207" s="10" t="s">
        <v>911</v>
      </c>
      <c r="Q207" s="10">
        <v>2</v>
      </c>
      <c r="R207" s="10">
        <v>215</v>
      </c>
      <c r="S207" s="10">
        <v>46.4</v>
      </c>
      <c r="T207" s="13">
        <v>47</v>
      </c>
      <c r="U207" s="10" t="s">
        <v>637</v>
      </c>
      <c r="V207" s="10" t="s">
        <v>635</v>
      </c>
      <c r="W207" s="7">
        <v>112.2</v>
      </c>
      <c r="X207" s="7">
        <v>108.3</v>
      </c>
      <c r="Y207" s="7">
        <v>11.2</v>
      </c>
      <c r="Z207" s="7">
        <v>11.1</v>
      </c>
      <c r="AA207" s="16">
        <v>107</v>
      </c>
      <c r="AB207" s="16">
        <v>108</v>
      </c>
      <c r="AC207" s="7">
        <f t="shared" ref="AC207:AC208" si="257">W207-X207</f>
        <v>3.9000000000000057</v>
      </c>
      <c r="AD207" s="7">
        <f t="shared" ref="AD207:AD208" si="258">SQRT(((AA207-1)*Y207^2+(AB207-1)*Z207^2)/(AA207+AB207-2))</f>
        <v>11.149877365164873</v>
      </c>
      <c r="AE207" s="7">
        <f t="shared" ref="AE207:AE208" si="259">AC207/AD207</f>
        <v>0.34977963185358646</v>
      </c>
      <c r="AF207" s="12">
        <f t="shared" ref="AF207:AF208" si="260">SQRT(((AA207+AB207)/(AA207*AB207)+(AE207^2/(2*(AA207+AB207)))))</f>
        <v>0.13743936389115391</v>
      </c>
      <c r="AG207" s="12" t="s">
        <v>193</v>
      </c>
      <c r="AH207" s="4"/>
      <c r="AI207" s="4" t="s">
        <v>780</v>
      </c>
      <c r="AJ207" s="4" t="s">
        <v>348</v>
      </c>
      <c r="AK207" s="4" t="s">
        <v>1298</v>
      </c>
      <c r="AL207" s="4"/>
      <c r="AM207" s="4" t="s">
        <v>721</v>
      </c>
      <c r="AN207" s="10" t="s">
        <v>193</v>
      </c>
    </row>
    <row r="208" spans="1:40" s="10" customFormat="1" x14ac:dyDescent="0.2">
      <c r="A208" s="4">
        <v>2007</v>
      </c>
      <c r="B208" s="6">
        <v>17635851</v>
      </c>
      <c r="C208" s="4" t="s">
        <v>114</v>
      </c>
      <c r="D208" s="4"/>
      <c r="E208" s="4" t="s">
        <v>157</v>
      </c>
      <c r="F208" s="4" t="s">
        <v>108</v>
      </c>
      <c r="G208" s="4" t="s">
        <v>109</v>
      </c>
      <c r="H208" s="4" t="s">
        <v>109</v>
      </c>
      <c r="I208" s="4">
        <v>24</v>
      </c>
      <c r="J208" s="4" t="s">
        <v>86</v>
      </c>
      <c r="K208" s="4" t="s">
        <v>86</v>
      </c>
      <c r="L208" s="4" t="s">
        <v>412</v>
      </c>
      <c r="M208" s="10" t="s">
        <v>902</v>
      </c>
      <c r="N208" s="10" t="s">
        <v>766</v>
      </c>
      <c r="O208" s="10" t="s">
        <v>652</v>
      </c>
      <c r="P208" s="10" t="s">
        <v>911</v>
      </c>
      <c r="Q208" s="10">
        <v>2</v>
      </c>
      <c r="R208" s="10">
        <v>215</v>
      </c>
      <c r="S208" s="10">
        <v>46.4</v>
      </c>
      <c r="T208" s="13">
        <v>47</v>
      </c>
      <c r="U208" s="10" t="s">
        <v>768</v>
      </c>
      <c r="V208" s="10" t="s">
        <v>635</v>
      </c>
      <c r="W208" s="7">
        <v>67.3</v>
      </c>
      <c r="X208" s="7">
        <v>63.4</v>
      </c>
      <c r="Y208" s="7">
        <v>8.9</v>
      </c>
      <c r="Z208" s="7">
        <v>8.1999999999999993</v>
      </c>
      <c r="AA208" s="16">
        <v>107</v>
      </c>
      <c r="AB208" s="16">
        <v>108</v>
      </c>
      <c r="AC208" s="7">
        <f t="shared" si="257"/>
        <v>3.8999999999999986</v>
      </c>
      <c r="AD208" s="7">
        <f t="shared" si="258"/>
        <v>8.5555187691016545</v>
      </c>
      <c r="AE208" s="7">
        <f t="shared" si="259"/>
        <v>0.45584611585271595</v>
      </c>
      <c r="AF208" s="12">
        <f t="shared" si="260"/>
        <v>0.13816041192156359</v>
      </c>
      <c r="AG208" s="12" t="s">
        <v>193</v>
      </c>
      <c r="AH208" s="12" t="s">
        <v>193</v>
      </c>
      <c r="AI208" s="12" t="s">
        <v>780</v>
      </c>
      <c r="AJ208" s="12" t="s">
        <v>348</v>
      </c>
      <c r="AK208" s="4" t="s">
        <v>1298</v>
      </c>
      <c r="AL208" s="12"/>
      <c r="AM208" s="4" t="s">
        <v>721</v>
      </c>
      <c r="AN208" s="10" t="s">
        <v>193</v>
      </c>
    </row>
    <row r="209" spans="1:40" s="10" customFormat="1" x14ac:dyDescent="0.2">
      <c r="A209" s="4">
        <v>2007</v>
      </c>
      <c r="B209" s="6">
        <v>17635851</v>
      </c>
      <c r="C209" s="4" t="s">
        <v>114</v>
      </c>
      <c r="D209" s="4"/>
      <c r="E209" s="4" t="s">
        <v>157</v>
      </c>
      <c r="F209" s="4" t="s">
        <v>108</v>
      </c>
      <c r="G209" s="4" t="s">
        <v>109</v>
      </c>
      <c r="H209" s="4" t="s">
        <v>109</v>
      </c>
      <c r="I209" s="4">
        <v>24</v>
      </c>
      <c r="J209" s="4" t="s">
        <v>86</v>
      </c>
      <c r="K209" s="4" t="s">
        <v>86</v>
      </c>
      <c r="L209" s="4" t="s">
        <v>412</v>
      </c>
      <c r="M209" s="10" t="s">
        <v>902</v>
      </c>
      <c r="N209" s="10" t="s">
        <v>766</v>
      </c>
      <c r="O209" s="10" t="s">
        <v>652</v>
      </c>
      <c r="P209" s="10" t="s">
        <v>911</v>
      </c>
      <c r="Q209" s="10">
        <v>2</v>
      </c>
      <c r="R209" s="10">
        <v>215</v>
      </c>
      <c r="S209" s="10">
        <v>46.4</v>
      </c>
      <c r="T209" s="13">
        <v>47</v>
      </c>
      <c r="U209" s="4" t="s">
        <v>644</v>
      </c>
      <c r="V209" s="4" t="s">
        <v>642</v>
      </c>
      <c r="W209" s="7">
        <v>126.4</v>
      </c>
      <c r="X209" s="7">
        <v>126.5</v>
      </c>
      <c r="Y209" s="7">
        <v>11.5</v>
      </c>
      <c r="Z209" s="7">
        <v>11</v>
      </c>
      <c r="AA209" s="16">
        <v>107</v>
      </c>
      <c r="AB209" s="16">
        <v>108</v>
      </c>
      <c r="AC209" s="7">
        <f t="shared" ref="AC209:AC212" si="261">W209-X209</f>
        <v>-9.9999999999994316E-2</v>
      </c>
      <c r="AD209" s="7">
        <f t="shared" ref="AD209:AD212" si="262">SQRT(((AA209-1)*Y209^2+(AB209-1)*Z209^2)/(AA209+AB209-2))</f>
        <v>11.251603954516698</v>
      </c>
      <c r="AE209" s="7">
        <f t="shared" ref="AE209:AE212" si="263">AC209/AD209</f>
        <v>-8.8876217474622016E-3</v>
      </c>
      <c r="AF209" s="7">
        <f t="shared" ref="AF209:AF212" si="264">SQRT(((AA209+AB209)/(AA209*AB209)+(AE209^2/(2*(AA209+AB209)))))</f>
        <v>0.1364010166715747</v>
      </c>
      <c r="AG209" s="7" t="s">
        <v>193</v>
      </c>
      <c r="AH209" s="12"/>
      <c r="AI209" s="12" t="s">
        <v>780</v>
      </c>
      <c r="AJ209" s="12" t="s">
        <v>328</v>
      </c>
      <c r="AK209" s="4" t="s">
        <v>1298</v>
      </c>
      <c r="AL209" s="12"/>
      <c r="AM209" s="4" t="s">
        <v>721</v>
      </c>
      <c r="AN209" s="10" t="s">
        <v>193</v>
      </c>
    </row>
    <row r="210" spans="1:40" s="10" customFormat="1" x14ac:dyDescent="0.2">
      <c r="A210" s="4">
        <v>2007</v>
      </c>
      <c r="B210" s="6">
        <v>17635851</v>
      </c>
      <c r="C210" s="4" t="s">
        <v>114</v>
      </c>
      <c r="D210" s="4"/>
      <c r="E210" s="4" t="s">
        <v>157</v>
      </c>
      <c r="F210" s="4" t="s">
        <v>108</v>
      </c>
      <c r="G210" s="4" t="s">
        <v>109</v>
      </c>
      <c r="H210" s="4" t="s">
        <v>109</v>
      </c>
      <c r="I210" s="4">
        <v>24</v>
      </c>
      <c r="J210" s="4" t="s">
        <v>86</v>
      </c>
      <c r="K210" s="4" t="s">
        <v>86</v>
      </c>
      <c r="L210" s="4" t="s">
        <v>412</v>
      </c>
      <c r="M210" s="10" t="s">
        <v>902</v>
      </c>
      <c r="N210" s="10" t="s">
        <v>766</v>
      </c>
      <c r="O210" s="10" t="s">
        <v>652</v>
      </c>
      <c r="P210" s="10" t="s">
        <v>911</v>
      </c>
      <c r="Q210" s="10">
        <v>2</v>
      </c>
      <c r="R210" s="10">
        <v>215</v>
      </c>
      <c r="S210" s="10">
        <v>46.4</v>
      </c>
      <c r="T210" s="13">
        <v>47</v>
      </c>
      <c r="U210" s="4" t="s">
        <v>645</v>
      </c>
      <c r="V210" s="4" t="s">
        <v>642</v>
      </c>
      <c r="W210" s="7">
        <v>80.900000000000006</v>
      </c>
      <c r="X210" s="7">
        <v>79.2</v>
      </c>
      <c r="Y210" s="7">
        <v>8.4</v>
      </c>
      <c r="Z210" s="7">
        <v>8.1999999999999993</v>
      </c>
      <c r="AA210" s="16">
        <v>107</v>
      </c>
      <c r="AB210" s="16">
        <v>108</v>
      </c>
      <c r="AC210" s="7">
        <f t="shared" si="261"/>
        <v>1.7000000000000028</v>
      </c>
      <c r="AD210" s="7">
        <f t="shared" si="262"/>
        <v>8.3001329250060785</v>
      </c>
      <c r="AE210" s="7">
        <f t="shared" si="263"/>
        <v>0.20481599696775432</v>
      </c>
      <c r="AF210" s="7">
        <f t="shared" si="264"/>
        <v>0.13675748916936126</v>
      </c>
      <c r="AG210" s="7" t="s">
        <v>193</v>
      </c>
      <c r="AH210" s="12"/>
      <c r="AI210" s="12" t="s">
        <v>780</v>
      </c>
      <c r="AJ210" s="12" t="s">
        <v>348</v>
      </c>
      <c r="AK210" s="4" t="s">
        <v>1298</v>
      </c>
      <c r="AL210" s="12"/>
      <c r="AM210" s="4" t="s">
        <v>721</v>
      </c>
      <c r="AN210" s="10" t="s">
        <v>193</v>
      </c>
    </row>
    <row r="211" spans="1:40" s="10" customFormat="1" x14ac:dyDescent="0.2">
      <c r="A211" s="4">
        <v>2007</v>
      </c>
      <c r="B211" s="6">
        <v>17635851</v>
      </c>
      <c r="C211" s="4" t="s">
        <v>114</v>
      </c>
      <c r="D211" s="4"/>
      <c r="E211" s="4" t="s">
        <v>157</v>
      </c>
      <c r="F211" s="4" t="s">
        <v>108</v>
      </c>
      <c r="G211" s="4" t="s">
        <v>109</v>
      </c>
      <c r="H211" s="4" t="s">
        <v>109</v>
      </c>
      <c r="I211" s="4">
        <v>24</v>
      </c>
      <c r="J211" s="4" t="s">
        <v>86</v>
      </c>
      <c r="K211" s="4" t="s">
        <v>86</v>
      </c>
      <c r="L211" s="4" t="s">
        <v>412</v>
      </c>
      <c r="M211" s="10" t="s">
        <v>902</v>
      </c>
      <c r="N211" s="10" t="s">
        <v>766</v>
      </c>
      <c r="O211" s="10" t="s">
        <v>652</v>
      </c>
      <c r="P211" s="10" t="s">
        <v>911</v>
      </c>
      <c r="Q211" s="10">
        <v>2</v>
      </c>
      <c r="R211" s="10">
        <v>215</v>
      </c>
      <c r="S211" s="10">
        <v>46.4</v>
      </c>
      <c r="T211" s="13">
        <v>47</v>
      </c>
      <c r="U211" s="4" t="s">
        <v>640</v>
      </c>
      <c r="V211" s="4" t="s">
        <v>642</v>
      </c>
      <c r="W211" s="7">
        <v>122.1</v>
      </c>
      <c r="X211" s="7">
        <v>121.3</v>
      </c>
      <c r="Y211" s="7">
        <v>10.9</v>
      </c>
      <c r="Z211" s="7">
        <v>10.7</v>
      </c>
      <c r="AA211" s="16">
        <v>107</v>
      </c>
      <c r="AB211" s="16">
        <v>108</v>
      </c>
      <c r="AC211" s="7">
        <f t="shared" si="261"/>
        <v>0.79999999999999716</v>
      </c>
      <c r="AD211" s="7">
        <f t="shared" si="262"/>
        <v>10.799993479392919</v>
      </c>
      <c r="AE211" s="7">
        <f t="shared" si="263"/>
        <v>7.407411879705747E-2</v>
      </c>
      <c r="AF211" s="7">
        <f t="shared" si="264"/>
        <v>0.13644711084861816</v>
      </c>
      <c r="AG211" s="7" t="s">
        <v>193</v>
      </c>
      <c r="AH211" s="12"/>
      <c r="AI211" s="12" t="s">
        <v>780</v>
      </c>
      <c r="AJ211" s="12" t="s">
        <v>348</v>
      </c>
      <c r="AK211" s="4" t="s">
        <v>1298</v>
      </c>
      <c r="AL211" s="12"/>
      <c r="AM211" s="4" t="s">
        <v>721</v>
      </c>
      <c r="AN211" s="10" t="s">
        <v>193</v>
      </c>
    </row>
    <row r="212" spans="1:40" s="10" customFormat="1" x14ac:dyDescent="0.2">
      <c r="A212" s="4">
        <v>2007</v>
      </c>
      <c r="B212" s="6">
        <v>17635851</v>
      </c>
      <c r="C212" s="4" t="s">
        <v>114</v>
      </c>
      <c r="D212" s="4"/>
      <c r="E212" s="4" t="s">
        <v>157</v>
      </c>
      <c r="F212" s="4" t="s">
        <v>108</v>
      </c>
      <c r="G212" s="4" t="s">
        <v>109</v>
      </c>
      <c r="H212" s="4" t="s">
        <v>109</v>
      </c>
      <c r="I212" s="4">
        <v>24</v>
      </c>
      <c r="J212" s="4" t="s">
        <v>86</v>
      </c>
      <c r="K212" s="4" t="s">
        <v>86</v>
      </c>
      <c r="L212" s="4" t="s">
        <v>412</v>
      </c>
      <c r="M212" s="10" t="s">
        <v>902</v>
      </c>
      <c r="N212" s="10" t="s">
        <v>766</v>
      </c>
      <c r="O212" s="10" t="s">
        <v>652</v>
      </c>
      <c r="P212" s="10" t="s">
        <v>911</v>
      </c>
      <c r="Q212" s="10">
        <v>2</v>
      </c>
      <c r="R212" s="10">
        <v>215</v>
      </c>
      <c r="S212" s="10">
        <v>46.4</v>
      </c>
      <c r="T212" s="13">
        <v>47</v>
      </c>
      <c r="U212" s="4" t="s">
        <v>641</v>
      </c>
      <c r="V212" s="4" t="s">
        <v>642</v>
      </c>
      <c r="W212" s="7">
        <v>76.900000000000006</v>
      </c>
      <c r="X212" s="7">
        <v>74.8</v>
      </c>
      <c r="Y212" s="7">
        <v>8.3000000000000007</v>
      </c>
      <c r="Z212" s="7">
        <v>8.1</v>
      </c>
      <c r="AA212" s="16">
        <v>107</v>
      </c>
      <c r="AB212" s="16">
        <v>108</v>
      </c>
      <c r="AC212" s="7">
        <f t="shared" si="261"/>
        <v>2.1000000000000085</v>
      </c>
      <c r="AD212" s="7">
        <f t="shared" si="262"/>
        <v>8.200140271329726</v>
      </c>
      <c r="AE212" s="7">
        <f t="shared" si="263"/>
        <v>0.25609318017915744</v>
      </c>
      <c r="AF212" s="7">
        <f t="shared" si="264"/>
        <v>0.13695829264313569</v>
      </c>
      <c r="AG212" s="7" t="s">
        <v>193</v>
      </c>
      <c r="AH212" s="12"/>
      <c r="AI212" s="12" t="s">
        <v>780</v>
      </c>
      <c r="AJ212" s="12" t="s">
        <v>348</v>
      </c>
      <c r="AK212" s="4" t="s">
        <v>1298</v>
      </c>
      <c r="AL212" s="12"/>
      <c r="AM212" s="4" t="s">
        <v>721</v>
      </c>
      <c r="AN212" s="10" t="s">
        <v>193</v>
      </c>
    </row>
    <row r="213" spans="1:40" s="10" customFormat="1" x14ac:dyDescent="0.2">
      <c r="A213" s="4">
        <v>2007</v>
      </c>
      <c r="B213" s="6">
        <v>17635851</v>
      </c>
      <c r="C213" s="4" t="s">
        <v>114</v>
      </c>
      <c r="D213" s="4"/>
      <c r="E213" s="4" t="s">
        <v>157</v>
      </c>
      <c r="F213" s="4" t="s">
        <v>108</v>
      </c>
      <c r="G213" s="4" t="s">
        <v>109</v>
      </c>
      <c r="H213" s="4" t="s">
        <v>109</v>
      </c>
      <c r="I213" s="4">
        <v>24</v>
      </c>
      <c r="J213" s="4" t="s">
        <v>86</v>
      </c>
      <c r="K213" s="4" t="s">
        <v>86</v>
      </c>
      <c r="L213" s="4" t="s">
        <v>412</v>
      </c>
      <c r="M213" s="10" t="s">
        <v>902</v>
      </c>
      <c r="N213" s="10" t="s">
        <v>766</v>
      </c>
      <c r="O213" s="10" t="s">
        <v>652</v>
      </c>
      <c r="P213" s="10" t="s">
        <v>911</v>
      </c>
      <c r="Q213" s="10">
        <v>2</v>
      </c>
      <c r="R213" s="10">
        <v>215</v>
      </c>
      <c r="S213" s="10">
        <v>46.4</v>
      </c>
      <c r="T213" s="13">
        <v>47</v>
      </c>
      <c r="U213" s="4" t="s">
        <v>453</v>
      </c>
      <c r="V213" s="4" t="s">
        <v>635</v>
      </c>
      <c r="W213" s="7">
        <v>36</v>
      </c>
      <c r="X213" s="7">
        <v>8.3000000000000007</v>
      </c>
      <c r="Y213" s="7"/>
      <c r="Z213" s="7"/>
      <c r="AA213" s="16"/>
      <c r="AB213" s="16"/>
      <c r="AC213" s="7"/>
      <c r="AD213" s="7"/>
      <c r="AE213" s="7"/>
      <c r="AF213" s="7"/>
      <c r="AG213" s="7" t="s">
        <v>157</v>
      </c>
      <c r="AH213" s="12"/>
      <c r="AI213" s="12" t="s">
        <v>780</v>
      </c>
      <c r="AJ213" s="12" t="s">
        <v>348</v>
      </c>
      <c r="AK213" s="4" t="s">
        <v>1298</v>
      </c>
      <c r="AL213" s="12" t="s">
        <v>1301</v>
      </c>
      <c r="AM213" s="4" t="s">
        <v>721</v>
      </c>
      <c r="AN213" s="10" t="s">
        <v>193</v>
      </c>
    </row>
    <row r="214" spans="1:40" s="10" customFormat="1" x14ac:dyDescent="0.2">
      <c r="A214" s="10">
        <v>2005</v>
      </c>
      <c r="B214" s="43">
        <v>16148616</v>
      </c>
      <c r="C214" s="10" t="s">
        <v>107</v>
      </c>
      <c r="E214" s="10" t="s">
        <v>157</v>
      </c>
      <c r="F214" s="4" t="s">
        <v>108</v>
      </c>
      <c r="G214" s="4" t="s">
        <v>109</v>
      </c>
      <c r="H214" s="4" t="s">
        <v>109</v>
      </c>
      <c r="I214" s="4">
        <v>7</v>
      </c>
      <c r="J214" s="4" t="s">
        <v>821</v>
      </c>
      <c r="K214" s="4" t="s">
        <v>86</v>
      </c>
      <c r="L214" s="4" t="s">
        <v>412</v>
      </c>
      <c r="M214" s="10" t="s">
        <v>902</v>
      </c>
      <c r="N214" s="10" t="s">
        <v>766</v>
      </c>
      <c r="P214" s="10" t="s">
        <v>911</v>
      </c>
      <c r="Q214" s="10">
        <v>2</v>
      </c>
      <c r="R214" s="10">
        <v>148</v>
      </c>
      <c r="S214" s="10">
        <v>53</v>
      </c>
      <c r="T214" s="13">
        <v>66.3</v>
      </c>
      <c r="U214" s="4" t="s">
        <v>637</v>
      </c>
      <c r="V214" s="4" t="s">
        <v>635</v>
      </c>
      <c r="W214" s="7">
        <v>119.9</v>
      </c>
      <c r="X214" s="7">
        <v>112.5</v>
      </c>
      <c r="Y214" s="7">
        <v>14</v>
      </c>
      <c r="Z214" s="7">
        <v>11.5</v>
      </c>
      <c r="AA214" s="16">
        <v>72</v>
      </c>
      <c r="AB214" s="16">
        <v>76</v>
      </c>
      <c r="AC214" s="7">
        <f t="shared" ref="AC214:AC221" si="265">W214-X214</f>
        <v>7.4000000000000057</v>
      </c>
      <c r="AD214" s="7">
        <f t="shared" ref="AD214:AD221" si="266">SQRT(((AA214-1)*Y214^2+(AB214-1)*Z214^2)/(AA214+AB214-2))</f>
        <v>12.776999347607681</v>
      </c>
      <c r="AE214" s="7">
        <f t="shared" ref="AE214:AE221" si="267">AC214/AD214</f>
        <v>0.57916571791839022</v>
      </c>
      <c r="AF214" s="12">
        <f t="shared" ref="AF214:AF221" si="268">SQRT(((AA214+AB214)/(AA214*AB214)+(AE214^2/(2*(AA214+AB214)))))</f>
        <v>0.16786900541739483</v>
      </c>
      <c r="AG214" s="12" t="s">
        <v>193</v>
      </c>
      <c r="AH214" s="12" t="s">
        <v>193</v>
      </c>
      <c r="AI214" s="12" t="s">
        <v>780</v>
      </c>
      <c r="AJ214" s="12" t="s">
        <v>348</v>
      </c>
      <c r="AK214" s="12"/>
      <c r="AL214" s="12"/>
      <c r="AM214" s="10" t="s">
        <v>722</v>
      </c>
      <c r="AN214" s="10" t="s">
        <v>193</v>
      </c>
    </row>
    <row r="215" spans="1:40" s="10" customFormat="1" x14ac:dyDescent="0.2">
      <c r="A215" s="10">
        <v>2005</v>
      </c>
      <c r="B215" s="10">
        <v>16148616</v>
      </c>
      <c r="C215" s="10" t="s">
        <v>107</v>
      </c>
      <c r="E215" s="10" t="s">
        <v>157</v>
      </c>
      <c r="F215" s="4" t="s">
        <v>108</v>
      </c>
      <c r="G215" s="4" t="s">
        <v>109</v>
      </c>
      <c r="H215" s="4" t="s">
        <v>109</v>
      </c>
      <c r="I215" s="4">
        <v>7</v>
      </c>
      <c r="J215" s="4" t="s">
        <v>821</v>
      </c>
      <c r="K215" s="4" t="s">
        <v>86</v>
      </c>
      <c r="L215" s="4" t="s">
        <v>412</v>
      </c>
      <c r="M215" s="10" t="s">
        <v>902</v>
      </c>
      <c r="N215" s="10" t="s">
        <v>766</v>
      </c>
      <c r="P215" s="10" t="s">
        <v>911</v>
      </c>
      <c r="Q215" s="10">
        <v>2</v>
      </c>
      <c r="R215" s="10">
        <v>148</v>
      </c>
      <c r="S215" s="10">
        <v>53</v>
      </c>
      <c r="T215" s="13">
        <v>66.3</v>
      </c>
      <c r="U215" s="4" t="s">
        <v>638</v>
      </c>
      <c r="V215" s="4" t="s">
        <v>635</v>
      </c>
      <c r="W215" s="7">
        <v>69.599999999999994</v>
      </c>
      <c r="X215" s="7">
        <v>66</v>
      </c>
      <c r="Y215" s="7">
        <v>8.8000000000000007</v>
      </c>
      <c r="Z215" s="7">
        <v>7.6</v>
      </c>
      <c r="AA215" s="16">
        <v>72</v>
      </c>
      <c r="AB215" s="16">
        <v>76</v>
      </c>
      <c r="AC215" s="7">
        <f t="shared" si="265"/>
        <v>3.5999999999999943</v>
      </c>
      <c r="AD215" s="7">
        <f t="shared" si="266"/>
        <v>8.2055110114424998</v>
      </c>
      <c r="AE215" s="7">
        <f t="shared" si="267"/>
        <v>0.43872953128450276</v>
      </c>
      <c r="AF215" s="12">
        <f t="shared" si="268"/>
        <v>0.16642435537997491</v>
      </c>
      <c r="AG215" s="12" t="s">
        <v>193</v>
      </c>
      <c r="AI215" s="12" t="s">
        <v>780</v>
      </c>
      <c r="AJ215" s="12" t="s">
        <v>348</v>
      </c>
      <c r="AK215" s="12"/>
      <c r="AL215" s="12"/>
      <c r="AM215" s="10" t="s">
        <v>722</v>
      </c>
      <c r="AN215" s="10" t="s">
        <v>193</v>
      </c>
    </row>
    <row r="216" spans="1:40" s="10" customFormat="1" x14ac:dyDescent="0.2">
      <c r="A216" s="10">
        <v>2005</v>
      </c>
      <c r="B216" s="10">
        <v>16148616</v>
      </c>
      <c r="C216" s="10" t="s">
        <v>107</v>
      </c>
      <c r="E216" s="10" t="s">
        <v>157</v>
      </c>
      <c r="F216" s="4" t="s">
        <v>108</v>
      </c>
      <c r="G216" s="4" t="s">
        <v>109</v>
      </c>
      <c r="H216" s="4" t="s">
        <v>109</v>
      </c>
      <c r="I216" s="4">
        <v>7</v>
      </c>
      <c r="J216" s="4" t="s">
        <v>821</v>
      </c>
      <c r="K216" s="4" t="s">
        <v>86</v>
      </c>
      <c r="L216" s="4" t="s">
        <v>412</v>
      </c>
      <c r="M216" s="10" t="s">
        <v>902</v>
      </c>
      <c r="N216" s="10" t="s">
        <v>766</v>
      </c>
      <c r="P216" s="10" t="s">
        <v>911</v>
      </c>
      <c r="Q216" s="10">
        <v>2</v>
      </c>
      <c r="R216" s="10">
        <v>148</v>
      </c>
      <c r="S216" s="10">
        <v>53</v>
      </c>
      <c r="T216" s="13">
        <v>66.3</v>
      </c>
      <c r="U216" s="4" t="s">
        <v>644</v>
      </c>
      <c r="V216" s="4" t="s">
        <v>642</v>
      </c>
      <c r="W216" s="7">
        <v>127</v>
      </c>
      <c r="X216" s="7">
        <v>126.9</v>
      </c>
      <c r="Y216" s="7">
        <v>11.8</v>
      </c>
      <c r="Z216" s="7">
        <v>11.3</v>
      </c>
      <c r="AA216" s="16">
        <v>72</v>
      </c>
      <c r="AB216" s="16">
        <v>76</v>
      </c>
      <c r="AC216" s="7">
        <f t="shared" ref="AC216:AC219" si="269">W216-X216</f>
        <v>9.9999999999994316E-2</v>
      </c>
      <c r="AD216" s="7">
        <f t="shared" ref="AD216:AD219" si="270">SQRT(((AA216-1)*Y216^2+(AB216-1)*Z216^2)/(AA216+AB216-2))</f>
        <v>11.54585556907403</v>
      </c>
      <c r="AE216" s="7">
        <f t="shared" ref="AE216:AE219" si="271">AC216/AD216</f>
        <v>8.6611164847625269E-3</v>
      </c>
      <c r="AF216" s="12">
        <f t="shared" ref="AF216:AF219" si="272">SQRT(((AA216+AB216)/(AA216*AB216)+(AE216^2/(2*(AA216+AB216)))))</f>
        <v>0.16445983416803681</v>
      </c>
      <c r="AG216" s="12" t="s">
        <v>193</v>
      </c>
      <c r="AI216" s="12" t="s">
        <v>780</v>
      </c>
      <c r="AJ216" s="12" t="s">
        <v>348</v>
      </c>
      <c r="AK216" s="12"/>
      <c r="AL216" s="12"/>
      <c r="AM216" s="10" t="s">
        <v>722</v>
      </c>
      <c r="AN216" s="10" t="s">
        <v>193</v>
      </c>
    </row>
    <row r="217" spans="1:40" s="10" customFormat="1" x14ac:dyDescent="0.2">
      <c r="A217" s="10">
        <v>2005</v>
      </c>
      <c r="B217" s="10">
        <v>16148616</v>
      </c>
      <c r="C217" s="10" t="s">
        <v>107</v>
      </c>
      <c r="E217" s="10" t="s">
        <v>157</v>
      </c>
      <c r="F217" s="4" t="s">
        <v>108</v>
      </c>
      <c r="G217" s="4" t="s">
        <v>109</v>
      </c>
      <c r="H217" s="4" t="s">
        <v>109</v>
      </c>
      <c r="I217" s="4">
        <v>7</v>
      </c>
      <c r="J217" s="4" t="s">
        <v>821</v>
      </c>
      <c r="K217" s="4" t="s">
        <v>86</v>
      </c>
      <c r="L217" s="4" t="s">
        <v>412</v>
      </c>
      <c r="M217" s="10" t="s">
        <v>902</v>
      </c>
      <c r="N217" s="10" t="s">
        <v>766</v>
      </c>
      <c r="P217" s="10" t="s">
        <v>911</v>
      </c>
      <c r="Q217" s="10">
        <v>2</v>
      </c>
      <c r="R217" s="10">
        <v>148</v>
      </c>
      <c r="S217" s="10">
        <v>53</v>
      </c>
      <c r="T217" s="13">
        <v>66.3</v>
      </c>
      <c r="U217" s="4" t="s">
        <v>645</v>
      </c>
      <c r="V217" s="4" t="s">
        <v>642</v>
      </c>
      <c r="W217" s="7">
        <v>79</v>
      </c>
      <c r="X217" s="7">
        <v>78.3</v>
      </c>
      <c r="Y217" s="7">
        <v>8.6999999999999993</v>
      </c>
      <c r="Z217" s="7">
        <v>7.7</v>
      </c>
      <c r="AA217" s="16">
        <v>72</v>
      </c>
      <c r="AB217" s="16">
        <v>76</v>
      </c>
      <c r="AC217" s="7">
        <f t="shared" si="269"/>
        <v>0.70000000000000284</v>
      </c>
      <c r="AD217" s="7">
        <f t="shared" si="270"/>
        <v>8.2015451267278543</v>
      </c>
      <c r="AE217" s="7">
        <f t="shared" si="271"/>
        <v>8.534977119357505E-2</v>
      </c>
      <c r="AF217" s="12">
        <f t="shared" si="272"/>
        <v>0.16453386795711583</v>
      </c>
      <c r="AG217" s="12" t="s">
        <v>193</v>
      </c>
      <c r="AI217" s="12" t="s">
        <v>780</v>
      </c>
      <c r="AJ217" s="12" t="s">
        <v>348</v>
      </c>
      <c r="AK217" s="12"/>
      <c r="AL217" s="12"/>
      <c r="AM217" s="10" t="s">
        <v>722</v>
      </c>
      <c r="AN217" s="10" t="s">
        <v>193</v>
      </c>
    </row>
    <row r="218" spans="1:40" s="10" customFormat="1" x14ac:dyDescent="0.2">
      <c r="A218" s="10">
        <v>2005</v>
      </c>
      <c r="B218" s="10">
        <v>16148616</v>
      </c>
      <c r="C218" s="10" t="s">
        <v>107</v>
      </c>
      <c r="E218" s="10" t="s">
        <v>157</v>
      </c>
      <c r="F218" s="4" t="s">
        <v>108</v>
      </c>
      <c r="G218" s="4" t="s">
        <v>109</v>
      </c>
      <c r="H218" s="4" t="s">
        <v>109</v>
      </c>
      <c r="I218" s="4">
        <v>7</v>
      </c>
      <c r="J218" s="4" t="s">
        <v>821</v>
      </c>
      <c r="K218" s="4" t="s">
        <v>86</v>
      </c>
      <c r="L218" s="4" t="s">
        <v>412</v>
      </c>
      <c r="M218" s="10" t="s">
        <v>902</v>
      </c>
      <c r="N218" s="10" t="s">
        <v>766</v>
      </c>
      <c r="P218" s="10" t="s">
        <v>911</v>
      </c>
      <c r="Q218" s="10">
        <v>2</v>
      </c>
      <c r="R218" s="10">
        <v>148</v>
      </c>
      <c r="S218" s="10">
        <v>53</v>
      </c>
      <c r="T218" s="13">
        <v>66.3</v>
      </c>
      <c r="U218" s="4" t="s">
        <v>640</v>
      </c>
      <c r="V218" s="4" t="s">
        <v>642</v>
      </c>
      <c r="W218" s="7">
        <v>124.6</v>
      </c>
      <c r="X218" s="7">
        <v>122.4</v>
      </c>
      <c r="Y218" s="7">
        <v>12</v>
      </c>
      <c r="Z218" s="7">
        <v>11.2</v>
      </c>
      <c r="AA218" s="16">
        <v>72</v>
      </c>
      <c r="AB218" s="16">
        <v>76</v>
      </c>
      <c r="AC218" s="7">
        <f t="shared" si="269"/>
        <v>2.1999999999999886</v>
      </c>
      <c r="AD218" s="7">
        <f t="shared" si="270"/>
        <v>11.595936936041758</v>
      </c>
      <c r="AE218" s="7">
        <f t="shared" si="271"/>
        <v>0.18972162509456977</v>
      </c>
      <c r="AF218" s="12">
        <f t="shared" si="272"/>
        <v>0.1648283530640294</v>
      </c>
      <c r="AG218" s="12" t="s">
        <v>193</v>
      </c>
      <c r="AI218" s="12" t="s">
        <v>780</v>
      </c>
      <c r="AJ218" s="12" t="s">
        <v>348</v>
      </c>
      <c r="AK218" s="12"/>
      <c r="AL218" s="12"/>
      <c r="AM218" s="10" t="s">
        <v>722</v>
      </c>
      <c r="AN218" s="10" t="s">
        <v>193</v>
      </c>
    </row>
    <row r="219" spans="1:40" s="10" customFormat="1" x14ac:dyDescent="0.2">
      <c r="A219" s="10">
        <v>2005</v>
      </c>
      <c r="B219" s="10">
        <v>16148616</v>
      </c>
      <c r="C219" s="10" t="s">
        <v>107</v>
      </c>
      <c r="E219" s="10" t="s">
        <v>157</v>
      </c>
      <c r="F219" s="4" t="s">
        <v>108</v>
      </c>
      <c r="G219" s="4" t="s">
        <v>109</v>
      </c>
      <c r="H219" s="4" t="s">
        <v>109</v>
      </c>
      <c r="I219" s="4">
        <v>7</v>
      </c>
      <c r="J219" s="4" t="s">
        <v>821</v>
      </c>
      <c r="K219" s="4" t="s">
        <v>86</v>
      </c>
      <c r="L219" s="4" t="s">
        <v>412</v>
      </c>
      <c r="M219" s="10" t="s">
        <v>902</v>
      </c>
      <c r="N219" s="10" t="s">
        <v>766</v>
      </c>
      <c r="P219" s="10" t="s">
        <v>911</v>
      </c>
      <c r="Q219" s="10">
        <v>2</v>
      </c>
      <c r="R219" s="10">
        <v>148</v>
      </c>
      <c r="S219" s="10">
        <v>53</v>
      </c>
      <c r="T219" s="13">
        <v>66.3</v>
      </c>
      <c r="U219" s="4" t="s">
        <v>641</v>
      </c>
      <c r="V219" s="4" t="s">
        <v>642</v>
      </c>
      <c r="W219" s="7">
        <v>76</v>
      </c>
      <c r="X219" s="7">
        <v>74.400000000000006</v>
      </c>
      <c r="Y219" s="7">
        <v>8.6</v>
      </c>
      <c r="Z219" s="7">
        <v>7.3</v>
      </c>
      <c r="AA219" s="16">
        <v>72</v>
      </c>
      <c r="AB219" s="16">
        <v>76</v>
      </c>
      <c r="AC219" s="7">
        <f t="shared" si="269"/>
        <v>1.5999999999999943</v>
      </c>
      <c r="AD219" s="7">
        <f t="shared" si="270"/>
        <v>7.9587592823924815</v>
      </c>
      <c r="AE219" s="7">
        <f t="shared" si="271"/>
        <v>0.20103636047137971</v>
      </c>
      <c r="AF219" s="12">
        <f t="shared" si="272"/>
        <v>0.16487365731527082</v>
      </c>
      <c r="AG219" s="12" t="s">
        <v>193</v>
      </c>
      <c r="AI219" s="12" t="s">
        <v>780</v>
      </c>
      <c r="AJ219" s="12" t="s">
        <v>348</v>
      </c>
      <c r="AK219" s="12"/>
      <c r="AL219" s="12"/>
      <c r="AM219" s="10" t="s">
        <v>722</v>
      </c>
      <c r="AN219" s="10" t="s">
        <v>193</v>
      </c>
    </row>
    <row r="220" spans="1:40" s="10" customFormat="1" x14ac:dyDescent="0.2">
      <c r="A220" s="10">
        <v>2005</v>
      </c>
      <c r="B220" s="10">
        <v>16148616</v>
      </c>
      <c r="C220" s="10" t="s">
        <v>107</v>
      </c>
      <c r="E220" s="10" t="s">
        <v>157</v>
      </c>
      <c r="F220" s="4" t="s">
        <v>108</v>
      </c>
      <c r="G220" s="4" t="s">
        <v>109</v>
      </c>
      <c r="H220" s="4" t="s">
        <v>109</v>
      </c>
      <c r="I220" s="4">
        <v>7</v>
      </c>
      <c r="J220" s="4" t="s">
        <v>821</v>
      </c>
      <c r="K220" s="4" t="s">
        <v>86</v>
      </c>
      <c r="L220" s="4" t="s">
        <v>412</v>
      </c>
      <c r="M220" s="10" t="s">
        <v>902</v>
      </c>
      <c r="N220" s="10" t="s">
        <v>766</v>
      </c>
      <c r="P220" s="10" t="s">
        <v>911</v>
      </c>
      <c r="Q220" s="10">
        <v>2</v>
      </c>
      <c r="R220" s="10">
        <v>148</v>
      </c>
      <c r="S220" s="10">
        <v>53</v>
      </c>
      <c r="T220" s="13">
        <v>66.3</v>
      </c>
      <c r="U220" s="4" t="s">
        <v>822</v>
      </c>
      <c r="V220" s="4" t="s">
        <v>635</v>
      </c>
      <c r="W220" s="7">
        <v>9.3000000000000007</v>
      </c>
      <c r="X220" s="7">
        <v>15.7</v>
      </c>
      <c r="Y220" s="7">
        <v>8.4</v>
      </c>
      <c r="Z220" s="7">
        <v>6.3</v>
      </c>
      <c r="AA220" s="16">
        <v>72</v>
      </c>
      <c r="AB220" s="16">
        <v>76</v>
      </c>
      <c r="AC220" s="7">
        <f t="shared" si="265"/>
        <v>-6.3999999999999986</v>
      </c>
      <c r="AD220" s="7">
        <f t="shared" si="266"/>
        <v>7.3960883774919317</v>
      </c>
      <c r="AE220" s="7">
        <f t="shared" si="267"/>
        <v>-0.86532227217250834</v>
      </c>
      <c r="AF220" s="12">
        <f t="shared" si="268"/>
        <v>0.17197806455756728</v>
      </c>
      <c r="AG220" s="12" t="s">
        <v>157</v>
      </c>
      <c r="AI220" s="12" t="s">
        <v>780</v>
      </c>
      <c r="AJ220" s="12" t="s">
        <v>348</v>
      </c>
      <c r="AK220" s="12"/>
      <c r="AL220" s="12"/>
      <c r="AM220" s="10" t="s">
        <v>722</v>
      </c>
      <c r="AN220" s="10" t="s">
        <v>193</v>
      </c>
    </row>
    <row r="221" spans="1:40" s="10" customFormat="1" x14ac:dyDescent="0.2">
      <c r="A221" s="10">
        <v>2005</v>
      </c>
      <c r="B221" s="10">
        <v>16148616</v>
      </c>
      <c r="C221" s="10" t="s">
        <v>107</v>
      </c>
      <c r="E221" s="10" t="s">
        <v>157</v>
      </c>
      <c r="F221" s="4" t="s">
        <v>108</v>
      </c>
      <c r="G221" s="4" t="s">
        <v>109</v>
      </c>
      <c r="H221" s="4" t="s">
        <v>109</v>
      </c>
      <c r="I221" s="4">
        <v>7</v>
      </c>
      <c r="J221" s="4" t="s">
        <v>821</v>
      </c>
      <c r="K221" s="4" t="s">
        <v>86</v>
      </c>
      <c r="L221" s="4" t="s">
        <v>412</v>
      </c>
      <c r="M221" s="10" t="s">
        <v>902</v>
      </c>
      <c r="N221" s="10" t="s">
        <v>766</v>
      </c>
      <c r="P221" s="10" t="s">
        <v>911</v>
      </c>
      <c r="Q221" s="10">
        <v>2</v>
      </c>
      <c r="R221" s="10">
        <v>148</v>
      </c>
      <c r="S221" s="10">
        <v>53</v>
      </c>
      <c r="T221" s="13">
        <v>66.3</v>
      </c>
      <c r="U221" s="4" t="s">
        <v>823</v>
      </c>
      <c r="V221" s="4" t="s">
        <v>635</v>
      </c>
      <c r="W221" s="7">
        <v>10.199999999999999</v>
      </c>
      <c r="X221" s="7">
        <v>17.100000000000001</v>
      </c>
      <c r="Y221" s="7">
        <v>9.8000000000000007</v>
      </c>
      <c r="Z221" s="7">
        <v>8.1999999999999993</v>
      </c>
      <c r="AA221" s="16">
        <v>72</v>
      </c>
      <c r="AB221" s="16">
        <v>76</v>
      </c>
      <c r="AC221" s="7">
        <f t="shared" si="265"/>
        <v>-6.9000000000000021</v>
      </c>
      <c r="AD221" s="7">
        <f t="shared" si="266"/>
        <v>9.0136274302888069</v>
      </c>
      <c r="AE221" s="7">
        <f t="shared" si="267"/>
        <v>-0.76550756655569008</v>
      </c>
      <c r="AF221" s="7">
        <f t="shared" si="268"/>
        <v>0.17037170995485285</v>
      </c>
      <c r="AG221" s="12" t="s">
        <v>157</v>
      </c>
      <c r="AI221" s="12" t="s">
        <v>780</v>
      </c>
      <c r="AJ221" s="12" t="s">
        <v>348</v>
      </c>
      <c r="AK221" s="12"/>
      <c r="AL221" s="12"/>
      <c r="AM221" s="10" t="s">
        <v>722</v>
      </c>
      <c r="AN221" s="10" t="s">
        <v>193</v>
      </c>
    </row>
    <row r="222" spans="1:40" s="10" customFormat="1" x14ac:dyDescent="0.2">
      <c r="A222" s="4">
        <v>2005</v>
      </c>
      <c r="B222" s="43">
        <v>16087788</v>
      </c>
      <c r="C222" s="4" t="s">
        <v>113</v>
      </c>
      <c r="D222" s="4" t="s">
        <v>908</v>
      </c>
      <c r="E222" s="4" t="s">
        <v>157</v>
      </c>
      <c r="F222" s="4" t="s">
        <v>66</v>
      </c>
      <c r="G222" s="4" t="s">
        <v>66</v>
      </c>
      <c r="H222" s="4" t="s">
        <v>66</v>
      </c>
      <c r="I222" s="4">
        <v>1</v>
      </c>
      <c r="J222" s="4" t="s">
        <v>912</v>
      </c>
      <c r="K222" s="4" t="s">
        <v>86</v>
      </c>
      <c r="L222" s="4" t="s">
        <v>412</v>
      </c>
      <c r="M222" s="10" t="s">
        <v>902</v>
      </c>
      <c r="N222" s="10" t="s">
        <v>766</v>
      </c>
      <c r="P222" s="10" t="s">
        <v>911</v>
      </c>
      <c r="Q222" s="10">
        <v>2</v>
      </c>
      <c r="R222" s="10">
        <v>257</v>
      </c>
      <c r="S222" s="10">
        <v>44.6</v>
      </c>
      <c r="T222" s="13">
        <v>62</v>
      </c>
      <c r="U222" s="4" t="s">
        <v>637</v>
      </c>
      <c r="V222" s="4" t="s">
        <v>635</v>
      </c>
      <c r="W222" s="7">
        <v>115</v>
      </c>
      <c r="X222" s="7">
        <v>107.4</v>
      </c>
      <c r="Y222" s="7">
        <v>9.6</v>
      </c>
      <c r="Z222" s="7">
        <v>7.6</v>
      </c>
      <c r="AA222" s="16">
        <v>126</v>
      </c>
      <c r="AB222" s="16">
        <v>131</v>
      </c>
      <c r="AC222" s="7">
        <f t="shared" ref="AC222:AC225" si="273">W222-X222</f>
        <v>7.5999999999999943</v>
      </c>
      <c r="AD222" s="7">
        <f t="shared" ref="AD222:AD225" si="274">SQRT(((AA222-1)*Y222^2+(AB222-1)*Z222^2)/(AA222+AB222-2))</f>
        <v>8.6384457570814916</v>
      </c>
      <c r="AE222" s="7">
        <f t="shared" ref="AE222:AE225" si="275">AC222/AD222</f>
        <v>0.8797878939935212</v>
      </c>
      <c r="AF222" s="7">
        <f t="shared" ref="AF222:AF225" si="276">SQRT(((AA222+AB222)/(AA222*AB222)+(AE222^2/(2*(AA222+AB222)))))</f>
        <v>0.1306751097910791</v>
      </c>
      <c r="AG222" s="7" t="s">
        <v>193</v>
      </c>
      <c r="AH222" s="4"/>
      <c r="AI222" s="12" t="s">
        <v>780</v>
      </c>
      <c r="AJ222" s="4" t="s">
        <v>348</v>
      </c>
      <c r="AK222" s="4"/>
      <c r="AL222" s="4"/>
      <c r="AM222" s="4" t="s">
        <v>722</v>
      </c>
      <c r="AN222" s="10" t="s">
        <v>193</v>
      </c>
    </row>
    <row r="223" spans="1:40" s="10" customFormat="1" x14ac:dyDescent="0.2">
      <c r="A223" s="4">
        <v>2005</v>
      </c>
      <c r="B223" s="10">
        <v>16087788</v>
      </c>
      <c r="C223" s="4" t="s">
        <v>113</v>
      </c>
      <c r="D223" s="4" t="s">
        <v>908</v>
      </c>
      <c r="E223" s="4" t="s">
        <v>157</v>
      </c>
      <c r="F223" s="4" t="s">
        <v>66</v>
      </c>
      <c r="G223" s="4" t="s">
        <v>66</v>
      </c>
      <c r="H223" s="4" t="s">
        <v>66</v>
      </c>
      <c r="I223" s="4">
        <v>1</v>
      </c>
      <c r="J223" s="4" t="s">
        <v>912</v>
      </c>
      <c r="K223" s="4" t="s">
        <v>86</v>
      </c>
      <c r="L223" s="4" t="s">
        <v>412</v>
      </c>
      <c r="M223" s="10" t="s">
        <v>902</v>
      </c>
      <c r="N223" s="10" t="s">
        <v>766</v>
      </c>
      <c r="P223" s="10" t="s">
        <v>911</v>
      </c>
      <c r="Q223" s="10">
        <v>2</v>
      </c>
      <c r="R223" s="10">
        <v>257</v>
      </c>
      <c r="S223" s="10">
        <v>44.6</v>
      </c>
      <c r="T223" s="13">
        <v>62</v>
      </c>
      <c r="U223" s="4" t="s">
        <v>638</v>
      </c>
      <c r="V223" s="4" t="s">
        <v>635</v>
      </c>
      <c r="W223" s="7">
        <v>68.2</v>
      </c>
      <c r="X223" s="7">
        <v>63.4</v>
      </c>
      <c r="Y223" s="7">
        <v>5.6</v>
      </c>
      <c r="Z223" s="7">
        <v>7</v>
      </c>
      <c r="AA223" s="16">
        <v>126</v>
      </c>
      <c r="AB223" s="16">
        <v>131</v>
      </c>
      <c r="AC223" s="7">
        <f t="shared" si="273"/>
        <v>4.8000000000000043</v>
      </c>
      <c r="AD223" s="7">
        <f t="shared" si="274"/>
        <v>6.3523964908112109</v>
      </c>
      <c r="AE223" s="7">
        <f t="shared" si="275"/>
        <v>0.75562034059795236</v>
      </c>
      <c r="AF223" s="7">
        <f t="shared" si="276"/>
        <v>0.12915462410340381</v>
      </c>
      <c r="AG223" s="7" t="s">
        <v>193</v>
      </c>
      <c r="AH223" s="12"/>
      <c r="AI223" s="12" t="s">
        <v>780</v>
      </c>
      <c r="AJ223" s="12" t="s">
        <v>348</v>
      </c>
      <c r="AK223" s="12"/>
      <c r="AL223" s="12"/>
      <c r="AM223" s="4" t="s">
        <v>722</v>
      </c>
      <c r="AN223" s="10" t="s">
        <v>193</v>
      </c>
    </row>
    <row r="224" spans="1:40" s="10" customFormat="1" x14ac:dyDescent="0.2">
      <c r="A224" s="4">
        <v>2005</v>
      </c>
      <c r="B224" s="10">
        <v>16087788</v>
      </c>
      <c r="C224" s="4" t="s">
        <v>113</v>
      </c>
      <c r="D224" s="4" t="s">
        <v>908</v>
      </c>
      <c r="E224" s="4" t="s">
        <v>157</v>
      </c>
      <c r="F224" s="4" t="s">
        <v>66</v>
      </c>
      <c r="G224" s="4" t="s">
        <v>66</v>
      </c>
      <c r="H224" s="4" t="s">
        <v>66</v>
      </c>
      <c r="I224" s="4">
        <v>1</v>
      </c>
      <c r="J224" s="4" t="s">
        <v>912</v>
      </c>
      <c r="K224" s="4" t="s">
        <v>86</v>
      </c>
      <c r="L224" s="4" t="s">
        <v>412</v>
      </c>
      <c r="M224" s="10" t="s">
        <v>902</v>
      </c>
      <c r="N224" s="10" t="s">
        <v>766</v>
      </c>
      <c r="P224" s="10" t="s">
        <v>911</v>
      </c>
      <c r="Q224" s="10">
        <v>2</v>
      </c>
      <c r="R224" s="10">
        <v>257</v>
      </c>
      <c r="S224" s="10">
        <v>44.6</v>
      </c>
      <c r="T224" s="13">
        <v>62</v>
      </c>
      <c r="U224" s="4" t="s">
        <v>644</v>
      </c>
      <c r="V224" s="4" t="s">
        <v>635</v>
      </c>
      <c r="W224" s="7">
        <v>130.5</v>
      </c>
      <c r="X224" s="7">
        <v>123</v>
      </c>
      <c r="Y224" s="7">
        <v>8.6999999999999993</v>
      </c>
      <c r="Z224" s="7">
        <v>7.6</v>
      </c>
      <c r="AA224" s="16">
        <v>126</v>
      </c>
      <c r="AB224" s="16">
        <v>131</v>
      </c>
      <c r="AC224" s="7">
        <f t="shared" si="273"/>
        <v>7.5</v>
      </c>
      <c r="AD224" s="7">
        <f t="shared" si="274"/>
        <v>8.1577702643721537</v>
      </c>
      <c r="AE224" s="7">
        <f t="shared" si="275"/>
        <v>0.91936886636231141</v>
      </c>
      <c r="AF224" s="7">
        <f t="shared" si="276"/>
        <v>0.1312041531113069</v>
      </c>
      <c r="AG224" s="7" t="s">
        <v>193</v>
      </c>
      <c r="AH224" s="12" t="s">
        <v>193</v>
      </c>
      <c r="AI224" s="12" t="s">
        <v>780</v>
      </c>
      <c r="AJ224" s="12" t="s">
        <v>348</v>
      </c>
      <c r="AK224" s="12"/>
      <c r="AL224" s="12"/>
      <c r="AM224" s="4" t="s">
        <v>722</v>
      </c>
      <c r="AN224" s="10" t="s">
        <v>193</v>
      </c>
    </row>
    <row r="225" spans="1:40" s="10" customFormat="1" x14ac:dyDescent="0.2">
      <c r="A225" s="4">
        <v>2005</v>
      </c>
      <c r="B225" s="10">
        <v>16087788</v>
      </c>
      <c r="C225" s="4" t="s">
        <v>113</v>
      </c>
      <c r="D225" s="4" t="s">
        <v>908</v>
      </c>
      <c r="E225" s="4" t="s">
        <v>157</v>
      </c>
      <c r="F225" s="4" t="s">
        <v>66</v>
      </c>
      <c r="G225" s="4" t="s">
        <v>66</v>
      </c>
      <c r="H225" s="4" t="s">
        <v>66</v>
      </c>
      <c r="I225" s="4">
        <v>1</v>
      </c>
      <c r="J225" s="4" t="s">
        <v>912</v>
      </c>
      <c r="K225" s="4" t="s">
        <v>86</v>
      </c>
      <c r="L225" s="4" t="s">
        <v>412</v>
      </c>
      <c r="M225" s="10" t="s">
        <v>902</v>
      </c>
      <c r="N225" s="10" t="s">
        <v>766</v>
      </c>
      <c r="P225" s="10" t="s">
        <v>911</v>
      </c>
      <c r="Q225" s="10">
        <v>2</v>
      </c>
      <c r="R225" s="10">
        <v>257</v>
      </c>
      <c r="S225" s="10">
        <v>44.6</v>
      </c>
      <c r="T225" s="13">
        <v>62</v>
      </c>
      <c r="U225" s="4" t="s">
        <v>645</v>
      </c>
      <c r="V225" s="4" t="s">
        <v>635</v>
      </c>
      <c r="W225" s="7">
        <v>82.3</v>
      </c>
      <c r="X225" s="7">
        <v>77.599999999999994</v>
      </c>
      <c r="Y225" s="7">
        <v>6.3</v>
      </c>
      <c r="Z225" s="7">
        <v>8.1999999999999993</v>
      </c>
      <c r="AA225" s="16">
        <v>126</v>
      </c>
      <c r="AB225" s="16">
        <v>131</v>
      </c>
      <c r="AC225" s="7">
        <f t="shared" si="273"/>
        <v>4.7000000000000028</v>
      </c>
      <c r="AD225" s="7">
        <f t="shared" si="274"/>
        <v>7.3304227735660428</v>
      </c>
      <c r="AE225" s="7">
        <f t="shared" si="275"/>
        <v>0.64116356521052142</v>
      </c>
      <c r="AF225" s="7">
        <f t="shared" si="276"/>
        <v>0.12794484401731354</v>
      </c>
      <c r="AG225" s="7" t="s">
        <v>193</v>
      </c>
      <c r="AH225" s="12"/>
      <c r="AI225" s="12" t="s">
        <v>780</v>
      </c>
      <c r="AJ225" s="12" t="s">
        <v>348</v>
      </c>
      <c r="AK225" s="12"/>
      <c r="AL225" s="12"/>
      <c r="AM225" s="4" t="s">
        <v>722</v>
      </c>
      <c r="AN225" s="10" t="s">
        <v>193</v>
      </c>
    </row>
    <row r="226" spans="1:40" s="10" customFormat="1" x14ac:dyDescent="0.2">
      <c r="A226" s="4">
        <v>2005</v>
      </c>
      <c r="B226" s="10">
        <v>16087788</v>
      </c>
      <c r="C226" s="4" t="s">
        <v>113</v>
      </c>
      <c r="D226" s="4" t="s">
        <v>908</v>
      </c>
      <c r="E226" s="4" t="s">
        <v>157</v>
      </c>
      <c r="F226" s="4" t="s">
        <v>66</v>
      </c>
      <c r="G226" s="4" t="s">
        <v>66</v>
      </c>
      <c r="H226" s="4" t="s">
        <v>66</v>
      </c>
      <c r="I226" s="4">
        <v>1</v>
      </c>
      <c r="J226" s="4" t="s">
        <v>912</v>
      </c>
      <c r="K226" s="4" t="s">
        <v>86</v>
      </c>
      <c r="L226" s="4" t="s">
        <v>412</v>
      </c>
      <c r="M226" s="10" t="s">
        <v>902</v>
      </c>
      <c r="N226" s="10" t="s">
        <v>766</v>
      </c>
      <c r="P226" s="10" t="s">
        <v>911</v>
      </c>
      <c r="Q226" s="10">
        <v>2</v>
      </c>
      <c r="R226" s="10">
        <v>257</v>
      </c>
      <c r="S226" s="10">
        <v>44.6</v>
      </c>
      <c r="T226" s="13">
        <v>62</v>
      </c>
      <c r="U226" s="4" t="s">
        <v>640</v>
      </c>
      <c r="V226" s="4" t="s">
        <v>635</v>
      </c>
      <c r="W226" s="7">
        <v>125.7</v>
      </c>
      <c r="X226" s="7">
        <v>118.1</v>
      </c>
      <c r="Y226" s="7">
        <v>8.4</v>
      </c>
      <c r="Z226" s="7">
        <v>7</v>
      </c>
      <c r="AA226" s="16">
        <v>126</v>
      </c>
      <c r="AB226" s="16">
        <v>131</v>
      </c>
      <c r="AC226" s="7">
        <f t="shared" ref="AC226:AC228" si="277">W226-X226</f>
        <v>7.6000000000000085</v>
      </c>
      <c r="AD226" s="7">
        <f t="shared" ref="AD226:AD228" si="278">SQRT(((AA226-1)*Y226^2+(AB226-1)*Z226^2)/(AA226+AB226-2))</f>
        <v>7.7180714852209285</v>
      </c>
      <c r="AE226" s="7">
        <f t="shared" ref="AE226:AE228" si="279">AC226/AD226</f>
        <v>0.98470194459237503</v>
      </c>
      <c r="AF226" s="7">
        <f t="shared" ref="AF226:AF228" si="280">SQRT(((AA226+AB226)/(AA226*AB226)+(AE226^2/(2*(AA226+AB226)))))</f>
        <v>0.13212324102681167</v>
      </c>
      <c r="AG226" s="7" t="s">
        <v>193</v>
      </c>
      <c r="AH226" s="12"/>
      <c r="AI226" s="12" t="s">
        <v>780</v>
      </c>
      <c r="AJ226" s="12" t="s">
        <v>348</v>
      </c>
      <c r="AK226" s="12"/>
      <c r="AL226" s="12"/>
      <c r="AM226" s="4" t="s">
        <v>722</v>
      </c>
      <c r="AN226" s="10" t="s">
        <v>193</v>
      </c>
    </row>
    <row r="227" spans="1:40" s="10" customFormat="1" x14ac:dyDescent="0.2">
      <c r="A227" s="4">
        <v>2005</v>
      </c>
      <c r="B227" s="10">
        <v>16087788</v>
      </c>
      <c r="C227" s="4" t="s">
        <v>113</v>
      </c>
      <c r="D227" s="4" t="s">
        <v>908</v>
      </c>
      <c r="E227" s="4" t="s">
        <v>157</v>
      </c>
      <c r="F227" s="4" t="s">
        <v>66</v>
      </c>
      <c r="G227" s="4" t="s">
        <v>66</v>
      </c>
      <c r="H227" s="4" t="s">
        <v>66</v>
      </c>
      <c r="I227" s="4">
        <v>1</v>
      </c>
      <c r="J227" s="4" t="s">
        <v>912</v>
      </c>
      <c r="K227" s="4" t="s">
        <v>86</v>
      </c>
      <c r="L227" s="4" t="s">
        <v>412</v>
      </c>
      <c r="M227" s="10" t="s">
        <v>902</v>
      </c>
      <c r="N227" s="10" t="s">
        <v>766</v>
      </c>
      <c r="P227" s="10" t="s">
        <v>911</v>
      </c>
      <c r="Q227" s="10">
        <v>2</v>
      </c>
      <c r="R227" s="10">
        <v>257</v>
      </c>
      <c r="S227" s="10">
        <v>44.6</v>
      </c>
      <c r="T227" s="13">
        <v>62</v>
      </c>
      <c r="U227" s="4" t="s">
        <v>641</v>
      </c>
      <c r="V227" s="4" t="s">
        <v>635</v>
      </c>
      <c r="W227" s="7">
        <v>78.599999999999994</v>
      </c>
      <c r="X227" s="7">
        <v>73.099999999999994</v>
      </c>
      <c r="Y227" s="7">
        <v>5.5</v>
      </c>
      <c r="Z227" s="7">
        <v>7.4</v>
      </c>
      <c r="AA227" s="16">
        <v>126</v>
      </c>
      <c r="AB227" s="16">
        <v>131</v>
      </c>
      <c r="AC227" s="7">
        <f t="shared" si="277"/>
        <v>5.5</v>
      </c>
      <c r="AD227" s="7">
        <f t="shared" si="278"/>
        <v>6.537988537589146</v>
      </c>
      <c r="AE227" s="7">
        <f t="shared" si="279"/>
        <v>0.8412373267983887</v>
      </c>
      <c r="AF227" s="7">
        <f t="shared" si="280"/>
        <v>0.13018028087315225</v>
      </c>
      <c r="AG227" s="7" t="s">
        <v>193</v>
      </c>
      <c r="AH227" s="12"/>
      <c r="AI227" s="12" t="s">
        <v>780</v>
      </c>
      <c r="AJ227" s="12" t="s">
        <v>348</v>
      </c>
      <c r="AK227" s="12"/>
      <c r="AL227" s="12"/>
      <c r="AM227" s="4" t="s">
        <v>722</v>
      </c>
      <c r="AN227" s="10" t="s">
        <v>193</v>
      </c>
    </row>
    <row r="228" spans="1:40" s="10" customFormat="1" x14ac:dyDescent="0.2">
      <c r="A228" s="4">
        <v>2003</v>
      </c>
      <c r="B228" s="25">
        <v>14618095</v>
      </c>
      <c r="C228" s="4" t="s">
        <v>99</v>
      </c>
      <c r="D228" s="4"/>
      <c r="E228" s="4" t="s">
        <v>157</v>
      </c>
      <c r="F228" s="4" t="s">
        <v>97</v>
      </c>
      <c r="G228" s="4" t="s">
        <v>1100</v>
      </c>
      <c r="H228" s="4" t="s">
        <v>1100</v>
      </c>
      <c r="I228" s="4">
        <v>40</v>
      </c>
      <c r="J228" s="4" t="s">
        <v>846</v>
      </c>
      <c r="K228" s="4" t="s">
        <v>86</v>
      </c>
      <c r="L228" s="4" t="s">
        <v>412</v>
      </c>
      <c r="M228" s="10" t="s">
        <v>903</v>
      </c>
      <c r="N228" s="10" t="s">
        <v>766</v>
      </c>
      <c r="P228" s="10" t="s">
        <v>809</v>
      </c>
      <c r="Q228" s="10">
        <v>2</v>
      </c>
      <c r="R228" s="10">
        <v>62</v>
      </c>
      <c r="S228" s="10">
        <v>57.5</v>
      </c>
      <c r="T228" s="13">
        <v>27</v>
      </c>
      <c r="U228" s="4" t="s">
        <v>640</v>
      </c>
      <c r="V228" s="4" t="s">
        <v>642</v>
      </c>
      <c r="W228" s="7">
        <v>118</v>
      </c>
      <c r="X228" s="7">
        <v>117.3</v>
      </c>
      <c r="Y228" s="7">
        <v>9.4</v>
      </c>
      <c r="Z228" s="7">
        <v>10.1</v>
      </c>
      <c r="AA228" s="16">
        <v>62</v>
      </c>
      <c r="AB228" s="16">
        <v>62</v>
      </c>
      <c r="AC228" s="7">
        <f t="shared" si="277"/>
        <v>0.70000000000000284</v>
      </c>
      <c r="AD228" s="7">
        <f t="shared" si="278"/>
        <v>9.7562800287814611</v>
      </c>
      <c r="AE228" s="7">
        <f t="shared" si="279"/>
        <v>7.1748658088428341E-2</v>
      </c>
      <c r="AF228" s="7">
        <f t="shared" si="280"/>
        <v>0.1796630792795213</v>
      </c>
      <c r="AG228" s="7" t="s">
        <v>193</v>
      </c>
      <c r="AH228" s="12"/>
      <c r="AI228" s="12" t="s">
        <v>780</v>
      </c>
      <c r="AJ228" s="12" t="s">
        <v>348</v>
      </c>
      <c r="AK228" s="12"/>
      <c r="AL228" s="12"/>
      <c r="AM228" s="4" t="s">
        <v>723</v>
      </c>
      <c r="AN228" s="10" t="s">
        <v>157</v>
      </c>
    </row>
    <row r="229" spans="1:40" s="10" customFormat="1" x14ac:dyDescent="0.2">
      <c r="A229" s="4">
        <v>2003</v>
      </c>
      <c r="B229" s="6">
        <v>14618095</v>
      </c>
      <c r="C229" s="4" t="s">
        <v>99</v>
      </c>
      <c r="D229" s="4"/>
      <c r="E229" s="4" t="s">
        <v>157</v>
      </c>
      <c r="F229" s="4" t="s">
        <v>97</v>
      </c>
      <c r="G229" s="4" t="s">
        <v>1100</v>
      </c>
      <c r="H229" s="4" t="s">
        <v>1100</v>
      </c>
      <c r="I229" s="4">
        <v>40</v>
      </c>
      <c r="J229" s="4" t="s">
        <v>846</v>
      </c>
      <c r="K229" s="4" t="s">
        <v>86</v>
      </c>
      <c r="L229" s="4" t="s">
        <v>412</v>
      </c>
      <c r="M229" s="10" t="s">
        <v>903</v>
      </c>
      <c r="N229" s="10" t="s">
        <v>766</v>
      </c>
      <c r="P229" s="10" t="s">
        <v>809</v>
      </c>
      <c r="Q229" s="10">
        <v>2</v>
      </c>
      <c r="R229" s="10">
        <v>62</v>
      </c>
      <c r="S229" s="10">
        <v>57.5</v>
      </c>
      <c r="T229" s="13">
        <v>27</v>
      </c>
      <c r="U229" s="4" t="s">
        <v>641</v>
      </c>
      <c r="V229" s="4" t="s">
        <v>642</v>
      </c>
      <c r="W229" s="7">
        <v>73.8</v>
      </c>
      <c r="X229" s="7">
        <v>74</v>
      </c>
      <c r="Y229" s="7">
        <v>6.2</v>
      </c>
      <c r="Z229" s="7">
        <v>8.1</v>
      </c>
      <c r="AA229" s="16">
        <v>62</v>
      </c>
      <c r="AB229" s="16">
        <v>62</v>
      </c>
      <c r="AC229" s="7">
        <f t="shared" ref="AC229:AC256" si="281">W229-X229</f>
        <v>-0.20000000000000284</v>
      </c>
      <c r="AD229" s="7">
        <f t="shared" ref="AD229:AD256" si="282">SQRT(((AA229-1)*Y229^2+(AB229-1)*Z229^2)/(AA229+AB229-2))</f>
        <v>7.2128357807453236</v>
      </c>
      <c r="AE229" s="7">
        <f t="shared" ref="AE229:AE256" si="283">AC229/AD229</f>
        <v>-2.7728345144624415E-2</v>
      </c>
      <c r="AF229" s="7">
        <f t="shared" ref="AF229:AF256" si="284">SQRT(((AA229+AB229)/(AA229*AB229)+(AE229^2/(2*(AA229+AB229)))))</f>
        <v>0.17961393254032001</v>
      </c>
      <c r="AG229" s="7" t="s">
        <v>193</v>
      </c>
      <c r="AH229" s="12"/>
      <c r="AI229" s="12" t="s">
        <v>780</v>
      </c>
      <c r="AJ229" s="12" t="s">
        <v>328</v>
      </c>
      <c r="AK229" s="12"/>
      <c r="AL229" s="12"/>
      <c r="AM229" s="4" t="s">
        <v>723</v>
      </c>
      <c r="AN229" s="10" t="s">
        <v>157</v>
      </c>
    </row>
    <row r="230" spans="1:40" s="10" customFormat="1" x14ac:dyDescent="0.2">
      <c r="A230" s="4">
        <v>2003</v>
      </c>
      <c r="B230" s="6">
        <v>14618095</v>
      </c>
      <c r="C230" s="4" t="s">
        <v>99</v>
      </c>
      <c r="D230" s="4"/>
      <c r="E230" s="4" t="s">
        <v>157</v>
      </c>
      <c r="F230" s="4" t="s">
        <v>97</v>
      </c>
      <c r="G230" s="4" t="s">
        <v>1100</v>
      </c>
      <c r="H230" s="4" t="s">
        <v>1100</v>
      </c>
      <c r="I230" s="4">
        <v>40</v>
      </c>
      <c r="J230" s="4" t="s">
        <v>846</v>
      </c>
      <c r="K230" s="4" t="s">
        <v>86</v>
      </c>
      <c r="L230" s="4" t="s">
        <v>412</v>
      </c>
      <c r="M230" s="10" t="s">
        <v>903</v>
      </c>
      <c r="N230" s="10" t="s">
        <v>766</v>
      </c>
      <c r="P230" s="10" t="s">
        <v>809</v>
      </c>
      <c r="Q230" s="10">
        <v>2</v>
      </c>
      <c r="R230" s="10">
        <v>62</v>
      </c>
      <c r="S230" s="10">
        <v>57.5</v>
      </c>
      <c r="T230" s="13">
        <v>27</v>
      </c>
      <c r="U230" s="4" t="s">
        <v>644</v>
      </c>
      <c r="V230" s="4" t="s">
        <v>642</v>
      </c>
      <c r="W230" s="7">
        <v>121.3</v>
      </c>
      <c r="X230" s="7">
        <v>119.5</v>
      </c>
      <c r="Y230" s="7">
        <v>10.4</v>
      </c>
      <c r="Z230" s="7">
        <v>11</v>
      </c>
      <c r="AA230" s="16">
        <v>62</v>
      </c>
      <c r="AB230" s="16">
        <v>62</v>
      </c>
      <c r="AC230" s="7">
        <f t="shared" si="281"/>
        <v>1.7999999999999972</v>
      </c>
      <c r="AD230" s="7">
        <f t="shared" si="282"/>
        <v>10.70420478129973</v>
      </c>
      <c r="AE230" s="7">
        <f t="shared" si="283"/>
        <v>0.16815821789439242</v>
      </c>
      <c r="AF230" s="7">
        <f t="shared" si="284"/>
        <v>0.17992244281469985</v>
      </c>
      <c r="AG230" s="7" t="s">
        <v>193</v>
      </c>
      <c r="AH230" s="12"/>
      <c r="AI230" s="12" t="s">
        <v>780</v>
      </c>
      <c r="AJ230" s="12" t="s">
        <v>348</v>
      </c>
      <c r="AK230" s="12"/>
      <c r="AL230" s="12"/>
      <c r="AM230" s="4" t="s">
        <v>723</v>
      </c>
      <c r="AN230" s="10" t="s">
        <v>157</v>
      </c>
    </row>
    <row r="231" spans="1:40" s="10" customFormat="1" x14ac:dyDescent="0.2">
      <c r="A231" s="4">
        <v>2003</v>
      </c>
      <c r="B231" s="6">
        <v>14618095</v>
      </c>
      <c r="C231" s="4" t="s">
        <v>99</v>
      </c>
      <c r="D231" s="4"/>
      <c r="E231" s="4" t="s">
        <v>157</v>
      </c>
      <c r="F231" s="4" t="s">
        <v>97</v>
      </c>
      <c r="G231" s="4" t="s">
        <v>1100</v>
      </c>
      <c r="H231" s="4" t="s">
        <v>1100</v>
      </c>
      <c r="I231" s="4">
        <v>40</v>
      </c>
      <c r="J231" s="4" t="s">
        <v>846</v>
      </c>
      <c r="K231" s="4" t="s">
        <v>86</v>
      </c>
      <c r="L231" s="4" t="s">
        <v>412</v>
      </c>
      <c r="M231" s="10" t="s">
        <v>903</v>
      </c>
      <c r="N231" s="10" t="s">
        <v>766</v>
      </c>
      <c r="P231" s="10" t="s">
        <v>809</v>
      </c>
      <c r="Q231" s="10">
        <v>2</v>
      </c>
      <c r="R231" s="10">
        <v>62</v>
      </c>
      <c r="S231" s="10">
        <v>57.5</v>
      </c>
      <c r="T231" s="13">
        <v>27</v>
      </c>
      <c r="U231" s="4" t="s">
        <v>645</v>
      </c>
      <c r="V231" s="4" t="s">
        <v>642</v>
      </c>
      <c r="W231" s="7">
        <v>76.3</v>
      </c>
      <c r="X231" s="7">
        <v>75.8</v>
      </c>
      <c r="Y231" s="7">
        <v>6.7</v>
      </c>
      <c r="Z231" s="7">
        <v>8.5</v>
      </c>
      <c r="AA231" s="16">
        <v>62</v>
      </c>
      <c r="AB231" s="16">
        <v>62</v>
      </c>
      <c r="AC231" s="7">
        <f t="shared" si="281"/>
        <v>0.5</v>
      </c>
      <c r="AD231" s="7">
        <f t="shared" si="282"/>
        <v>7.6531039454589926</v>
      </c>
      <c r="AE231" s="7">
        <f t="shared" si="283"/>
        <v>6.5332968631201915E-2</v>
      </c>
      <c r="AF231" s="7">
        <f t="shared" si="284"/>
        <v>0.17965320980574973</v>
      </c>
      <c r="AG231" s="7" t="s">
        <v>193</v>
      </c>
      <c r="AH231" s="12"/>
      <c r="AI231" s="12" t="s">
        <v>780</v>
      </c>
      <c r="AJ231" s="12" t="s">
        <v>348</v>
      </c>
      <c r="AK231" s="12"/>
      <c r="AL231" s="12"/>
      <c r="AM231" s="4" t="s">
        <v>723</v>
      </c>
      <c r="AN231" s="10" t="s">
        <v>157</v>
      </c>
    </row>
    <row r="232" spans="1:40" s="10" customFormat="1" x14ac:dyDescent="0.2">
      <c r="A232" s="4">
        <v>2003</v>
      </c>
      <c r="B232" s="6">
        <v>14618095</v>
      </c>
      <c r="C232" s="4" t="s">
        <v>99</v>
      </c>
      <c r="D232" s="4"/>
      <c r="E232" s="4" t="s">
        <v>157</v>
      </c>
      <c r="F232" s="4" t="s">
        <v>97</v>
      </c>
      <c r="G232" s="4" t="s">
        <v>1100</v>
      </c>
      <c r="H232" s="4" t="s">
        <v>1100</v>
      </c>
      <c r="I232" s="4">
        <v>40</v>
      </c>
      <c r="J232" s="4" t="s">
        <v>846</v>
      </c>
      <c r="K232" s="4" t="s">
        <v>86</v>
      </c>
      <c r="L232" s="4" t="s">
        <v>412</v>
      </c>
      <c r="M232" s="10" t="s">
        <v>903</v>
      </c>
      <c r="N232" s="10" t="s">
        <v>766</v>
      </c>
      <c r="P232" s="10" t="s">
        <v>809</v>
      </c>
      <c r="Q232" s="10">
        <v>2</v>
      </c>
      <c r="R232" s="10">
        <v>62</v>
      </c>
      <c r="S232" s="10">
        <v>57.5</v>
      </c>
      <c r="T232" s="13">
        <v>27</v>
      </c>
      <c r="U232" s="4" t="s">
        <v>637</v>
      </c>
      <c r="V232" s="4" t="s">
        <v>642</v>
      </c>
      <c r="W232" s="7">
        <v>111.5</v>
      </c>
      <c r="X232" s="7">
        <v>112.8</v>
      </c>
      <c r="Y232" s="7">
        <v>8.6</v>
      </c>
      <c r="Z232" s="7">
        <v>10.5</v>
      </c>
      <c r="AA232" s="16">
        <v>62</v>
      </c>
      <c r="AB232" s="16">
        <v>62</v>
      </c>
      <c r="AC232" s="7">
        <f t="shared" si="281"/>
        <v>-1.2999999999999972</v>
      </c>
      <c r="AD232" s="7">
        <f t="shared" si="282"/>
        <v>9.5971349891517104</v>
      </c>
      <c r="AE232" s="7">
        <f t="shared" si="283"/>
        <v>-0.13545709229571898</v>
      </c>
      <c r="AF232" s="7">
        <f t="shared" si="284"/>
        <v>0.17981115344336657</v>
      </c>
      <c r="AG232" s="7" t="s">
        <v>193</v>
      </c>
      <c r="AH232" s="12"/>
      <c r="AI232" s="12" t="s">
        <v>780</v>
      </c>
      <c r="AJ232" s="12" t="s">
        <v>328</v>
      </c>
      <c r="AK232" s="12"/>
      <c r="AL232" s="12"/>
      <c r="AM232" s="4" t="s">
        <v>723</v>
      </c>
      <c r="AN232" s="10" t="s">
        <v>157</v>
      </c>
    </row>
    <row r="233" spans="1:40" s="10" customFormat="1" x14ac:dyDescent="0.2">
      <c r="A233" s="4">
        <v>2003</v>
      </c>
      <c r="B233" s="6">
        <v>14618095</v>
      </c>
      <c r="C233" s="4" t="s">
        <v>99</v>
      </c>
      <c r="D233" s="4"/>
      <c r="E233" s="4" t="s">
        <v>157</v>
      </c>
      <c r="F233" s="4" t="s">
        <v>97</v>
      </c>
      <c r="G233" s="4" t="s">
        <v>1100</v>
      </c>
      <c r="H233" s="4" t="s">
        <v>1100</v>
      </c>
      <c r="I233" s="4">
        <v>40</v>
      </c>
      <c r="J233" s="4" t="s">
        <v>846</v>
      </c>
      <c r="K233" s="4" t="s">
        <v>86</v>
      </c>
      <c r="L233" s="4" t="s">
        <v>412</v>
      </c>
      <c r="M233" s="10" t="s">
        <v>903</v>
      </c>
      <c r="N233" s="10" t="s">
        <v>766</v>
      </c>
      <c r="P233" s="10" t="s">
        <v>809</v>
      </c>
      <c r="Q233" s="10">
        <v>2</v>
      </c>
      <c r="R233" s="10">
        <v>62</v>
      </c>
      <c r="S233" s="10">
        <v>57.5</v>
      </c>
      <c r="T233" s="13">
        <v>27</v>
      </c>
      <c r="U233" s="4" t="s">
        <v>638</v>
      </c>
      <c r="V233" s="4" t="s">
        <v>642</v>
      </c>
      <c r="W233" s="7">
        <v>68.900000000000006</v>
      </c>
      <c r="X233" s="7">
        <v>70.3</v>
      </c>
      <c r="Y233" s="7">
        <v>6.7</v>
      </c>
      <c r="Z233" s="7">
        <v>8.4</v>
      </c>
      <c r="AA233" s="16">
        <v>62</v>
      </c>
      <c r="AB233" s="16">
        <v>62</v>
      </c>
      <c r="AC233" s="7">
        <f t="shared" si="281"/>
        <v>-1.3999999999999915</v>
      </c>
      <c r="AD233" s="7">
        <f t="shared" si="282"/>
        <v>7.5976970194921565</v>
      </c>
      <c r="AE233" s="7">
        <f t="shared" si="283"/>
        <v>-0.18426636340041497</v>
      </c>
      <c r="AF233" s="7">
        <f t="shared" si="284"/>
        <v>0.17998604440390531</v>
      </c>
      <c r="AG233" s="7" t="s">
        <v>193</v>
      </c>
      <c r="AH233" s="12" t="s">
        <v>193</v>
      </c>
      <c r="AI233" s="12" t="s">
        <v>780</v>
      </c>
      <c r="AJ233" s="12" t="s">
        <v>328</v>
      </c>
      <c r="AK233" s="12"/>
      <c r="AL233" s="12"/>
      <c r="AM233" s="4" t="s">
        <v>723</v>
      </c>
      <c r="AN233" s="10" t="s">
        <v>157</v>
      </c>
    </row>
    <row r="234" spans="1:40" s="10" customFormat="1" x14ac:dyDescent="0.2">
      <c r="A234" s="4">
        <v>2003</v>
      </c>
      <c r="B234" s="6">
        <v>14618095</v>
      </c>
      <c r="C234" s="4" t="s">
        <v>99</v>
      </c>
      <c r="D234" s="4"/>
      <c r="E234" s="4" t="s">
        <v>157</v>
      </c>
      <c r="F234" s="4" t="s">
        <v>97</v>
      </c>
      <c r="G234" s="4" t="s">
        <v>1100</v>
      </c>
      <c r="H234" s="4" t="s">
        <v>1100</v>
      </c>
      <c r="I234" s="4">
        <v>40</v>
      </c>
      <c r="J234" s="4" t="s">
        <v>846</v>
      </c>
      <c r="K234" s="4" t="s">
        <v>86</v>
      </c>
      <c r="L234" s="4" t="s">
        <v>412</v>
      </c>
      <c r="M234" s="10" t="s">
        <v>903</v>
      </c>
      <c r="N234" s="10" t="s">
        <v>766</v>
      </c>
      <c r="P234" s="10" t="s">
        <v>809</v>
      </c>
      <c r="Q234" s="10">
        <v>2</v>
      </c>
      <c r="R234" s="10">
        <v>62</v>
      </c>
      <c r="S234" s="10">
        <v>57.5</v>
      </c>
      <c r="T234" s="13">
        <v>27</v>
      </c>
      <c r="U234" s="4" t="s">
        <v>824</v>
      </c>
      <c r="V234" s="4" t="s">
        <v>642</v>
      </c>
      <c r="W234" s="7">
        <v>128</v>
      </c>
      <c r="X234" s="7">
        <v>128.80000000000001</v>
      </c>
      <c r="Y234" s="7">
        <v>10.8</v>
      </c>
      <c r="Z234" s="7">
        <v>11.8</v>
      </c>
      <c r="AA234" s="16">
        <v>62</v>
      </c>
      <c r="AB234" s="16">
        <v>62</v>
      </c>
      <c r="AC234" s="7">
        <f t="shared" si="281"/>
        <v>-0.80000000000001137</v>
      </c>
      <c r="AD234" s="7">
        <f t="shared" si="282"/>
        <v>11.311056537742175</v>
      </c>
      <c r="AE234" s="7">
        <f t="shared" si="283"/>
        <v>-7.0727256762497026E-2</v>
      </c>
      <c r="AF234" s="7">
        <f t="shared" si="284"/>
        <v>0.17966144623009273</v>
      </c>
      <c r="AG234" s="7" t="s">
        <v>193</v>
      </c>
      <c r="AH234" s="12"/>
      <c r="AI234" s="12" t="s">
        <v>780</v>
      </c>
      <c r="AJ234" s="12" t="s">
        <v>328</v>
      </c>
      <c r="AK234" s="12"/>
      <c r="AL234" s="12"/>
      <c r="AM234" s="4" t="s">
        <v>723</v>
      </c>
      <c r="AN234" s="10" t="s">
        <v>157</v>
      </c>
    </row>
    <row r="235" spans="1:40" s="10" customFormat="1" x14ac:dyDescent="0.2">
      <c r="A235" s="4">
        <v>2003</v>
      </c>
      <c r="B235" s="6">
        <v>14618095</v>
      </c>
      <c r="C235" s="4" t="s">
        <v>99</v>
      </c>
      <c r="D235" s="4"/>
      <c r="E235" s="4" t="s">
        <v>157</v>
      </c>
      <c r="F235" s="4" t="s">
        <v>97</v>
      </c>
      <c r="G235" s="4" t="s">
        <v>1100</v>
      </c>
      <c r="H235" s="4" t="s">
        <v>1100</v>
      </c>
      <c r="I235" s="4">
        <v>40</v>
      </c>
      <c r="J235" s="4" t="s">
        <v>846</v>
      </c>
      <c r="K235" s="4" t="s">
        <v>86</v>
      </c>
      <c r="L235" s="4" t="s">
        <v>412</v>
      </c>
      <c r="M235" s="10" t="s">
        <v>903</v>
      </c>
      <c r="N235" s="10" t="s">
        <v>766</v>
      </c>
      <c r="P235" s="10" t="s">
        <v>809</v>
      </c>
      <c r="Q235" s="10">
        <v>2</v>
      </c>
      <c r="R235" s="10">
        <v>62</v>
      </c>
      <c r="S235" s="10">
        <v>57.5</v>
      </c>
      <c r="T235" s="13">
        <v>27</v>
      </c>
      <c r="U235" s="4" t="s">
        <v>825</v>
      </c>
      <c r="V235" s="4" t="s">
        <v>642</v>
      </c>
      <c r="W235" s="7">
        <v>81.900000000000006</v>
      </c>
      <c r="X235" s="7">
        <v>82</v>
      </c>
      <c r="Y235" s="7">
        <v>7.5</v>
      </c>
      <c r="Z235" s="7">
        <v>8.9</v>
      </c>
      <c r="AA235" s="16">
        <v>62</v>
      </c>
      <c r="AB235" s="16">
        <v>62</v>
      </c>
      <c r="AC235" s="7">
        <f t="shared" si="281"/>
        <v>-9.9999999999994316E-2</v>
      </c>
      <c r="AD235" s="7">
        <f t="shared" si="282"/>
        <v>8.2298238134239554</v>
      </c>
      <c r="AE235" s="7">
        <f t="shared" si="283"/>
        <v>-1.2150928411964397E-2</v>
      </c>
      <c r="AF235" s="7">
        <f t="shared" si="284"/>
        <v>0.17960695938386695</v>
      </c>
      <c r="AG235" s="7" t="s">
        <v>193</v>
      </c>
      <c r="AH235" s="12"/>
      <c r="AI235" s="12" t="s">
        <v>780</v>
      </c>
      <c r="AJ235" s="12" t="s">
        <v>328</v>
      </c>
      <c r="AK235" s="12"/>
      <c r="AL235" s="12"/>
      <c r="AM235" s="4" t="s">
        <v>723</v>
      </c>
      <c r="AN235" s="10" t="s">
        <v>157</v>
      </c>
    </row>
    <row r="236" spans="1:40" s="10" customFormat="1" x14ac:dyDescent="0.2">
      <c r="A236" s="4">
        <v>2003</v>
      </c>
      <c r="B236" s="6">
        <v>14618095</v>
      </c>
      <c r="C236" s="4" t="s">
        <v>99</v>
      </c>
      <c r="D236" s="4"/>
      <c r="E236" s="4" t="s">
        <v>157</v>
      </c>
      <c r="F236" s="4" t="s">
        <v>97</v>
      </c>
      <c r="G236" s="4" t="s">
        <v>1100</v>
      </c>
      <c r="H236" s="4" t="s">
        <v>1100</v>
      </c>
      <c r="I236" s="4">
        <v>40</v>
      </c>
      <c r="J236" s="4" t="s">
        <v>846</v>
      </c>
      <c r="K236" s="4" t="s">
        <v>86</v>
      </c>
      <c r="L236" s="4" t="s">
        <v>412</v>
      </c>
      <c r="M236" s="10" t="s">
        <v>903</v>
      </c>
      <c r="N236" s="10" t="s">
        <v>766</v>
      </c>
      <c r="P236" s="10" t="s">
        <v>809</v>
      </c>
      <c r="Q236" s="10">
        <v>2</v>
      </c>
      <c r="R236" s="10">
        <v>62</v>
      </c>
      <c r="S236" s="10">
        <v>57.5</v>
      </c>
      <c r="T236" s="13">
        <v>27</v>
      </c>
      <c r="U236" s="4" t="s">
        <v>831</v>
      </c>
      <c r="V236" s="4" t="s">
        <v>635</v>
      </c>
      <c r="W236" s="7">
        <v>9.8000000000000007</v>
      </c>
      <c r="X236" s="7">
        <v>6.7</v>
      </c>
      <c r="Y236" s="7">
        <v>6.7</v>
      </c>
      <c r="Z236" s="7">
        <v>6.6</v>
      </c>
      <c r="AA236" s="16">
        <v>62</v>
      </c>
      <c r="AB236" s="16">
        <v>62</v>
      </c>
      <c r="AC236" s="7">
        <f t="shared" si="281"/>
        <v>3.1000000000000005</v>
      </c>
      <c r="AD236" s="7">
        <f t="shared" si="282"/>
        <v>6.6501879672682938</v>
      </c>
      <c r="AE236" s="7">
        <f t="shared" si="283"/>
        <v>0.46615223738907208</v>
      </c>
      <c r="AF236" s="7">
        <f t="shared" si="284"/>
        <v>0.1820282004519341</v>
      </c>
      <c r="AG236" s="7" t="s">
        <v>157</v>
      </c>
      <c r="AH236" s="4"/>
      <c r="AI236" s="12" t="s">
        <v>780</v>
      </c>
      <c r="AJ236" s="4" t="s">
        <v>328</v>
      </c>
      <c r="AK236" s="4"/>
      <c r="AL236" s="4"/>
      <c r="AM236" s="4" t="s">
        <v>723</v>
      </c>
      <c r="AN236" s="10" t="s">
        <v>157</v>
      </c>
    </row>
    <row r="237" spans="1:40" s="10" customFormat="1" x14ac:dyDescent="0.2">
      <c r="A237" s="4">
        <v>2003</v>
      </c>
      <c r="B237" s="6">
        <v>14618095</v>
      </c>
      <c r="C237" s="4" t="s">
        <v>99</v>
      </c>
      <c r="D237" s="4"/>
      <c r="E237" s="4" t="s">
        <v>157</v>
      </c>
      <c r="F237" s="4" t="s">
        <v>97</v>
      </c>
      <c r="G237" s="4" t="s">
        <v>1100</v>
      </c>
      <c r="H237" s="4" t="s">
        <v>1100</v>
      </c>
      <c r="I237" s="4">
        <v>40</v>
      </c>
      <c r="J237" s="4" t="s">
        <v>846</v>
      </c>
      <c r="K237" s="4" t="s">
        <v>86</v>
      </c>
      <c r="L237" s="4" t="s">
        <v>412</v>
      </c>
      <c r="M237" s="10" t="s">
        <v>903</v>
      </c>
      <c r="N237" s="10" t="s">
        <v>766</v>
      </c>
      <c r="P237" s="10" t="s">
        <v>809</v>
      </c>
      <c r="Q237" s="10">
        <v>2</v>
      </c>
      <c r="R237" s="10">
        <v>62</v>
      </c>
      <c r="S237" s="10">
        <v>57.5</v>
      </c>
      <c r="T237" s="13">
        <v>27</v>
      </c>
      <c r="U237" s="4" t="s">
        <v>832</v>
      </c>
      <c r="V237" s="4" t="s">
        <v>635</v>
      </c>
      <c r="W237" s="7">
        <v>7.4</v>
      </c>
      <c r="X237" s="7">
        <v>5.4</v>
      </c>
      <c r="Y237" s="7">
        <v>5.3</v>
      </c>
      <c r="Z237" s="7">
        <v>5.4</v>
      </c>
      <c r="AA237" s="16">
        <v>62</v>
      </c>
      <c r="AB237" s="16">
        <v>62</v>
      </c>
      <c r="AC237" s="7">
        <f t="shared" si="281"/>
        <v>2</v>
      </c>
      <c r="AD237" s="7">
        <f t="shared" si="282"/>
        <v>5.3502336397581738</v>
      </c>
      <c r="AE237" s="7">
        <f t="shared" si="283"/>
        <v>0.37381545081279821</v>
      </c>
      <c r="AF237" s="7">
        <f t="shared" si="284"/>
        <v>0.18116711665843821</v>
      </c>
      <c r="AG237" s="7" t="s">
        <v>157</v>
      </c>
      <c r="AH237" s="4"/>
      <c r="AI237" s="12" t="s">
        <v>780</v>
      </c>
      <c r="AJ237" s="4" t="s">
        <v>328</v>
      </c>
      <c r="AK237" s="4"/>
      <c r="AL237" s="4"/>
      <c r="AM237" s="4" t="s">
        <v>723</v>
      </c>
      <c r="AN237" s="10" t="s">
        <v>157</v>
      </c>
    </row>
    <row r="238" spans="1:40" s="10" customFormat="1" x14ac:dyDescent="0.2">
      <c r="A238" s="4">
        <v>2003</v>
      </c>
      <c r="B238" s="6">
        <v>14618095</v>
      </c>
      <c r="C238" s="4" t="s">
        <v>99</v>
      </c>
      <c r="D238" s="4"/>
      <c r="E238" s="4" t="s">
        <v>157</v>
      </c>
      <c r="F238" s="4" t="s">
        <v>97</v>
      </c>
      <c r="G238" s="4" t="s">
        <v>1100</v>
      </c>
      <c r="H238" s="4" t="s">
        <v>1100</v>
      </c>
      <c r="I238" s="4">
        <v>40</v>
      </c>
      <c r="J238" s="4" t="s">
        <v>846</v>
      </c>
      <c r="K238" s="4" t="s">
        <v>86</v>
      </c>
      <c r="L238" s="4" t="s">
        <v>412</v>
      </c>
      <c r="M238" s="10" t="s">
        <v>903</v>
      </c>
      <c r="N238" s="10" t="s">
        <v>766</v>
      </c>
      <c r="P238" s="10" t="s">
        <v>809</v>
      </c>
      <c r="Q238" s="10">
        <v>2</v>
      </c>
      <c r="R238" s="10">
        <v>62</v>
      </c>
      <c r="S238" s="10">
        <v>57.5</v>
      </c>
      <c r="T238" s="13">
        <v>27</v>
      </c>
      <c r="U238" s="4" t="s">
        <v>830</v>
      </c>
      <c r="V238" s="4" t="s">
        <v>642</v>
      </c>
      <c r="W238" s="7">
        <v>12.5</v>
      </c>
      <c r="X238" s="7">
        <v>15.5</v>
      </c>
      <c r="Y238" s="7">
        <v>22.6</v>
      </c>
      <c r="Z238" s="7">
        <v>22</v>
      </c>
      <c r="AA238" s="16">
        <v>62</v>
      </c>
      <c r="AB238" s="16">
        <v>62</v>
      </c>
      <c r="AC238" s="7">
        <f t="shared" si="281"/>
        <v>-3</v>
      </c>
      <c r="AD238" s="7">
        <f t="shared" si="282"/>
        <v>22.30201784592596</v>
      </c>
      <c r="AE238" s="7">
        <f t="shared" si="283"/>
        <v>-0.13451697602995272</v>
      </c>
      <c r="AF238" s="7">
        <f t="shared" si="284"/>
        <v>0.17980830761469016</v>
      </c>
      <c r="AG238" s="7" t="s">
        <v>157</v>
      </c>
      <c r="AH238" s="4"/>
      <c r="AI238" s="12" t="s">
        <v>780</v>
      </c>
      <c r="AJ238" s="4" t="s">
        <v>328</v>
      </c>
      <c r="AK238" s="4"/>
      <c r="AL238" s="4"/>
      <c r="AM238" s="4" t="s">
        <v>723</v>
      </c>
      <c r="AN238" s="10" t="s">
        <v>157</v>
      </c>
    </row>
    <row r="239" spans="1:40" s="10" customFormat="1" x14ac:dyDescent="0.2">
      <c r="A239" s="4">
        <v>2003</v>
      </c>
      <c r="B239" s="6">
        <v>14618095</v>
      </c>
      <c r="C239" s="4" t="s">
        <v>99</v>
      </c>
      <c r="D239" s="4"/>
      <c r="E239" s="4" t="s">
        <v>157</v>
      </c>
      <c r="F239" s="4" t="s">
        <v>97</v>
      </c>
      <c r="G239" s="4" t="s">
        <v>1100</v>
      </c>
      <c r="H239" s="4" t="s">
        <v>1100</v>
      </c>
      <c r="I239" s="4">
        <v>40</v>
      </c>
      <c r="J239" s="4" t="s">
        <v>846</v>
      </c>
      <c r="K239" s="4" t="s">
        <v>86</v>
      </c>
      <c r="L239" s="4" t="s">
        <v>412</v>
      </c>
      <c r="M239" s="10" t="s">
        <v>903</v>
      </c>
      <c r="N239" s="10" t="s">
        <v>766</v>
      </c>
      <c r="P239" s="10" t="s">
        <v>809</v>
      </c>
      <c r="Q239" s="10">
        <v>2</v>
      </c>
      <c r="R239" s="10">
        <v>62</v>
      </c>
      <c r="S239" s="10">
        <v>57.5</v>
      </c>
      <c r="T239" s="13">
        <v>27</v>
      </c>
      <c r="U239" s="4" t="s">
        <v>592</v>
      </c>
      <c r="V239" s="4" t="s">
        <v>635</v>
      </c>
      <c r="W239" s="7">
        <v>6.5</v>
      </c>
      <c r="X239" s="7">
        <v>11</v>
      </c>
      <c r="Y239" s="7">
        <v>9.1</v>
      </c>
      <c r="Z239" s="7">
        <v>17.5</v>
      </c>
      <c r="AA239" s="16">
        <v>62</v>
      </c>
      <c r="AB239" s="16">
        <v>62</v>
      </c>
      <c r="AC239" s="7">
        <f t="shared" si="281"/>
        <v>-4.5</v>
      </c>
      <c r="AD239" s="7">
        <f t="shared" si="282"/>
        <v>13.947401191619893</v>
      </c>
      <c r="AE239" s="7">
        <f t="shared" si="283"/>
        <v>-0.32264075136117576</v>
      </c>
      <c r="AF239" s="7">
        <f t="shared" si="284"/>
        <v>0.18077004924318266</v>
      </c>
      <c r="AG239" s="7" t="s">
        <v>157</v>
      </c>
      <c r="AH239" s="4"/>
      <c r="AI239" s="12" t="s">
        <v>780</v>
      </c>
      <c r="AJ239" s="4" t="s">
        <v>328</v>
      </c>
      <c r="AK239" s="4"/>
      <c r="AL239" s="4"/>
      <c r="AM239" s="4" t="s">
        <v>723</v>
      </c>
      <c r="AN239" s="10" t="s">
        <v>157</v>
      </c>
    </row>
    <row r="240" spans="1:40" s="10" customFormat="1" x14ac:dyDescent="0.2">
      <c r="A240" s="4">
        <v>2003</v>
      </c>
      <c r="B240" s="6">
        <v>14618095</v>
      </c>
      <c r="C240" s="4" t="s">
        <v>99</v>
      </c>
      <c r="D240" s="4"/>
      <c r="E240" s="4" t="s">
        <v>157</v>
      </c>
      <c r="F240" s="4" t="s">
        <v>97</v>
      </c>
      <c r="G240" s="4" t="s">
        <v>1100</v>
      </c>
      <c r="H240" s="4" t="s">
        <v>1100</v>
      </c>
      <c r="I240" s="4">
        <v>40</v>
      </c>
      <c r="J240" s="4" t="s">
        <v>846</v>
      </c>
      <c r="K240" s="4" t="s">
        <v>86</v>
      </c>
      <c r="L240" s="4" t="s">
        <v>412</v>
      </c>
      <c r="M240" s="10" t="s">
        <v>903</v>
      </c>
      <c r="N240" s="10" t="s">
        <v>766</v>
      </c>
      <c r="P240" s="10" t="s">
        <v>809</v>
      </c>
      <c r="Q240" s="10">
        <v>2</v>
      </c>
      <c r="R240" s="10">
        <v>62</v>
      </c>
      <c r="S240" s="10">
        <v>57.5</v>
      </c>
      <c r="T240" s="13">
        <v>27</v>
      </c>
      <c r="U240" s="4" t="s">
        <v>828</v>
      </c>
      <c r="V240" s="4" t="s">
        <v>635</v>
      </c>
      <c r="W240" s="7">
        <v>20</v>
      </c>
      <c r="X240" s="7">
        <v>28.5</v>
      </c>
      <c r="Y240" s="7">
        <v>27.9</v>
      </c>
      <c r="Z240" s="7">
        <v>31.4</v>
      </c>
      <c r="AA240" s="16">
        <v>62</v>
      </c>
      <c r="AB240" s="16">
        <v>62</v>
      </c>
      <c r="AC240" s="7">
        <f t="shared" si="281"/>
        <v>-8.5</v>
      </c>
      <c r="AD240" s="7">
        <f t="shared" si="282"/>
        <v>29.701599283540272</v>
      </c>
      <c r="AE240" s="7">
        <f t="shared" si="283"/>
        <v>-0.28617987600117017</v>
      </c>
      <c r="AF240" s="7">
        <f t="shared" si="284"/>
        <v>0.18052230361518334</v>
      </c>
      <c r="AG240" s="7" t="s">
        <v>157</v>
      </c>
      <c r="AH240" s="4"/>
      <c r="AI240" s="12" t="s">
        <v>780</v>
      </c>
      <c r="AJ240" s="4" t="s">
        <v>328</v>
      </c>
      <c r="AK240" s="4"/>
      <c r="AL240" s="4"/>
      <c r="AM240" s="4" t="s">
        <v>723</v>
      </c>
      <c r="AN240" s="10" t="s">
        <v>157</v>
      </c>
    </row>
    <row r="241" spans="1:40" s="10" customFormat="1" x14ac:dyDescent="0.2">
      <c r="A241" s="4">
        <v>2003</v>
      </c>
      <c r="B241" s="6">
        <v>14618095</v>
      </c>
      <c r="C241" s="4" t="s">
        <v>99</v>
      </c>
      <c r="D241" s="4"/>
      <c r="E241" s="4" t="s">
        <v>157</v>
      </c>
      <c r="F241" s="4" t="s">
        <v>97</v>
      </c>
      <c r="G241" s="4" t="s">
        <v>1100</v>
      </c>
      <c r="H241" s="4" t="s">
        <v>1100</v>
      </c>
      <c r="I241" s="4">
        <v>40</v>
      </c>
      <c r="J241" s="4" t="s">
        <v>846</v>
      </c>
      <c r="K241" s="4" t="s">
        <v>86</v>
      </c>
      <c r="L241" s="4" t="s">
        <v>412</v>
      </c>
      <c r="M241" s="10" t="s">
        <v>903</v>
      </c>
      <c r="N241" s="10" t="s">
        <v>766</v>
      </c>
      <c r="P241" s="10" t="s">
        <v>809</v>
      </c>
      <c r="Q241" s="10">
        <v>2</v>
      </c>
      <c r="R241" s="10">
        <v>62</v>
      </c>
      <c r="S241" s="10">
        <v>57.5</v>
      </c>
      <c r="T241" s="13">
        <v>27</v>
      </c>
      <c r="U241" s="4" t="s">
        <v>829</v>
      </c>
      <c r="V241" s="4" t="s">
        <v>635</v>
      </c>
      <c r="W241" s="7">
        <v>9.1999999999999993</v>
      </c>
      <c r="X241" s="7">
        <v>17.7</v>
      </c>
      <c r="Y241" s="7">
        <v>17.8</v>
      </c>
      <c r="Z241" s="7">
        <v>28.2</v>
      </c>
      <c r="AA241" s="16">
        <v>62</v>
      </c>
      <c r="AB241" s="16">
        <v>62</v>
      </c>
      <c r="AC241" s="7">
        <f t="shared" si="281"/>
        <v>-8.5</v>
      </c>
      <c r="AD241" s="7">
        <f t="shared" si="282"/>
        <v>23.580500418778225</v>
      </c>
      <c r="AE241" s="7">
        <f t="shared" si="283"/>
        <v>-0.36046732889650906</v>
      </c>
      <c r="AF241" s="7">
        <f t="shared" si="284"/>
        <v>0.18105800949759995</v>
      </c>
      <c r="AG241" s="7" t="s">
        <v>157</v>
      </c>
      <c r="AI241" s="12" t="s">
        <v>780</v>
      </c>
      <c r="AJ241" s="4" t="s">
        <v>328</v>
      </c>
      <c r="AK241" s="4"/>
      <c r="AL241" s="4"/>
      <c r="AM241" s="4" t="s">
        <v>723</v>
      </c>
      <c r="AN241" s="10" t="s">
        <v>157</v>
      </c>
    </row>
    <row r="242" spans="1:40" s="10" customFormat="1" x14ac:dyDescent="0.2">
      <c r="A242" s="4">
        <v>2003</v>
      </c>
      <c r="B242" s="6">
        <v>14618095</v>
      </c>
      <c r="C242" s="4" t="s">
        <v>99</v>
      </c>
      <c r="D242" s="4"/>
      <c r="E242" s="4" t="s">
        <v>157</v>
      </c>
      <c r="F242" s="4" t="s">
        <v>97</v>
      </c>
      <c r="G242" s="4" t="s">
        <v>1100</v>
      </c>
      <c r="H242" s="4" t="s">
        <v>1100</v>
      </c>
      <c r="I242" s="4">
        <v>40</v>
      </c>
      <c r="J242" s="4" t="s">
        <v>846</v>
      </c>
      <c r="K242" s="4" t="s">
        <v>86</v>
      </c>
      <c r="L242" s="4" t="s">
        <v>412</v>
      </c>
      <c r="M242" s="10" t="s">
        <v>903</v>
      </c>
      <c r="N242" s="10" t="s">
        <v>766</v>
      </c>
      <c r="P242" s="10" t="s">
        <v>809</v>
      </c>
      <c r="Q242" s="10">
        <v>2</v>
      </c>
      <c r="R242" s="10">
        <v>62</v>
      </c>
      <c r="S242" s="10">
        <v>57.5</v>
      </c>
      <c r="T242" s="13">
        <v>27</v>
      </c>
      <c r="U242" s="4" t="s">
        <v>826</v>
      </c>
      <c r="V242" s="4" t="s">
        <v>642</v>
      </c>
      <c r="W242" s="7">
        <v>8.8000000000000007</v>
      </c>
      <c r="X242" s="7">
        <v>9</v>
      </c>
      <c r="Y242" s="7">
        <v>22.1</v>
      </c>
      <c r="Z242" s="7">
        <v>22.3</v>
      </c>
      <c r="AA242" s="16">
        <v>62</v>
      </c>
      <c r="AB242" s="16">
        <v>62</v>
      </c>
      <c r="AC242" s="7">
        <f t="shared" si="281"/>
        <v>-0.19999999999999929</v>
      </c>
      <c r="AD242" s="7">
        <f t="shared" si="282"/>
        <v>22.200225224082754</v>
      </c>
      <c r="AE242" s="7">
        <f t="shared" si="283"/>
        <v>-9.0089176114771918E-3</v>
      </c>
      <c r="AF242" s="7">
        <f t="shared" si="284"/>
        <v>0.17960621307905503</v>
      </c>
      <c r="AG242" s="7" t="s">
        <v>157</v>
      </c>
      <c r="AI242" s="12" t="s">
        <v>780</v>
      </c>
      <c r="AJ242" s="4" t="s">
        <v>328</v>
      </c>
      <c r="AK242" s="4"/>
      <c r="AL242" s="4"/>
      <c r="AM242" s="4" t="s">
        <v>723</v>
      </c>
      <c r="AN242" s="10" t="s">
        <v>157</v>
      </c>
    </row>
    <row r="243" spans="1:40" s="10" customFormat="1" x14ac:dyDescent="0.2">
      <c r="A243" s="4">
        <v>2003</v>
      </c>
      <c r="B243" s="6">
        <v>14618095</v>
      </c>
      <c r="C243" s="4" t="s">
        <v>99</v>
      </c>
      <c r="D243" s="4"/>
      <c r="E243" s="4" t="s">
        <v>157</v>
      </c>
      <c r="F243" s="4" t="s">
        <v>97</v>
      </c>
      <c r="G243" s="4" t="s">
        <v>1100</v>
      </c>
      <c r="H243" s="4" t="s">
        <v>1100</v>
      </c>
      <c r="I243" s="4">
        <v>40</v>
      </c>
      <c r="J243" s="4" t="s">
        <v>846</v>
      </c>
      <c r="K243" s="4" t="s">
        <v>86</v>
      </c>
      <c r="L243" s="4" t="s">
        <v>412</v>
      </c>
      <c r="M243" s="10" t="s">
        <v>903</v>
      </c>
      <c r="N243" s="10" t="s">
        <v>766</v>
      </c>
      <c r="P243" s="10" t="s">
        <v>809</v>
      </c>
      <c r="Q243" s="10">
        <v>2</v>
      </c>
      <c r="R243" s="10">
        <v>62</v>
      </c>
      <c r="S243" s="10">
        <v>57.5</v>
      </c>
      <c r="T243" s="13">
        <v>27</v>
      </c>
      <c r="U243" s="4" t="s">
        <v>827</v>
      </c>
      <c r="V243" s="4" t="s">
        <v>642</v>
      </c>
      <c r="W243" s="7">
        <v>5.2</v>
      </c>
      <c r="X243" s="7">
        <v>7.7</v>
      </c>
      <c r="Y243" s="7">
        <v>8.1999999999999993</v>
      </c>
      <c r="Z243" s="7">
        <v>15.2</v>
      </c>
      <c r="AA243" s="16">
        <v>62</v>
      </c>
      <c r="AB243" s="16">
        <v>62</v>
      </c>
      <c r="AC243" s="7">
        <f t="shared" si="281"/>
        <v>-2.5</v>
      </c>
      <c r="AD243" s="7">
        <f t="shared" si="282"/>
        <v>12.212288892750612</v>
      </c>
      <c r="AE243" s="7">
        <f t="shared" si="283"/>
        <v>-0.20471182936755086</v>
      </c>
      <c r="AF243" s="7">
        <f t="shared" si="284"/>
        <v>0.18007510678884001</v>
      </c>
      <c r="AG243" s="7" t="s">
        <v>157</v>
      </c>
      <c r="AI243" s="12" t="s">
        <v>780</v>
      </c>
      <c r="AJ243" s="4" t="s">
        <v>328</v>
      </c>
      <c r="AK243" s="4"/>
      <c r="AL243" s="4"/>
      <c r="AM243" s="4" t="s">
        <v>723</v>
      </c>
      <c r="AN243" s="10" t="s">
        <v>157</v>
      </c>
    </row>
    <row r="244" spans="1:40" s="10" customFormat="1" hidden="1" x14ac:dyDescent="0.2">
      <c r="A244" s="4">
        <v>1999</v>
      </c>
      <c r="B244" s="4">
        <v>10480474</v>
      </c>
      <c r="C244" s="4" t="s">
        <v>105</v>
      </c>
      <c r="D244" s="4"/>
      <c r="E244" s="4" t="s">
        <v>157</v>
      </c>
      <c r="F244" s="4" t="s">
        <v>570</v>
      </c>
      <c r="G244" s="4" t="s">
        <v>1100</v>
      </c>
      <c r="H244" s="4" t="s">
        <v>1100</v>
      </c>
      <c r="I244" s="4">
        <v>14</v>
      </c>
      <c r="J244" s="4" t="s">
        <v>925</v>
      </c>
      <c r="K244" s="4" t="s">
        <v>86</v>
      </c>
      <c r="L244" s="4" t="s">
        <v>412</v>
      </c>
      <c r="M244" s="10" t="s">
        <v>903</v>
      </c>
      <c r="N244" s="10" t="s">
        <v>766</v>
      </c>
      <c r="P244" s="10" t="s">
        <v>809</v>
      </c>
      <c r="Q244" s="10">
        <v>2</v>
      </c>
      <c r="R244" s="10">
        <v>75</v>
      </c>
      <c r="S244" s="10">
        <v>57.8</v>
      </c>
      <c r="T244" s="13">
        <v>43</v>
      </c>
      <c r="U244" s="4" t="s">
        <v>833</v>
      </c>
      <c r="V244" s="4" t="s">
        <v>642</v>
      </c>
      <c r="W244" s="7">
        <v>-11.9</v>
      </c>
      <c r="X244" s="7">
        <v>-11.6</v>
      </c>
      <c r="Y244" s="7">
        <f>0.6*SQRT(75)</f>
        <v>5.196152422706632</v>
      </c>
      <c r="Z244" s="7">
        <f>0.6*SQRT(75)</f>
        <v>5.196152422706632</v>
      </c>
      <c r="AA244" s="16">
        <v>75</v>
      </c>
      <c r="AB244" s="16">
        <v>75</v>
      </c>
      <c r="AC244" s="7">
        <f t="shared" si="281"/>
        <v>-0.30000000000000071</v>
      </c>
      <c r="AD244" s="7">
        <f t="shared" si="282"/>
        <v>5.196152422706632</v>
      </c>
      <c r="AE244" s="7">
        <f t="shared" si="283"/>
        <v>-5.7735026918962713E-2</v>
      </c>
      <c r="AF244" s="7">
        <f t="shared" si="284"/>
        <v>0.16333333333333333</v>
      </c>
      <c r="AG244" s="7" t="s">
        <v>193</v>
      </c>
      <c r="AI244" s="10" t="s">
        <v>780</v>
      </c>
      <c r="AJ244" s="4" t="s">
        <v>328</v>
      </c>
      <c r="AL244" s="4" t="s">
        <v>839</v>
      </c>
      <c r="AM244" s="4" t="s">
        <v>724</v>
      </c>
      <c r="AN244" s="10" t="s">
        <v>157</v>
      </c>
    </row>
    <row r="245" spans="1:40" s="10" customFormat="1" hidden="1" x14ac:dyDescent="0.2">
      <c r="A245" s="4">
        <v>1999</v>
      </c>
      <c r="B245" s="4">
        <v>10480474</v>
      </c>
      <c r="C245" s="4" t="s">
        <v>105</v>
      </c>
      <c r="D245" s="4"/>
      <c r="E245" s="4" t="s">
        <v>157</v>
      </c>
      <c r="F245" s="4" t="s">
        <v>570</v>
      </c>
      <c r="G245" s="4" t="s">
        <v>1100</v>
      </c>
      <c r="H245" s="4" t="s">
        <v>1100</v>
      </c>
      <c r="I245" s="4">
        <v>14</v>
      </c>
      <c r="J245" s="4" t="s">
        <v>925</v>
      </c>
      <c r="K245" s="4" t="s">
        <v>86</v>
      </c>
      <c r="L245" s="4" t="s">
        <v>412</v>
      </c>
      <c r="M245" s="10" t="s">
        <v>903</v>
      </c>
      <c r="N245" s="10" t="s">
        <v>766</v>
      </c>
      <c r="P245" s="10" t="s">
        <v>809</v>
      </c>
      <c r="Q245" s="10">
        <v>2</v>
      </c>
      <c r="R245" s="10">
        <v>75</v>
      </c>
      <c r="S245" s="10">
        <v>57.8</v>
      </c>
      <c r="T245" s="13">
        <v>43</v>
      </c>
      <c r="U245" s="4" t="s">
        <v>834</v>
      </c>
      <c r="V245" s="4" t="s">
        <v>642</v>
      </c>
      <c r="W245" s="7">
        <v>-7.4</v>
      </c>
      <c r="X245" s="7">
        <v>-6.5</v>
      </c>
      <c r="Y245" s="7">
        <f>0.5*SQRT(75)</f>
        <v>4.3301270189221936</v>
      </c>
      <c r="Z245" s="7">
        <f>0.5*SQRT(75)</f>
        <v>4.3301270189221936</v>
      </c>
      <c r="AA245" s="16">
        <v>75</v>
      </c>
      <c r="AB245" s="16">
        <v>75</v>
      </c>
      <c r="AC245" s="7">
        <f t="shared" si="281"/>
        <v>-0.90000000000000036</v>
      </c>
      <c r="AD245" s="7">
        <f t="shared" si="282"/>
        <v>4.3301270189221936</v>
      </c>
      <c r="AE245" s="7">
        <f t="shared" si="283"/>
        <v>-0.20784609690826533</v>
      </c>
      <c r="AF245" s="7">
        <f t="shared" si="284"/>
        <v>0.16373963071494535</v>
      </c>
      <c r="AG245" s="7" t="s">
        <v>193</v>
      </c>
      <c r="AI245" s="10" t="s">
        <v>780</v>
      </c>
      <c r="AJ245" s="4" t="s">
        <v>328</v>
      </c>
      <c r="AL245" s="4" t="s">
        <v>839</v>
      </c>
      <c r="AM245" s="4" t="s">
        <v>724</v>
      </c>
      <c r="AN245" s="10" t="s">
        <v>157</v>
      </c>
    </row>
    <row r="246" spans="1:40" s="10" customFormat="1" hidden="1" x14ac:dyDescent="0.2">
      <c r="A246" s="4">
        <v>1999</v>
      </c>
      <c r="B246" s="4">
        <v>10480474</v>
      </c>
      <c r="C246" s="4" t="s">
        <v>105</v>
      </c>
      <c r="D246" s="4"/>
      <c r="E246" s="4" t="s">
        <v>157</v>
      </c>
      <c r="F246" s="4" t="s">
        <v>570</v>
      </c>
      <c r="G246" s="4" t="s">
        <v>1100</v>
      </c>
      <c r="H246" s="4" t="s">
        <v>1100</v>
      </c>
      <c r="I246" s="4">
        <v>14</v>
      </c>
      <c r="J246" s="4" t="s">
        <v>925</v>
      </c>
      <c r="K246" s="4" t="s">
        <v>86</v>
      </c>
      <c r="L246" s="4" t="s">
        <v>412</v>
      </c>
      <c r="M246" s="10" t="s">
        <v>903</v>
      </c>
      <c r="N246" s="10" t="s">
        <v>766</v>
      </c>
      <c r="P246" s="10" t="s">
        <v>809</v>
      </c>
      <c r="Q246" s="10">
        <v>2</v>
      </c>
      <c r="R246" s="10">
        <v>75</v>
      </c>
      <c r="S246" s="10">
        <v>57.8</v>
      </c>
      <c r="T246" s="13">
        <v>43</v>
      </c>
      <c r="U246" s="4" t="s">
        <v>835</v>
      </c>
      <c r="V246" s="4" t="s">
        <v>642</v>
      </c>
      <c r="W246" s="7">
        <v>-12.6</v>
      </c>
      <c r="X246" s="7">
        <v>-11.3</v>
      </c>
      <c r="Y246" s="7">
        <f>0.7*SQRT(75)</f>
        <v>6.0621778264910704</v>
      </c>
      <c r="Z246" s="7">
        <f>0.7*SQRT(75)</f>
        <v>6.0621778264910704</v>
      </c>
      <c r="AA246" s="16">
        <v>75</v>
      </c>
      <c r="AB246" s="16">
        <v>75</v>
      </c>
      <c r="AC246" s="7">
        <f t="shared" si="281"/>
        <v>-1.2999999999999989</v>
      </c>
      <c r="AD246" s="7">
        <f t="shared" si="282"/>
        <v>6.0621778264910704</v>
      </c>
      <c r="AE246" s="7">
        <f t="shared" si="283"/>
        <v>-0.21444438569900368</v>
      </c>
      <c r="AF246" s="7">
        <f t="shared" si="284"/>
        <v>0.16376799030496186</v>
      </c>
      <c r="AG246" s="7" t="s">
        <v>193</v>
      </c>
      <c r="AI246" s="10" t="s">
        <v>780</v>
      </c>
      <c r="AJ246" s="4" t="s">
        <v>328</v>
      </c>
      <c r="AL246" s="4" t="s">
        <v>839</v>
      </c>
      <c r="AM246" s="4" t="s">
        <v>724</v>
      </c>
      <c r="AN246" s="10" t="s">
        <v>157</v>
      </c>
    </row>
    <row r="247" spans="1:40" s="10" customFormat="1" hidden="1" x14ac:dyDescent="0.2">
      <c r="A247" s="4">
        <v>1999</v>
      </c>
      <c r="B247" s="4">
        <v>10480474</v>
      </c>
      <c r="C247" s="4" t="s">
        <v>105</v>
      </c>
      <c r="D247" s="4"/>
      <c r="E247" s="4" t="s">
        <v>157</v>
      </c>
      <c r="F247" s="4" t="s">
        <v>570</v>
      </c>
      <c r="G247" s="4" t="s">
        <v>1100</v>
      </c>
      <c r="H247" s="4" t="s">
        <v>1100</v>
      </c>
      <c r="I247" s="4">
        <v>14</v>
      </c>
      <c r="J247" s="4" t="s">
        <v>925</v>
      </c>
      <c r="K247" s="4" t="s">
        <v>86</v>
      </c>
      <c r="L247" s="4" t="s">
        <v>412</v>
      </c>
      <c r="M247" s="10" t="s">
        <v>903</v>
      </c>
      <c r="N247" s="10" t="s">
        <v>766</v>
      </c>
      <c r="P247" s="10" t="s">
        <v>809</v>
      </c>
      <c r="Q247" s="10">
        <v>2</v>
      </c>
      <c r="R247" s="10">
        <v>75</v>
      </c>
      <c r="S247" s="10">
        <v>57.8</v>
      </c>
      <c r="T247" s="13">
        <v>43</v>
      </c>
      <c r="U247" s="4" t="s">
        <v>836</v>
      </c>
      <c r="V247" s="4" t="s">
        <v>635</v>
      </c>
      <c r="W247" s="7">
        <v>-8.1</v>
      </c>
      <c r="X247" s="7">
        <v>-6.4</v>
      </c>
      <c r="Y247" s="7">
        <f>0.4*SQRT(75)</f>
        <v>3.4641016151377553</v>
      </c>
      <c r="Z247" s="7">
        <f>0.4*SQRT(75)</f>
        <v>3.4641016151377553</v>
      </c>
      <c r="AA247" s="16">
        <v>75</v>
      </c>
      <c r="AB247" s="16">
        <v>75</v>
      </c>
      <c r="AC247" s="7">
        <f t="shared" si="281"/>
        <v>-1.6999999999999993</v>
      </c>
      <c r="AD247" s="7">
        <f t="shared" si="282"/>
        <v>3.4641016151377553</v>
      </c>
      <c r="AE247" s="7">
        <f t="shared" si="283"/>
        <v>-0.49074772881118162</v>
      </c>
      <c r="AF247" s="7">
        <f t="shared" si="284"/>
        <v>0.16573908544590332</v>
      </c>
      <c r="AG247" s="7" t="s">
        <v>193</v>
      </c>
      <c r="AH247" s="10" t="s">
        <v>193</v>
      </c>
      <c r="AI247" s="10" t="s">
        <v>780</v>
      </c>
      <c r="AJ247" s="4" t="s">
        <v>328</v>
      </c>
      <c r="AL247" s="4" t="s">
        <v>839</v>
      </c>
      <c r="AM247" s="4" t="s">
        <v>724</v>
      </c>
      <c r="AN247" s="10" t="s">
        <v>157</v>
      </c>
    </row>
    <row r="248" spans="1:40" s="10" customFormat="1" hidden="1" x14ac:dyDescent="0.2">
      <c r="A248" s="4">
        <v>1999</v>
      </c>
      <c r="B248" s="4">
        <v>10480474</v>
      </c>
      <c r="C248" s="4" t="s">
        <v>105</v>
      </c>
      <c r="D248" s="4"/>
      <c r="E248" s="4" t="s">
        <v>157</v>
      </c>
      <c r="F248" s="4" t="s">
        <v>570</v>
      </c>
      <c r="G248" s="4" t="s">
        <v>1100</v>
      </c>
      <c r="H248" s="4" t="s">
        <v>1100</v>
      </c>
      <c r="I248" s="4">
        <v>14</v>
      </c>
      <c r="J248" s="4" t="s">
        <v>925</v>
      </c>
      <c r="K248" s="4" t="s">
        <v>86</v>
      </c>
      <c r="L248" s="4" t="s">
        <v>412</v>
      </c>
      <c r="M248" s="10" t="s">
        <v>903</v>
      </c>
      <c r="N248" s="10" t="s">
        <v>766</v>
      </c>
      <c r="P248" s="10" t="s">
        <v>809</v>
      </c>
      <c r="Q248" s="10">
        <v>2</v>
      </c>
      <c r="R248" s="10">
        <v>75</v>
      </c>
      <c r="S248" s="10">
        <v>57.8</v>
      </c>
      <c r="T248" s="13">
        <v>43</v>
      </c>
      <c r="U248" s="4" t="s">
        <v>837</v>
      </c>
      <c r="V248" s="4" t="s">
        <v>642</v>
      </c>
      <c r="W248" s="7">
        <v>-11.4</v>
      </c>
      <c r="X248" s="7">
        <v>-13.3</v>
      </c>
      <c r="Y248" s="7">
        <f>0.9*SQRT(75)</f>
        <v>7.7942286340599489</v>
      </c>
      <c r="Z248" s="7">
        <f>0.9*SQRT(75)</f>
        <v>7.7942286340599489</v>
      </c>
      <c r="AA248" s="16">
        <v>75</v>
      </c>
      <c r="AB248" s="16">
        <v>75</v>
      </c>
      <c r="AC248" s="7">
        <f t="shared" si="281"/>
        <v>1.9000000000000004</v>
      </c>
      <c r="AD248" s="7">
        <f t="shared" si="282"/>
        <v>7.7942286340599489</v>
      </c>
      <c r="AE248" s="7">
        <f t="shared" si="283"/>
        <v>0.24377011365784201</v>
      </c>
      <c r="AF248" s="7">
        <f t="shared" si="284"/>
        <v>0.16390468641167399</v>
      </c>
      <c r="AG248" s="7" t="s">
        <v>193</v>
      </c>
      <c r="AI248" s="10" t="s">
        <v>780</v>
      </c>
      <c r="AJ248" s="4" t="s">
        <v>348</v>
      </c>
      <c r="AL248" s="4" t="s">
        <v>839</v>
      </c>
      <c r="AM248" s="4" t="s">
        <v>724</v>
      </c>
      <c r="AN248" s="10" t="s">
        <v>157</v>
      </c>
    </row>
    <row r="249" spans="1:40" s="10" customFormat="1" hidden="1" x14ac:dyDescent="0.2">
      <c r="A249" s="4">
        <v>1999</v>
      </c>
      <c r="B249" s="4">
        <v>10480474</v>
      </c>
      <c r="C249" s="4" t="s">
        <v>105</v>
      </c>
      <c r="D249" s="4"/>
      <c r="E249" s="4" t="s">
        <v>157</v>
      </c>
      <c r="F249" s="4" t="s">
        <v>570</v>
      </c>
      <c r="G249" s="4" t="s">
        <v>1100</v>
      </c>
      <c r="H249" s="4" t="s">
        <v>1100</v>
      </c>
      <c r="I249" s="4">
        <v>14</v>
      </c>
      <c r="J249" s="4" t="s">
        <v>925</v>
      </c>
      <c r="K249" s="4" t="s">
        <v>86</v>
      </c>
      <c r="L249" s="4" t="s">
        <v>412</v>
      </c>
      <c r="M249" s="10" t="s">
        <v>903</v>
      </c>
      <c r="N249" s="10" t="s">
        <v>766</v>
      </c>
      <c r="P249" s="10" t="s">
        <v>809</v>
      </c>
      <c r="Q249" s="10">
        <v>2</v>
      </c>
      <c r="R249" s="10">
        <v>75</v>
      </c>
      <c r="S249" s="10">
        <v>57.8</v>
      </c>
      <c r="T249" s="13">
        <v>43</v>
      </c>
      <c r="U249" s="4" t="s">
        <v>838</v>
      </c>
      <c r="V249" s="4" t="s">
        <v>642</v>
      </c>
      <c r="W249" s="7">
        <v>-6.4</v>
      </c>
      <c r="X249" s="7">
        <v>-7.6</v>
      </c>
      <c r="Y249" s="7">
        <f>0.7*SQRT(75)</f>
        <v>6.0621778264910704</v>
      </c>
      <c r="Z249" s="7">
        <f>0.7*SQRT(75)</f>
        <v>6.0621778264910704</v>
      </c>
      <c r="AA249" s="16">
        <v>75</v>
      </c>
      <c r="AB249" s="16">
        <v>75</v>
      </c>
      <c r="AC249" s="7">
        <f t="shared" si="281"/>
        <v>1.1999999999999993</v>
      </c>
      <c r="AD249" s="7">
        <f t="shared" si="282"/>
        <v>6.0621778264910704</v>
      </c>
      <c r="AE249" s="7">
        <f t="shared" si="283"/>
        <v>0.1979486637221573</v>
      </c>
      <c r="AF249" s="7">
        <f t="shared" si="284"/>
        <v>0.16369874437992682</v>
      </c>
      <c r="AG249" s="7" t="s">
        <v>193</v>
      </c>
      <c r="AI249" s="10" t="s">
        <v>780</v>
      </c>
      <c r="AJ249" s="4" t="s">
        <v>348</v>
      </c>
      <c r="AL249" s="4" t="s">
        <v>839</v>
      </c>
      <c r="AM249" s="4" t="s">
        <v>724</v>
      </c>
      <c r="AN249" s="10" t="s">
        <v>157</v>
      </c>
    </row>
    <row r="250" spans="1:40" s="10" customFormat="1" x14ac:dyDescent="0.2">
      <c r="A250" s="4">
        <v>2017</v>
      </c>
      <c r="B250" s="25">
        <v>27974526</v>
      </c>
      <c r="C250" s="4" t="s">
        <v>104</v>
      </c>
      <c r="D250" s="4"/>
      <c r="E250" s="10" t="s">
        <v>157</v>
      </c>
      <c r="F250" s="4" t="s">
        <v>94</v>
      </c>
      <c r="G250" s="4" t="s">
        <v>95</v>
      </c>
      <c r="H250" s="4" t="s">
        <v>95</v>
      </c>
      <c r="I250" s="4">
        <v>30</v>
      </c>
      <c r="J250" s="4" t="s">
        <v>997</v>
      </c>
      <c r="K250" s="4" t="s">
        <v>86</v>
      </c>
      <c r="L250" s="4" t="s">
        <v>156</v>
      </c>
      <c r="M250" s="4" t="s">
        <v>903</v>
      </c>
      <c r="N250" s="4" t="s">
        <v>766</v>
      </c>
      <c r="O250" s="4" t="s">
        <v>999</v>
      </c>
      <c r="P250" s="4" t="s">
        <v>809</v>
      </c>
      <c r="Q250" s="4">
        <v>2</v>
      </c>
      <c r="R250" s="4">
        <v>79</v>
      </c>
      <c r="S250" s="10">
        <v>52</v>
      </c>
      <c r="T250" s="13">
        <v>19</v>
      </c>
      <c r="U250" s="4" t="s">
        <v>640</v>
      </c>
      <c r="V250" s="4" t="s">
        <v>635</v>
      </c>
      <c r="W250" s="7">
        <v>134</v>
      </c>
      <c r="X250" s="7">
        <v>135.6</v>
      </c>
      <c r="Y250" s="7">
        <f t="shared" ref="Y250" si="285">1.1*SQRT(AA250)</f>
        <v>9.7770138590471483</v>
      </c>
      <c r="Z250" s="7">
        <f t="shared" ref="Z250" si="286">1.1*SQRT(AB250)</f>
        <v>9.7770138590471483</v>
      </c>
      <c r="AA250" s="16">
        <v>79</v>
      </c>
      <c r="AB250" s="16">
        <v>79</v>
      </c>
      <c r="AC250" s="7">
        <f t="shared" ref="AC250:AC255" si="287">W250-X250</f>
        <v>-1.5999999999999943</v>
      </c>
      <c r="AD250" s="7">
        <f t="shared" ref="AD250:AD255" si="288">SQRT(((AA250-1)*Y250^2+(AB250-1)*Z250^2)/(AA250+AB250-2))</f>
        <v>9.7770138590471483</v>
      </c>
      <c r="AE250" s="7">
        <f t="shared" ref="AE250:AE255" si="289">AC250/AD250</f>
        <v>-0.16364914922560289</v>
      </c>
      <c r="AF250" s="7">
        <f t="shared" ref="AF250:AF255" si="290">SQRT(((AA250+AB250)/(AA250*AB250)+(AE250^2/(2*(AA250+AB250)))))</f>
        <v>0.15937755750285792</v>
      </c>
      <c r="AG250" s="7" t="s">
        <v>193</v>
      </c>
      <c r="AI250" s="10" t="s">
        <v>780</v>
      </c>
      <c r="AJ250" s="4" t="s">
        <v>328</v>
      </c>
      <c r="AK250" s="4" t="s">
        <v>1298</v>
      </c>
      <c r="AL250" s="4"/>
      <c r="AM250" s="4" t="s">
        <v>998</v>
      </c>
      <c r="AN250" s="10" t="s">
        <v>157</v>
      </c>
    </row>
    <row r="251" spans="1:40" s="10" customFormat="1" x14ac:dyDescent="0.2">
      <c r="A251" s="4">
        <v>2017</v>
      </c>
      <c r="B251" s="6">
        <v>27974526</v>
      </c>
      <c r="C251" s="4" t="s">
        <v>104</v>
      </c>
      <c r="D251" s="4"/>
      <c r="E251" s="10" t="s">
        <v>157</v>
      </c>
      <c r="F251" s="4" t="s">
        <v>94</v>
      </c>
      <c r="G251" s="4" t="s">
        <v>95</v>
      </c>
      <c r="H251" s="4" t="s">
        <v>95</v>
      </c>
      <c r="I251" s="4">
        <v>30</v>
      </c>
      <c r="J251" s="4" t="s">
        <v>997</v>
      </c>
      <c r="K251" s="4" t="s">
        <v>86</v>
      </c>
      <c r="L251" s="4" t="s">
        <v>156</v>
      </c>
      <c r="M251" s="4" t="s">
        <v>903</v>
      </c>
      <c r="N251" s="4" t="s">
        <v>766</v>
      </c>
      <c r="O251" s="4" t="s">
        <v>999</v>
      </c>
      <c r="P251" s="4" t="s">
        <v>809</v>
      </c>
      <c r="Q251" s="4">
        <v>2</v>
      </c>
      <c r="R251" s="4">
        <v>79</v>
      </c>
      <c r="S251" s="10">
        <v>52</v>
      </c>
      <c r="T251" s="13">
        <v>19</v>
      </c>
      <c r="U251" s="4" t="s">
        <v>641</v>
      </c>
      <c r="V251" s="4" t="s">
        <v>635</v>
      </c>
      <c r="W251" s="7">
        <v>82.8</v>
      </c>
      <c r="X251" s="7">
        <v>83.6</v>
      </c>
      <c r="Y251" s="7">
        <f>0.8*SQRT(AA251)</f>
        <v>7.1105555338524713</v>
      </c>
      <c r="Z251" s="7">
        <f>0.8*SQRT(AB251)</f>
        <v>7.1105555338524713</v>
      </c>
      <c r="AA251" s="16">
        <v>79</v>
      </c>
      <c r="AB251" s="16">
        <v>79</v>
      </c>
      <c r="AC251" s="7">
        <f t="shared" si="287"/>
        <v>-0.79999999999999716</v>
      </c>
      <c r="AD251" s="7">
        <f t="shared" si="288"/>
        <v>7.1105555338524713</v>
      </c>
      <c r="AE251" s="7">
        <f t="shared" si="289"/>
        <v>-0.11250879009260199</v>
      </c>
      <c r="AF251" s="7">
        <f t="shared" si="290"/>
        <v>0.15923728639758386</v>
      </c>
      <c r="AG251" s="7" t="s">
        <v>193</v>
      </c>
      <c r="AI251" s="10" t="s">
        <v>780</v>
      </c>
      <c r="AJ251" s="4" t="s">
        <v>328</v>
      </c>
      <c r="AK251" s="4" t="s">
        <v>1298</v>
      </c>
      <c r="AL251" s="4"/>
      <c r="AM251" s="4" t="s">
        <v>998</v>
      </c>
      <c r="AN251" s="10" t="s">
        <v>157</v>
      </c>
    </row>
    <row r="252" spans="1:40" s="10" customFormat="1" x14ac:dyDescent="0.2">
      <c r="A252" s="4">
        <v>2017</v>
      </c>
      <c r="B252" s="6">
        <v>27974526</v>
      </c>
      <c r="C252" s="4" t="s">
        <v>104</v>
      </c>
      <c r="D252" s="4"/>
      <c r="E252" s="10" t="s">
        <v>157</v>
      </c>
      <c r="F252" s="4" t="s">
        <v>94</v>
      </c>
      <c r="G252" s="4" t="s">
        <v>95</v>
      </c>
      <c r="H252" s="4" t="s">
        <v>95</v>
      </c>
      <c r="I252" s="4">
        <v>30</v>
      </c>
      <c r="J252" s="4" t="s">
        <v>997</v>
      </c>
      <c r="K252" s="4" t="s">
        <v>86</v>
      </c>
      <c r="L252" s="4" t="s">
        <v>156</v>
      </c>
      <c r="M252" s="4" t="s">
        <v>903</v>
      </c>
      <c r="N252" s="4" t="s">
        <v>766</v>
      </c>
      <c r="O252" s="4" t="s">
        <v>999</v>
      </c>
      <c r="P252" s="4" t="s">
        <v>809</v>
      </c>
      <c r="Q252" s="4">
        <v>2</v>
      </c>
      <c r="R252" s="4">
        <v>79</v>
      </c>
      <c r="S252" s="10">
        <v>52</v>
      </c>
      <c r="T252" s="13">
        <v>19</v>
      </c>
      <c r="U252" s="4" t="s">
        <v>644</v>
      </c>
      <c r="V252" s="10" t="s">
        <v>635</v>
      </c>
      <c r="W252" s="4">
        <v>137.9</v>
      </c>
      <c r="X252" s="7">
        <v>139.69999999999999</v>
      </c>
      <c r="Y252" s="7">
        <f>1.1*SQRT(AA252)</f>
        <v>9.7770138590471483</v>
      </c>
      <c r="Z252" s="7">
        <f>1.1*SQRT(AB252)</f>
        <v>9.7770138590471483</v>
      </c>
      <c r="AA252" s="16">
        <v>79</v>
      </c>
      <c r="AB252" s="16">
        <v>79</v>
      </c>
      <c r="AC252" s="7">
        <f t="shared" si="287"/>
        <v>-1.7999999999999829</v>
      </c>
      <c r="AD252" s="7">
        <f t="shared" si="288"/>
        <v>9.7770138590471483</v>
      </c>
      <c r="AE252" s="7">
        <f t="shared" si="289"/>
        <v>-0.18410529287880215</v>
      </c>
      <c r="AF252" s="7">
        <f t="shared" si="290"/>
        <v>0.15944816584504215</v>
      </c>
      <c r="AG252" s="7" t="s">
        <v>193</v>
      </c>
      <c r="AI252" s="10" t="s">
        <v>780</v>
      </c>
      <c r="AJ252" s="4" t="s">
        <v>328</v>
      </c>
      <c r="AK252" s="4" t="s">
        <v>1298</v>
      </c>
      <c r="AL252" s="4"/>
      <c r="AM252" s="4" t="s">
        <v>998</v>
      </c>
      <c r="AN252" s="10" t="s">
        <v>157</v>
      </c>
    </row>
    <row r="253" spans="1:40" s="10" customFormat="1" x14ac:dyDescent="0.2">
      <c r="A253" s="4">
        <v>2017</v>
      </c>
      <c r="B253" s="6">
        <v>27974526</v>
      </c>
      <c r="C253" s="4" t="s">
        <v>104</v>
      </c>
      <c r="D253" s="4"/>
      <c r="E253" s="10" t="s">
        <v>157</v>
      </c>
      <c r="F253" s="4" t="s">
        <v>94</v>
      </c>
      <c r="G253" s="4" t="s">
        <v>95</v>
      </c>
      <c r="H253" s="4" t="s">
        <v>95</v>
      </c>
      <c r="I253" s="4">
        <v>30</v>
      </c>
      <c r="J253" s="4" t="s">
        <v>997</v>
      </c>
      <c r="K253" s="4" t="s">
        <v>86</v>
      </c>
      <c r="L253" s="4" t="s">
        <v>156</v>
      </c>
      <c r="M253" s="4" t="s">
        <v>903</v>
      </c>
      <c r="N253" s="4" t="s">
        <v>766</v>
      </c>
      <c r="O253" s="4" t="s">
        <v>999</v>
      </c>
      <c r="P253" s="4" t="s">
        <v>809</v>
      </c>
      <c r="Q253" s="4">
        <v>2</v>
      </c>
      <c r="R253" s="4">
        <v>79</v>
      </c>
      <c r="S253" s="10">
        <v>52</v>
      </c>
      <c r="T253" s="13">
        <v>19</v>
      </c>
      <c r="U253" s="4" t="s">
        <v>645</v>
      </c>
      <c r="V253" s="4" t="s">
        <v>635</v>
      </c>
      <c r="W253" s="7">
        <v>85.6</v>
      </c>
      <c r="X253" s="7">
        <v>86.7</v>
      </c>
      <c r="Y253" s="7">
        <f>0.9*SQRT(AA253)</f>
        <v>7.99937497558403</v>
      </c>
      <c r="Z253" s="7">
        <f>0.9*SQRT(AB253)</f>
        <v>7.99937497558403</v>
      </c>
      <c r="AA253" s="16">
        <v>79</v>
      </c>
      <c r="AB253" s="16">
        <v>79</v>
      </c>
      <c r="AC253" s="7">
        <f t="shared" si="287"/>
        <v>-1.1000000000000085</v>
      </c>
      <c r="AD253" s="7">
        <f t="shared" si="288"/>
        <v>7.99937497558403</v>
      </c>
      <c r="AE253" s="7">
        <f t="shared" si="289"/>
        <v>-0.13751074344651509</v>
      </c>
      <c r="AF253" s="7">
        <f t="shared" si="290"/>
        <v>0.15929938779276401</v>
      </c>
      <c r="AG253" s="7" t="s">
        <v>193</v>
      </c>
      <c r="AI253" s="10" t="s">
        <v>780</v>
      </c>
      <c r="AJ253" s="4" t="s">
        <v>328</v>
      </c>
      <c r="AK253" s="4" t="s">
        <v>1298</v>
      </c>
      <c r="AL253" s="4"/>
      <c r="AM253" s="4" t="s">
        <v>998</v>
      </c>
      <c r="AN253" s="10" t="s">
        <v>157</v>
      </c>
    </row>
    <row r="254" spans="1:40" s="10" customFormat="1" x14ac:dyDescent="0.2">
      <c r="A254" s="4">
        <v>2017</v>
      </c>
      <c r="B254" s="6">
        <v>27974526</v>
      </c>
      <c r="C254" s="4" t="s">
        <v>104</v>
      </c>
      <c r="D254" s="4"/>
      <c r="E254" s="10" t="s">
        <v>157</v>
      </c>
      <c r="F254" s="4" t="s">
        <v>94</v>
      </c>
      <c r="G254" s="4" t="s">
        <v>95</v>
      </c>
      <c r="H254" s="4" t="s">
        <v>95</v>
      </c>
      <c r="I254" s="4">
        <v>30</v>
      </c>
      <c r="J254" s="4" t="s">
        <v>997</v>
      </c>
      <c r="K254" s="4" t="s">
        <v>86</v>
      </c>
      <c r="L254" s="4" t="s">
        <v>156</v>
      </c>
      <c r="M254" s="4" t="s">
        <v>903</v>
      </c>
      <c r="N254" s="4" t="s">
        <v>766</v>
      </c>
      <c r="O254" s="4" t="s">
        <v>999</v>
      </c>
      <c r="P254" s="4" t="s">
        <v>809</v>
      </c>
      <c r="Q254" s="4">
        <v>2</v>
      </c>
      <c r="R254" s="4">
        <v>79</v>
      </c>
      <c r="S254" s="10">
        <v>52</v>
      </c>
      <c r="T254" s="13">
        <v>19</v>
      </c>
      <c r="U254" s="4" t="s">
        <v>637</v>
      </c>
      <c r="V254" s="4" t="s">
        <v>642</v>
      </c>
      <c r="W254" s="7">
        <v>118.7</v>
      </c>
      <c r="X254" s="7">
        <v>119.8</v>
      </c>
      <c r="Y254" s="7">
        <f>1.4*SQRT(AA254)</f>
        <v>12.443472184241823</v>
      </c>
      <c r="Z254" s="7">
        <f>1.4*SQRT(AB254)</f>
        <v>12.443472184241823</v>
      </c>
      <c r="AA254" s="16">
        <v>79</v>
      </c>
      <c r="AB254" s="16">
        <v>79</v>
      </c>
      <c r="AC254" s="7">
        <f t="shared" si="287"/>
        <v>-1.0999999999999943</v>
      </c>
      <c r="AD254" s="7">
        <f t="shared" si="288"/>
        <v>12.443472184241823</v>
      </c>
      <c r="AE254" s="7">
        <f t="shared" si="289"/>
        <v>-8.839976364418714E-2</v>
      </c>
      <c r="AF254" s="7">
        <f t="shared" si="290"/>
        <v>0.15918914907812118</v>
      </c>
      <c r="AG254" s="7" t="s">
        <v>193</v>
      </c>
      <c r="AH254" s="10" t="s">
        <v>193</v>
      </c>
      <c r="AI254" s="10" t="s">
        <v>780</v>
      </c>
      <c r="AJ254" s="4" t="s">
        <v>328</v>
      </c>
      <c r="AK254" s="4" t="s">
        <v>1299</v>
      </c>
      <c r="AL254" s="4"/>
      <c r="AM254" s="4" t="s">
        <v>998</v>
      </c>
      <c r="AN254" s="10" t="s">
        <v>157</v>
      </c>
    </row>
    <row r="255" spans="1:40" s="10" customFormat="1" x14ac:dyDescent="0.2">
      <c r="A255" s="4">
        <v>2017</v>
      </c>
      <c r="B255" s="6">
        <v>27974526</v>
      </c>
      <c r="C255" s="4" t="s">
        <v>104</v>
      </c>
      <c r="D255" s="4"/>
      <c r="E255" s="10" t="s">
        <v>157</v>
      </c>
      <c r="F255" s="4" t="s">
        <v>94</v>
      </c>
      <c r="G255" s="4" t="s">
        <v>95</v>
      </c>
      <c r="H255" s="4" t="s">
        <v>95</v>
      </c>
      <c r="I255" s="4">
        <v>30</v>
      </c>
      <c r="J255" s="4" t="s">
        <v>997</v>
      </c>
      <c r="K255" s="4" t="s">
        <v>86</v>
      </c>
      <c r="L255" s="4" t="s">
        <v>156</v>
      </c>
      <c r="M255" s="4" t="s">
        <v>903</v>
      </c>
      <c r="N255" s="4" t="s">
        <v>766</v>
      </c>
      <c r="O255" s="4" t="s">
        <v>999</v>
      </c>
      <c r="P255" s="4" t="s">
        <v>809</v>
      </c>
      <c r="Q255" s="4">
        <v>2</v>
      </c>
      <c r="R255" s="4">
        <v>79</v>
      </c>
      <c r="S255" s="10">
        <v>52</v>
      </c>
      <c r="T255" s="13">
        <v>19</v>
      </c>
      <c r="U255" s="4" t="s">
        <v>638</v>
      </c>
      <c r="V255" s="4" t="s">
        <v>642</v>
      </c>
      <c r="W255" s="7">
        <v>71.7</v>
      </c>
      <c r="X255" s="7">
        <v>72</v>
      </c>
      <c r="Y255" s="7">
        <f>0.9*SQRT(AA255)</f>
        <v>7.99937497558403</v>
      </c>
      <c r="Z255" s="7">
        <f>0.9*SQRT(AB255)</f>
        <v>7.99937497558403</v>
      </c>
      <c r="AA255" s="16">
        <v>79</v>
      </c>
      <c r="AB255" s="16">
        <v>79</v>
      </c>
      <c r="AC255" s="7">
        <f t="shared" si="287"/>
        <v>-0.29999999999999716</v>
      </c>
      <c r="AD255" s="7">
        <f t="shared" si="288"/>
        <v>7.99937497558403</v>
      </c>
      <c r="AE255" s="7">
        <f t="shared" si="289"/>
        <v>-3.7502930030867111E-2</v>
      </c>
      <c r="AF255" s="7">
        <f t="shared" si="290"/>
        <v>0.1591254428112496</v>
      </c>
      <c r="AG255" s="7" t="s">
        <v>193</v>
      </c>
      <c r="AI255" s="10" t="s">
        <v>780</v>
      </c>
      <c r="AJ255" s="4" t="s">
        <v>328</v>
      </c>
      <c r="AK255" s="4" t="s">
        <v>1298</v>
      </c>
      <c r="AL255" s="4"/>
      <c r="AM255" s="4" t="s">
        <v>998</v>
      </c>
      <c r="AN255" s="10" t="s">
        <v>157</v>
      </c>
    </row>
    <row r="256" spans="1:40" s="10" customFormat="1" hidden="1" x14ac:dyDescent="0.2">
      <c r="A256" s="4">
        <v>1997</v>
      </c>
      <c r="B256" s="6">
        <v>9469797</v>
      </c>
      <c r="C256" s="4" t="s">
        <v>104</v>
      </c>
      <c r="D256" s="4"/>
      <c r="E256" s="4" t="s">
        <v>157</v>
      </c>
      <c r="F256" s="4" t="s">
        <v>94</v>
      </c>
      <c r="G256" s="4" t="s">
        <v>95</v>
      </c>
      <c r="H256" s="4" t="s">
        <v>95</v>
      </c>
      <c r="I256" s="4">
        <v>30</v>
      </c>
      <c r="J256" s="4" t="s">
        <v>86</v>
      </c>
      <c r="K256" s="4" t="s">
        <v>86</v>
      </c>
      <c r="L256" s="4" t="s">
        <v>412</v>
      </c>
      <c r="M256" s="10" t="s">
        <v>903</v>
      </c>
      <c r="N256" s="10" t="s">
        <v>766</v>
      </c>
      <c r="P256" s="10" t="s">
        <v>911</v>
      </c>
      <c r="Q256" s="10">
        <v>2</v>
      </c>
      <c r="R256" s="10">
        <v>18</v>
      </c>
      <c r="S256" s="10">
        <v>68</v>
      </c>
      <c r="T256" s="13">
        <v>0</v>
      </c>
      <c r="U256" s="4" t="s">
        <v>640</v>
      </c>
      <c r="V256" s="4" t="s">
        <v>642</v>
      </c>
      <c r="W256" s="7">
        <v>140.6</v>
      </c>
      <c r="X256" s="7">
        <v>141.30000000000001</v>
      </c>
      <c r="Y256" s="7">
        <f>2.5*SQRT(18)</f>
        <v>10.606601717798211</v>
      </c>
      <c r="Z256" s="7">
        <f>3*SQRT(18)</f>
        <v>12.727922061357855</v>
      </c>
      <c r="AA256" s="16">
        <v>18</v>
      </c>
      <c r="AB256" s="16">
        <v>18</v>
      </c>
      <c r="AC256" s="7">
        <f t="shared" si="281"/>
        <v>-0.70000000000001705</v>
      </c>
      <c r="AD256" s="7">
        <f t="shared" si="282"/>
        <v>11.715374513859981</v>
      </c>
      <c r="AE256" s="7">
        <f t="shared" si="283"/>
        <v>-5.9750543968686246E-2</v>
      </c>
      <c r="AF256" s="7">
        <f t="shared" si="284"/>
        <v>0.33340770269347564</v>
      </c>
      <c r="AG256" s="7" t="s">
        <v>193</v>
      </c>
      <c r="AI256" s="10" t="s">
        <v>780</v>
      </c>
      <c r="AJ256" s="4" t="s">
        <v>328</v>
      </c>
      <c r="AK256" s="4"/>
      <c r="AL256" s="4"/>
      <c r="AM256" s="4" t="s">
        <v>725</v>
      </c>
      <c r="AN256" s="10" t="s">
        <v>157</v>
      </c>
    </row>
    <row r="257" spans="1:40" s="10" customFormat="1" hidden="1" x14ac:dyDescent="0.2">
      <c r="A257" s="4">
        <v>1997</v>
      </c>
      <c r="B257" s="6">
        <v>9469797</v>
      </c>
      <c r="C257" s="4" t="s">
        <v>104</v>
      </c>
      <c r="D257" s="4"/>
      <c r="E257" s="4" t="s">
        <v>157</v>
      </c>
      <c r="F257" s="4" t="s">
        <v>94</v>
      </c>
      <c r="G257" s="4" t="s">
        <v>95</v>
      </c>
      <c r="H257" s="4" t="s">
        <v>95</v>
      </c>
      <c r="I257" s="4">
        <v>30</v>
      </c>
      <c r="J257" s="4" t="s">
        <v>86</v>
      </c>
      <c r="K257" s="4" t="s">
        <v>86</v>
      </c>
      <c r="L257" s="4" t="s">
        <v>412</v>
      </c>
      <c r="M257" s="10" t="s">
        <v>903</v>
      </c>
      <c r="N257" s="10" t="s">
        <v>766</v>
      </c>
      <c r="P257" s="10" t="s">
        <v>911</v>
      </c>
      <c r="Q257" s="10">
        <v>2</v>
      </c>
      <c r="R257" s="10">
        <v>18</v>
      </c>
      <c r="S257" s="10">
        <v>68</v>
      </c>
      <c r="T257" s="13">
        <v>0</v>
      </c>
      <c r="U257" s="4" t="s">
        <v>641</v>
      </c>
      <c r="V257" s="4" t="s">
        <v>642</v>
      </c>
      <c r="W257" s="7">
        <v>86.3</v>
      </c>
      <c r="X257" s="7">
        <v>86.3</v>
      </c>
      <c r="Y257" s="7">
        <f>1.2*SQRT(18)</f>
        <v>5.0911688245431419</v>
      </c>
      <c r="Z257" s="7">
        <f>1.3*SQRT(18)</f>
        <v>5.5154328932550705</v>
      </c>
      <c r="AA257" s="16">
        <v>18</v>
      </c>
      <c r="AB257" s="16">
        <v>18</v>
      </c>
      <c r="AC257" s="7">
        <f t="shared" ref="AC257:AC269" si="291">W257-X257</f>
        <v>0</v>
      </c>
      <c r="AD257" s="7">
        <f t="shared" ref="AD257:AD269" si="292">SQRT(((AA257-1)*Y257^2+(AB257-1)*Z257^2)/(AA257+AB257-2))</f>
        <v>5.3075418038862399</v>
      </c>
      <c r="AE257" s="7">
        <f t="shared" ref="AE257:AE269" si="293">AC257/AD257</f>
        <v>0</v>
      </c>
      <c r="AF257" s="7">
        <f t="shared" ref="AF257:AF269" si="294">SQRT(((AA257+AB257)/(AA257*AB257)+(AE257^2/(2*(AA257+AB257)))))</f>
        <v>0.33333333333333331</v>
      </c>
      <c r="AG257" s="7" t="s">
        <v>193</v>
      </c>
      <c r="AI257" s="10" t="s">
        <v>780</v>
      </c>
      <c r="AJ257" s="4" t="s">
        <v>642</v>
      </c>
      <c r="AK257" s="4"/>
      <c r="AL257" s="4"/>
      <c r="AM257" s="4" t="s">
        <v>725</v>
      </c>
      <c r="AN257" s="10" t="s">
        <v>157</v>
      </c>
    </row>
    <row r="258" spans="1:40" s="10" customFormat="1" hidden="1" x14ac:dyDescent="0.2">
      <c r="A258" s="4">
        <v>1997</v>
      </c>
      <c r="B258" s="6">
        <v>9469797</v>
      </c>
      <c r="C258" s="4" t="s">
        <v>104</v>
      </c>
      <c r="D258" s="4"/>
      <c r="E258" s="4" t="s">
        <v>157</v>
      </c>
      <c r="F258" s="4" t="s">
        <v>94</v>
      </c>
      <c r="G258" s="4" t="s">
        <v>95</v>
      </c>
      <c r="H258" s="4" t="s">
        <v>95</v>
      </c>
      <c r="I258" s="4">
        <v>30</v>
      </c>
      <c r="J258" s="4" t="s">
        <v>86</v>
      </c>
      <c r="K258" s="4" t="s">
        <v>86</v>
      </c>
      <c r="L258" s="4" t="s">
        <v>412</v>
      </c>
      <c r="M258" s="10" t="s">
        <v>903</v>
      </c>
      <c r="N258" s="10" t="s">
        <v>766</v>
      </c>
      <c r="P258" s="10" t="s">
        <v>911</v>
      </c>
      <c r="Q258" s="10">
        <v>2</v>
      </c>
      <c r="R258" s="10">
        <v>18</v>
      </c>
      <c r="S258" s="10">
        <v>68</v>
      </c>
      <c r="T258" s="13">
        <v>0</v>
      </c>
      <c r="U258" s="4" t="s">
        <v>644</v>
      </c>
      <c r="V258" s="4" t="s">
        <v>635</v>
      </c>
      <c r="W258" s="7">
        <v>144.69999999999999</v>
      </c>
      <c r="X258" s="7">
        <v>147.5</v>
      </c>
      <c r="Y258" s="7">
        <f>2.8*SQRT(18)</f>
        <v>11.879393923933996</v>
      </c>
      <c r="Z258" s="7">
        <f>3.1*SQRT(18)</f>
        <v>13.152186130069783</v>
      </c>
      <c r="AA258" s="16">
        <v>18</v>
      </c>
      <c r="AB258" s="16">
        <v>18</v>
      </c>
      <c r="AC258" s="7">
        <f t="shared" si="291"/>
        <v>-2.8000000000000114</v>
      </c>
      <c r="AD258" s="7">
        <f t="shared" si="292"/>
        <v>12.531959144523253</v>
      </c>
      <c r="AE258" s="7">
        <f t="shared" si="293"/>
        <v>-0.22342875265625761</v>
      </c>
      <c r="AF258" s="7">
        <f t="shared" si="294"/>
        <v>0.33437172443906588</v>
      </c>
      <c r="AG258" s="7" t="s">
        <v>193</v>
      </c>
      <c r="AI258" s="10" t="s">
        <v>780</v>
      </c>
      <c r="AJ258" s="4" t="s">
        <v>328</v>
      </c>
      <c r="AK258" s="4"/>
      <c r="AL258" s="4"/>
      <c r="AM258" s="4" t="s">
        <v>725</v>
      </c>
      <c r="AN258" s="10" t="s">
        <v>157</v>
      </c>
    </row>
    <row r="259" spans="1:40" s="10" customFormat="1" hidden="1" x14ac:dyDescent="0.2">
      <c r="A259" s="4">
        <v>1997</v>
      </c>
      <c r="B259" s="6">
        <v>9469797</v>
      </c>
      <c r="C259" s="4" t="s">
        <v>104</v>
      </c>
      <c r="D259" s="4"/>
      <c r="E259" s="4" t="s">
        <v>157</v>
      </c>
      <c r="F259" s="4" t="s">
        <v>94</v>
      </c>
      <c r="G259" s="4" t="s">
        <v>95</v>
      </c>
      <c r="H259" s="4" t="s">
        <v>95</v>
      </c>
      <c r="I259" s="4">
        <v>30</v>
      </c>
      <c r="J259" s="4" t="s">
        <v>86</v>
      </c>
      <c r="K259" s="4" t="s">
        <v>86</v>
      </c>
      <c r="L259" s="4" t="s">
        <v>412</v>
      </c>
      <c r="M259" s="10" t="s">
        <v>903</v>
      </c>
      <c r="N259" s="10" t="s">
        <v>766</v>
      </c>
      <c r="P259" s="10" t="s">
        <v>911</v>
      </c>
      <c r="Q259" s="10">
        <v>2</v>
      </c>
      <c r="R259" s="10">
        <v>18</v>
      </c>
      <c r="S259" s="10">
        <v>68</v>
      </c>
      <c r="T259" s="13">
        <v>0</v>
      </c>
      <c r="U259" s="4" t="s">
        <v>645</v>
      </c>
      <c r="V259" s="4" t="s">
        <v>642</v>
      </c>
      <c r="W259" s="7">
        <v>90</v>
      </c>
      <c r="X259" s="7">
        <v>90.8</v>
      </c>
      <c r="Y259" s="7">
        <f>1.4*SQRT(18)</f>
        <v>5.9396969619669981</v>
      </c>
      <c r="Z259" s="7">
        <f>1.4*SQRT(18)</f>
        <v>5.9396969619669981</v>
      </c>
      <c r="AA259" s="16">
        <v>18</v>
      </c>
      <c r="AB259" s="16">
        <v>18</v>
      </c>
      <c r="AC259" s="7">
        <f t="shared" si="291"/>
        <v>-0.79999999999999716</v>
      </c>
      <c r="AD259" s="7">
        <f t="shared" si="292"/>
        <v>5.9396969619669981</v>
      </c>
      <c r="AE259" s="7">
        <f t="shared" si="293"/>
        <v>-0.13468700594029431</v>
      </c>
      <c r="AF259" s="7">
        <f t="shared" si="294"/>
        <v>0.33371104827981962</v>
      </c>
      <c r="AG259" s="7" t="s">
        <v>193</v>
      </c>
      <c r="AI259" s="10" t="s">
        <v>780</v>
      </c>
      <c r="AJ259" s="4" t="s">
        <v>328</v>
      </c>
      <c r="AK259" s="4"/>
      <c r="AL259" s="4"/>
      <c r="AM259" s="4" t="s">
        <v>725</v>
      </c>
      <c r="AN259" s="10" t="s">
        <v>157</v>
      </c>
    </row>
    <row r="260" spans="1:40" s="10" customFormat="1" hidden="1" x14ac:dyDescent="0.2">
      <c r="A260" s="4">
        <v>1997</v>
      </c>
      <c r="B260" s="6">
        <v>9469797</v>
      </c>
      <c r="C260" s="4" t="s">
        <v>104</v>
      </c>
      <c r="D260" s="4"/>
      <c r="E260" s="4" t="s">
        <v>157</v>
      </c>
      <c r="F260" s="4" t="s">
        <v>94</v>
      </c>
      <c r="G260" s="4" t="s">
        <v>95</v>
      </c>
      <c r="H260" s="4" t="s">
        <v>95</v>
      </c>
      <c r="I260" s="4">
        <v>30</v>
      </c>
      <c r="J260" s="4" t="s">
        <v>86</v>
      </c>
      <c r="K260" s="4" t="s">
        <v>86</v>
      </c>
      <c r="L260" s="4" t="s">
        <v>412</v>
      </c>
      <c r="M260" s="10" t="s">
        <v>903</v>
      </c>
      <c r="N260" s="10" t="s">
        <v>766</v>
      </c>
      <c r="P260" s="10" t="s">
        <v>911</v>
      </c>
      <c r="Q260" s="10">
        <v>2</v>
      </c>
      <c r="R260" s="10">
        <v>18</v>
      </c>
      <c r="S260" s="10">
        <v>68</v>
      </c>
      <c r="T260" s="13">
        <v>0</v>
      </c>
      <c r="U260" s="4" t="s">
        <v>637</v>
      </c>
      <c r="V260" s="4" t="s">
        <v>635</v>
      </c>
      <c r="W260" s="7">
        <v>130.1</v>
      </c>
      <c r="X260" s="7">
        <v>126.6</v>
      </c>
      <c r="Y260" s="7">
        <f>2.2*SQRT(18)</f>
        <v>9.3338095116624267</v>
      </c>
      <c r="Z260" s="7">
        <f>2.9*SQRT(18)</f>
        <v>12.303657992645926</v>
      </c>
      <c r="AA260" s="16">
        <v>18</v>
      </c>
      <c r="AB260" s="16">
        <v>18</v>
      </c>
      <c r="AC260" s="7">
        <f t="shared" si="291"/>
        <v>3.5</v>
      </c>
      <c r="AD260" s="7">
        <f t="shared" si="292"/>
        <v>10.920164833920776</v>
      </c>
      <c r="AE260" s="7">
        <f t="shared" si="293"/>
        <v>0.32050798254694113</v>
      </c>
      <c r="AF260" s="7">
        <f t="shared" si="294"/>
        <v>0.33546661878304151</v>
      </c>
      <c r="AG260" s="7" t="s">
        <v>193</v>
      </c>
      <c r="AH260" s="4" t="s">
        <v>193</v>
      </c>
      <c r="AI260" s="10" t="s">
        <v>780</v>
      </c>
      <c r="AJ260" s="4" t="s">
        <v>348</v>
      </c>
      <c r="AK260" s="4"/>
      <c r="AL260" s="4"/>
      <c r="AM260" s="4" t="s">
        <v>725</v>
      </c>
      <c r="AN260" s="10" t="s">
        <v>157</v>
      </c>
    </row>
    <row r="261" spans="1:40" s="10" customFormat="1" hidden="1" x14ac:dyDescent="0.2">
      <c r="A261" s="4">
        <v>1997</v>
      </c>
      <c r="B261" s="6">
        <v>9469797</v>
      </c>
      <c r="C261" s="4" t="s">
        <v>104</v>
      </c>
      <c r="D261" s="4"/>
      <c r="E261" s="4" t="s">
        <v>157</v>
      </c>
      <c r="F261" s="4" t="s">
        <v>94</v>
      </c>
      <c r="G261" s="4" t="s">
        <v>95</v>
      </c>
      <c r="H261" s="4" t="s">
        <v>95</v>
      </c>
      <c r="I261" s="4">
        <v>30</v>
      </c>
      <c r="J261" s="4" t="s">
        <v>86</v>
      </c>
      <c r="K261" s="4" t="s">
        <v>86</v>
      </c>
      <c r="L261" s="4" t="s">
        <v>412</v>
      </c>
      <c r="M261" s="10" t="s">
        <v>903</v>
      </c>
      <c r="N261" s="10" t="s">
        <v>766</v>
      </c>
      <c r="P261" s="10" t="s">
        <v>911</v>
      </c>
      <c r="Q261" s="10">
        <v>2</v>
      </c>
      <c r="R261" s="10">
        <v>18</v>
      </c>
      <c r="S261" s="10">
        <v>68</v>
      </c>
      <c r="T261" s="13">
        <v>0</v>
      </c>
      <c r="U261" s="4" t="s">
        <v>638</v>
      </c>
      <c r="V261" s="4" t="s">
        <v>635</v>
      </c>
      <c r="W261" s="7">
        <v>77.400000000000006</v>
      </c>
      <c r="X261" s="7">
        <v>75.400000000000006</v>
      </c>
      <c r="Y261" s="7">
        <f>1.4*SQRT(18)</f>
        <v>5.9396969619669981</v>
      </c>
      <c r="Z261" s="7">
        <f>1.5*SQRT(18)</f>
        <v>6.3639610306789276</v>
      </c>
      <c r="AA261" s="16">
        <v>18</v>
      </c>
      <c r="AB261" s="16">
        <v>18</v>
      </c>
      <c r="AC261" s="7">
        <f t="shared" si="291"/>
        <v>2</v>
      </c>
      <c r="AD261" s="7">
        <f t="shared" si="292"/>
        <v>6.1554853586049569</v>
      </c>
      <c r="AE261" s="7">
        <f t="shared" si="293"/>
        <v>0.32491345255238624</v>
      </c>
      <c r="AF261" s="7">
        <f t="shared" si="294"/>
        <v>0.33552547410429195</v>
      </c>
      <c r="AG261" s="7" t="s">
        <v>193</v>
      </c>
      <c r="AH261" s="4"/>
      <c r="AI261" s="10" t="s">
        <v>780</v>
      </c>
      <c r="AJ261" s="4" t="s">
        <v>348</v>
      </c>
      <c r="AK261" s="4"/>
      <c r="AL261" s="4"/>
      <c r="AM261" s="4" t="s">
        <v>725</v>
      </c>
      <c r="AN261" s="10" t="s">
        <v>157</v>
      </c>
    </row>
    <row r="262" spans="1:40" s="10" customFormat="1" hidden="1" x14ac:dyDescent="0.2">
      <c r="A262" s="4">
        <v>1997</v>
      </c>
      <c r="B262" s="6">
        <v>9469797</v>
      </c>
      <c r="C262" s="4" t="s">
        <v>104</v>
      </c>
      <c r="D262" s="4"/>
      <c r="E262" s="4" t="s">
        <v>157</v>
      </c>
      <c r="F262" s="4" t="s">
        <v>94</v>
      </c>
      <c r="G262" s="4" t="s">
        <v>95</v>
      </c>
      <c r="H262" s="4" t="s">
        <v>95</v>
      </c>
      <c r="I262" s="4">
        <v>30</v>
      </c>
      <c r="J262" s="4" t="s">
        <v>86</v>
      </c>
      <c r="K262" s="4" t="s">
        <v>86</v>
      </c>
      <c r="L262" s="4" t="s">
        <v>412</v>
      </c>
      <c r="M262" s="10" t="s">
        <v>903</v>
      </c>
      <c r="N262" s="10" t="s">
        <v>766</v>
      </c>
      <c r="P262" s="10" t="s">
        <v>911</v>
      </c>
      <c r="Q262" s="10">
        <v>2</v>
      </c>
      <c r="R262" s="10">
        <v>18</v>
      </c>
      <c r="S262" s="10">
        <v>68</v>
      </c>
      <c r="T262" s="13">
        <v>0</v>
      </c>
      <c r="U262" s="4" t="s">
        <v>672</v>
      </c>
      <c r="V262" s="4" t="s">
        <v>635</v>
      </c>
      <c r="W262" s="7">
        <v>147.69999999999999</v>
      </c>
      <c r="X262" s="7">
        <v>142.9</v>
      </c>
      <c r="Y262" s="7">
        <f>3.8*SQRT(18)</f>
        <v>16.12203461105328</v>
      </c>
      <c r="Z262" s="7">
        <f>5.1*SQRT(18)</f>
        <v>21.637467504308351</v>
      </c>
      <c r="AA262" s="16">
        <v>18</v>
      </c>
      <c r="AB262" s="16">
        <v>18</v>
      </c>
      <c r="AC262" s="7">
        <f t="shared" si="291"/>
        <v>4.7999999999999829</v>
      </c>
      <c r="AD262" s="7">
        <f t="shared" si="292"/>
        <v>19.080094339389412</v>
      </c>
      <c r="AE262" s="7">
        <f t="shared" si="293"/>
        <v>0.25157108317283033</v>
      </c>
      <c r="AF262" s="7">
        <f t="shared" si="294"/>
        <v>0.33464923613905778</v>
      </c>
      <c r="AG262" s="7" t="s">
        <v>157</v>
      </c>
      <c r="AH262" s="4"/>
      <c r="AI262" s="10" t="s">
        <v>780</v>
      </c>
      <c r="AJ262" s="4" t="s">
        <v>348</v>
      </c>
      <c r="AK262" s="4"/>
      <c r="AL262" s="4"/>
      <c r="AM262" s="4" t="s">
        <v>725</v>
      </c>
      <c r="AN262" s="10" t="s">
        <v>157</v>
      </c>
    </row>
    <row r="263" spans="1:40" s="10" customFormat="1" hidden="1" x14ac:dyDescent="0.2">
      <c r="A263" s="4">
        <v>1997</v>
      </c>
      <c r="B263" s="6">
        <v>9469797</v>
      </c>
      <c r="C263" s="4" t="s">
        <v>104</v>
      </c>
      <c r="D263" s="4"/>
      <c r="E263" s="4" t="s">
        <v>157</v>
      </c>
      <c r="F263" s="4" t="s">
        <v>94</v>
      </c>
      <c r="G263" s="4" t="s">
        <v>95</v>
      </c>
      <c r="H263" s="4" t="s">
        <v>95</v>
      </c>
      <c r="I263" s="4">
        <v>30</v>
      </c>
      <c r="J263" s="4" t="s">
        <v>86</v>
      </c>
      <c r="K263" s="4" t="s">
        <v>86</v>
      </c>
      <c r="L263" s="4" t="s">
        <v>412</v>
      </c>
      <c r="M263" s="10" t="s">
        <v>903</v>
      </c>
      <c r="N263" s="10" t="s">
        <v>766</v>
      </c>
      <c r="P263" s="10" t="s">
        <v>911</v>
      </c>
      <c r="Q263" s="10">
        <v>2</v>
      </c>
      <c r="R263" s="10">
        <v>18</v>
      </c>
      <c r="S263" s="10">
        <v>68</v>
      </c>
      <c r="T263" s="13">
        <v>0</v>
      </c>
      <c r="U263" s="4" t="s">
        <v>671</v>
      </c>
      <c r="V263" s="4" t="s">
        <v>635</v>
      </c>
      <c r="W263" s="7">
        <v>89.6</v>
      </c>
      <c r="X263" s="7">
        <v>85.5</v>
      </c>
      <c r="Y263" s="7">
        <f>1.5*SQRT(18)</f>
        <v>6.3639610306789276</v>
      </c>
      <c r="Z263" s="7">
        <f>1.8*SQRT(18)</f>
        <v>7.6367532368147124</v>
      </c>
      <c r="AA263" s="16">
        <v>18</v>
      </c>
      <c r="AB263" s="16">
        <v>18</v>
      </c>
      <c r="AC263" s="7">
        <f t="shared" si="291"/>
        <v>4.0999999999999943</v>
      </c>
      <c r="AD263" s="7">
        <f t="shared" si="292"/>
        <v>7.0292247083159882</v>
      </c>
      <c r="AE263" s="7">
        <f t="shared" si="293"/>
        <v>0.58327911969430313</v>
      </c>
      <c r="AF263" s="7">
        <f t="shared" si="294"/>
        <v>0.34034734160428259</v>
      </c>
      <c r="AG263" s="7" t="s">
        <v>157</v>
      </c>
      <c r="AH263" s="4"/>
      <c r="AI263" s="10" t="s">
        <v>780</v>
      </c>
      <c r="AJ263" s="4" t="s">
        <v>348</v>
      </c>
      <c r="AK263" s="4"/>
      <c r="AL263" s="4"/>
      <c r="AM263" s="4" t="s">
        <v>725</v>
      </c>
      <c r="AN263" s="10" t="s">
        <v>157</v>
      </c>
    </row>
    <row r="264" spans="1:40" s="10" customFormat="1" hidden="1" x14ac:dyDescent="0.2">
      <c r="A264" s="4">
        <v>1997</v>
      </c>
      <c r="B264" s="6">
        <v>9469797</v>
      </c>
      <c r="C264" s="4" t="s">
        <v>104</v>
      </c>
      <c r="D264" s="4"/>
      <c r="E264" s="4" t="s">
        <v>157</v>
      </c>
      <c r="F264" s="4" t="s">
        <v>94</v>
      </c>
      <c r="G264" s="4" t="s">
        <v>95</v>
      </c>
      <c r="H264" s="4" t="s">
        <v>95</v>
      </c>
      <c r="I264" s="4">
        <v>30</v>
      </c>
      <c r="J264" s="4" t="s">
        <v>86</v>
      </c>
      <c r="K264" s="4" t="s">
        <v>86</v>
      </c>
      <c r="L264" s="4" t="s">
        <v>412</v>
      </c>
      <c r="M264" s="10" t="s">
        <v>903</v>
      </c>
      <c r="N264" s="10" t="s">
        <v>766</v>
      </c>
      <c r="P264" s="10" t="s">
        <v>911</v>
      </c>
      <c r="Q264" s="10">
        <v>2</v>
      </c>
      <c r="R264" s="10">
        <v>18</v>
      </c>
      <c r="S264" s="10">
        <v>68</v>
      </c>
      <c r="T264" s="13">
        <v>0</v>
      </c>
      <c r="U264" s="4" t="s">
        <v>673</v>
      </c>
      <c r="V264" s="4" t="s">
        <v>635</v>
      </c>
      <c r="W264" s="7">
        <v>153.6</v>
      </c>
      <c r="X264" s="7">
        <v>149</v>
      </c>
      <c r="Y264" s="7">
        <f>3.4*SQRT(18)</f>
        <v>14.424978336205568</v>
      </c>
      <c r="Z264" s="7">
        <f>4.2*SQRT(18)</f>
        <v>17.819090885900998</v>
      </c>
      <c r="AA264" s="16">
        <v>18</v>
      </c>
      <c r="AB264" s="16">
        <v>18</v>
      </c>
      <c r="AC264" s="7">
        <f t="shared" si="291"/>
        <v>4.5999999999999943</v>
      </c>
      <c r="AD264" s="7">
        <f t="shared" si="292"/>
        <v>16.211107303327555</v>
      </c>
      <c r="AE264" s="7">
        <f t="shared" si="293"/>
        <v>0.28375606390908165</v>
      </c>
      <c r="AF264" s="7">
        <f t="shared" si="294"/>
        <v>0.33500658168918396</v>
      </c>
      <c r="AG264" s="7" t="s">
        <v>157</v>
      </c>
      <c r="AH264" s="4"/>
      <c r="AI264" s="10" t="s">
        <v>780</v>
      </c>
      <c r="AJ264" s="4" t="s">
        <v>348</v>
      </c>
      <c r="AK264" s="4"/>
      <c r="AL264" s="4"/>
      <c r="AM264" s="4" t="s">
        <v>725</v>
      </c>
      <c r="AN264" s="10" t="s">
        <v>157</v>
      </c>
    </row>
    <row r="265" spans="1:40" s="10" customFormat="1" hidden="1" x14ac:dyDescent="0.2">
      <c r="A265" s="4">
        <v>1997</v>
      </c>
      <c r="B265" s="6">
        <v>9469797</v>
      </c>
      <c r="C265" s="4" t="s">
        <v>104</v>
      </c>
      <c r="D265" s="4"/>
      <c r="E265" s="4" t="s">
        <v>157</v>
      </c>
      <c r="F265" s="4" t="s">
        <v>94</v>
      </c>
      <c r="G265" s="4" t="s">
        <v>95</v>
      </c>
      <c r="H265" s="4" t="s">
        <v>95</v>
      </c>
      <c r="I265" s="4">
        <v>30</v>
      </c>
      <c r="J265" s="4" t="s">
        <v>86</v>
      </c>
      <c r="K265" s="4" t="s">
        <v>86</v>
      </c>
      <c r="L265" s="4" t="s">
        <v>412</v>
      </c>
      <c r="M265" s="10" t="s">
        <v>903</v>
      </c>
      <c r="N265" s="10" t="s">
        <v>766</v>
      </c>
      <c r="P265" s="10" t="s">
        <v>911</v>
      </c>
      <c r="Q265" s="10">
        <v>2</v>
      </c>
      <c r="R265" s="10">
        <v>18</v>
      </c>
      <c r="S265" s="10">
        <v>68</v>
      </c>
      <c r="T265" s="13">
        <v>0</v>
      </c>
      <c r="U265" s="4" t="s">
        <v>674</v>
      </c>
      <c r="V265" s="4" t="s">
        <v>635</v>
      </c>
      <c r="W265" s="7">
        <v>95.3</v>
      </c>
      <c r="X265" s="7">
        <v>91.8</v>
      </c>
      <c r="Y265" s="7">
        <f>1.2*SQRT(18)</f>
        <v>5.0911688245431419</v>
      </c>
      <c r="Z265" s="7">
        <f>1.5*SQRT(18)</f>
        <v>6.3639610306789276</v>
      </c>
      <c r="AA265" s="16">
        <v>18</v>
      </c>
      <c r="AB265" s="16">
        <v>18</v>
      </c>
      <c r="AC265" s="7">
        <f t="shared" si="291"/>
        <v>3.5</v>
      </c>
      <c r="AD265" s="7">
        <f t="shared" si="292"/>
        <v>5.762811813689563</v>
      </c>
      <c r="AE265" s="7">
        <f t="shared" si="293"/>
        <v>0.60734240734457923</v>
      </c>
      <c r="AF265" s="7">
        <f t="shared" si="294"/>
        <v>0.34093142027391315</v>
      </c>
      <c r="AG265" s="7" t="s">
        <v>157</v>
      </c>
      <c r="AH265" s="4"/>
      <c r="AI265" s="10" t="s">
        <v>780</v>
      </c>
      <c r="AJ265" s="4" t="s">
        <v>348</v>
      </c>
      <c r="AK265" s="4"/>
      <c r="AL265" s="4"/>
      <c r="AM265" s="4" t="s">
        <v>725</v>
      </c>
      <c r="AN265" s="10" t="s">
        <v>157</v>
      </c>
    </row>
    <row r="266" spans="1:40" s="10" customFormat="1" hidden="1" x14ac:dyDescent="0.2">
      <c r="A266" s="4">
        <v>1997</v>
      </c>
      <c r="B266" s="6">
        <v>9469797</v>
      </c>
      <c r="C266" s="4" t="s">
        <v>104</v>
      </c>
      <c r="D266" s="4"/>
      <c r="E266" s="4" t="s">
        <v>157</v>
      </c>
      <c r="F266" s="4" t="s">
        <v>94</v>
      </c>
      <c r="G266" s="4" t="s">
        <v>95</v>
      </c>
      <c r="H266" s="4" t="s">
        <v>95</v>
      </c>
      <c r="I266" s="4">
        <v>30</v>
      </c>
      <c r="J266" s="4" t="s">
        <v>86</v>
      </c>
      <c r="K266" s="4" t="s">
        <v>86</v>
      </c>
      <c r="L266" s="4" t="s">
        <v>412</v>
      </c>
      <c r="M266" s="10" t="s">
        <v>903</v>
      </c>
      <c r="N266" s="10" t="s">
        <v>766</v>
      </c>
      <c r="P266" s="10" t="s">
        <v>911</v>
      </c>
      <c r="Q266" s="10">
        <v>2</v>
      </c>
      <c r="R266" s="10">
        <v>18</v>
      </c>
      <c r="S266" s="10">
        <v>68</v>
      </c>
      <c r="T266" s="13">
        <v>0</v>
      </c>
      <c r="U266" s="4" t="s">
        <v>675</v>
      </c>
      <c r="V266" s="4" t="s">
        <v>635</v>
      </c>
      <c r="W266" s="7">
        <v>145</v>
      </c>
      <c r="X266" s="7">
        <v>148.69999999999999</v>
      </c>
      <c r="Y266" s="7">
        <f>3.6*SQRT(18)</f>
        <v>15.273506473629425</v>
      </c>
      <c r="Z266" s="7">
        <f>3.7*SQRT(18)</f>
        <v>15.697770542341354</v>
      </c>
      <c r="AA266" s="16">
        <v>18</v>
      </c>
      <c r="AB266" s="16">
        <v>18</v>
      </c>
      <c r="AC266" s="7">
        <f t="shared" si="291"/>
        <v>-3.6999999999999886</v>
      </c>
      <c r="AD266" s="7">
        <f t="shared" si="292"/>
        <v>15.487091398968365</v>
      </c>
      <c r="AE266" s="7">
        <f t="shared" si="293"/>
        <v>-0.23890864363636771</v>
      </c>
      <c r="AF266" s="7">
        <f t="shared" si="294"/>
        <v>0.33452033113773866</v>
      </c>
      <c r="AG266" s="7" t="s">
        <v>157</v>
      </c>
      <c r="AH266" s="4"/>
      <c r="AI266" s="10" t="s">
        <v>780</v>
      </c>
      <c r="AJ266" s="4" t="s">
        <v>328</v>
      </c>
      <c r="AK266" s="4"/>
      <c r="AL266" s="4"/>
      <c r="AM266" s="4" t="s">
        <v>725</v>
      </c>
      <c r="AN266" s="10" t="s">
        <v>157</v>
      </c>
    </row>
    <row r="267" spans="1:40" s="10" customFormat="1" hidden="1" x14ac:dyDescent="0.2">
      <c r="A267" s="4">
        <v>1997</v>
      </c>
      <c r="B267" s="6">
        <v>9469797</v>
      </c>
      <c r="C267" s="4" t="s">
        <v>104</v>
      </c>
      <c r="D267" s="4"/>
      <c r="E267" s="4" t="s">
        <v>157</v>
      </c>
      <c r="F267" s="4" t="s">
        <v>94</v>
      </c>
      <c r="G267" s="4" t="s">
        <v>95</v>
      </c>
      <c r="H267" s="4" t="s">
        <v>95</v>
      </c>
      <c r="I267" s="4">
        <v>30</v>
      </c>
      <c r="J267" s="4" t="s">
        <v>86</v>
      </c>
      <c r="K267" s="4" t="s">
        <v>86</v>
      </c>
      <c r="L267" s="4" t="s">
        <v>412</v>
      </c>
      <c r="M267" s="10" t="s">
        <v>903</v>
      </c>
      <c r="N267" s="10" t="s">
        <v>766</v>
      </c>
      <c r="P267" s="10" t="s">
        <v>911</v>
      </c>
      <c r="Q267" s="10">
        <v>2</v>
      </c>
      <c r="R267" s="10">
        <v>18</v>
      </c>
      <c r="S267" s="10">
        <v>68</v>
      </c>
      <c r="T267" s="13">
        <v>0</v>
      </c>
      <c r="U267" s="4" t="s">
        <v>676</v>
      </c>
      <c r="V267" s="4" t="s">
        <v>635</v>
      </c>
      <c r="W267" s="7">
        <v>89.6</v>
      </c>
      <c r="X267" s="7">
        <v>92.1</v>
      </c>
      <c r="Y267" s="7">
        <f>2*SQRT(18)</f>
        <v>8.4852813742385695</v>
      </c>
      <c r="Z267" s="7">
        <f>2*SQRT(18)</f>
        <v>8.4852813742385695</v>
      </c>
      <c r="AA267" s="16">
        <v>18</v>
      </c>
      <c r="AB267" s="16">
        <v>18</v>
      </c>
      <c r="AC267" s="7">
        <f t="shared" si="291"/>
        <v>-2.5</v>
      </c>
      <c r="AD267" s="7">
        <f t="shared" si="292"/>
        <v>8.4852813742385695</v>
      </c>
      <c r="AE267" s="7">
        <f t="shared" si="293"/>
        <v>-0.29462782549439481</v>
      </c>
      <c r="AF267" s="7">
        <f t="shared" si="294"/>
        <v>0.33513690311149036</v>
      </c>
      <c r="AG267" s="7" t="s">
        <v>157</v>
      </c>
      <c r="AH267" s="4"/>
      <c r="AI267" s="10" t="s">
        <v>780</v>
      </c>
      <c r="AJ267" s="4" t="s">
        <v>328</v>
      </c>
      <c r="AK267" s="4"/>
      <c r="AL267" s="4"/>
      <c r="AM267" s="4" t="s">
        <v>725</v>
      </c>
      <c r="AN267" s="10" t="s">
        <v>157</v>
      </c>
    </row>
    <row r="268" spans="1:40" s="10" customFormat="1" hidden="1" x14ac:dyDescent="0.2">
      <c r="A268" s="4">
        <v>1993</v>
      </c>
      <c r="B268" s="4">
        <v>8394796</v>
      </c>
      <c r="C268" s="4" t="s">
        <v>101</v>
      </c>
      <c r="D268" s="4"/>
      <c r="E268" s="4" t="s">
        <v>157</v>
      </c>
      <c r="F268" s="4" t="s">
        <v>94</v>
      </c>
      <c r="G268" s="4" t="s">
        <v>95</v>
      </c>
      <c r="H268" s="4" t="s">
        <v>95</v>
      </c>
      <c r="I268" s="4">
        <v>35</v>
      </c>
      <c r="J268" s="4" t="s">
        <v>846</v>
      </c>
      <c r="K268" s="4" t="s">
        <v>86</v>
      </c>
      <c r="L268" s="4" t="s">
        <v>412</v>
      </c>
      <c r="M268" s="10" t="s">
        <v>903</v>
      </c>
      <c r="N268" s="10" t="s">
        <v>766</v>
      </c>
      <c r="P268" s="10" t="s">
        <v>911</v>
      </c>
      <c r="Q268" s="10">
        <v>2</v>
      </c>
      <c r="R268" s="10">
        <v>8</v>
      </c>
      <c r="T268" s="13">
        <v>40</v>
      </c>
      <c r="U268" s="4" t="s">
        <v>644</v>
      </c>
      <c r="V268" s="4" t="s">
        <v>635</v>
      </c>
      <c r="W268" s="7">
        <v>136.30000000000001</v>
      </c>
      <c r="X268" s="7">
        <v>139.4</v>
      </c>
      <c r="Y268" s="7">
        <v>15.2</v>
      </c>
      <c r="Z268" s="7">
        <v>14.8</v>
      </c>
      <c r="AA268" s="16">
        <v>8</v>
      </c>
      <c r="AB268" s="16">
        <v>8</v>
      </c>
      <c r="AC268" s="7">
        <f t="shared" si="291"/>
        <v>-3.0999999999999943</v>
      </c>
      <c r="AD268" s="7">
        <f t="shared" si="292"/>
        <v>15.001333274079341</v>
      </c>
      <c r="AE268" s="7">
        <f t="shared" si="293"/>
        <v>-0.20664829874531582</v>
      </c>
      <c r="AF268" s="7">
        <f t="shared" si="294"/>
        <v>0.50133270886752235</v>
      </c>
      <c r="AG268" s="7" t="s">
        <v>193</v>
      </c>
      <c r="AH268" s="4"/>
      <c r="AI268" s="4" t="s">
        <v>780</v>
      </c>
      <c r="AJ268" s="4" t="s">
        <v>328</v>
      </c>
      <c r="AK268" s="4"/>
      <c r="AL268" s="4"/>
      <c r="AM268" s="4" t="s">
        <v>726</v>
      </c>
      <c r="AN268" s="10" t="s">
        <v>157</v>
      </c>
    </row>
    <row r="269" spans="1:40" s="10" customFormat="1" hidden="1" x14ac:dyDescent="0.2">
      <c r="A269" s="4">
        <v>1993</v>
      </c>
      <c r="B269" s="4">
        <v>8394796</v>
      </c>
      <c r="C269" s="4" t="s">
        <v>101</v>
      </c>
      <c r="D269" s="4"/>
      <c r="E269" s="4" t="s">
        <v>157</v>
      </c>
      <c r="F269" s="4" t="s">
        <v>94</v>
      </c>
      <c r="G269" s="4" t="s">
        <v>95</v>
      </c>
      <c r="H269" s="4" t="s">
        <v>95</v>
      </c>
      <c r="I269" s="4">
        <v>35</v>
      </c>
      <c r="J269" s="4" t="s">
        <v>846</v>
      </c>
      <c r="K269" s="4" t="s">
        <v>86</v>
      </c>
      <c r="L269" s="4" t="s">
        <v>412</v>
      </c>
      <c r="M269" s="10" t="s">
        <v>903</v>
      </c>
      <c r="N269" s="10" t="s">
        <v>766</v>
      </c>
      <c r="P269" s="10" t="s">
        <v>911</v>
      </c>
      <c r="Q269" s="10">
        <v>2</v>
      </c>
      <c r="R269" s="10">
        <v>8</v>
      </c>
      <c r="T269" s="13">
        <v>40</v>
      </c>
      <c r="U269" s="4" t="s">
        <v>645</v>
      </c>
      <c r="V269" s="4" t="s">
        <v>635</v>
      </c>
      <c r="W269" s="7">
        <v>79.5</v>
      </c>
      <c r="X269" s="7">
        <v>82.8</v>
      </c>
      <c r="Y269" s="7">
        <v>6.9</v>
      </c>
      <c r="Z269" s="7">
        <v>7</v>
      </c>
      <c r="AA269" s="16">
        <v>8</v>
      </c>
      <c r="AB269" s="16">
        <v>8</v>
      </c>
      <c r="AC269" s="7">
        <f t="shared" si="291"/>
        <v>-3.2999999999999972</v>
      </c>
      <c r="AD269" s="7">
        <f t="shared" si="292"/>
        <v>6.950179853787958</v>
      </c>
      <c r="AE269" s="7">
        <f t="shared" si="293"/>
        <v>-0.47480785669185882</v>
      </c>
      <c r="AF269" s="7">
        <f t="shared" si="294"/>
        <v>0.50699613228234786</v>
      </c>
      <c r="AG269" s="7" t="s">
        <v>193</v>
      </c>
      <c r="AH269" s="4"/>
      <c r="AI269" s="4" t="s">
        <v>780</v>
      </c>
      <c r="AJ269" s="4" t="s">
        <v>328</v>
      </c>
      <c r="AK269" s="4"/>
      <c r="AL269" s="4"/>
      <c r="AM269" s="4" t="s">
        <v>726</v>
      </c>
      <c r="AN269" s="10" t="s">
        <v>157</v>
      </c>
    </row>
    <row r="270" spans="1:40" s="10" customFormat="1" hidden="1" x14ac:dyDescent="0.2">
      <c r="A270" s="4">
        <v>1993</v>
      </c>
      <c r="B270" s="4">
        <v>8394796</v>
      </c>
      <c r="C270" s="4" t="s">
        <v>101</v>
      </c>
      <c r="D270" s="4"/>
      <c r="E270" s="4" t="s">
        <v>157</v>
      </c>
      <c r="F270" s="4" t="s">
        <v>94</v>
      </c>
      <c r="G270" s="4" t="s">
        <v>95</v>
      </c>
      <c r="H270" s="4" t="s">
        <v>95</v>
      </c>
      <c r="I270" s="4">
        <v>35</v>
      </c>
      <c r="J270" s="4" t="s">
        <v>846</v>
      </c>
      <c r="K270" s="4" t="s">
        <v>86</v>
      </c>
      <c r="L270" s="4" t="s">
        <v>412</v>
      </c>
      <c r="M270" s="10" t="s">
        <v>903</v>
      </c>
      <c r="N270" s="10" t="s">
        <v>766</v>
      </c>
      <c r="P270" s="10" t="s">
        <v>911</v>
      </c>
      <c r="Q270" s="10">
        <v>2</v>
      </c>
      <c r="R270" s="10">
        <v>8</v>
      </c>
      <c r="T270" s="13">
        <v>40</v>
      </c>
      <c r="U270" s="4" t="s">
        <v>637</v>
      </c>
      <c r="V270" s="4" t="s">
        <v>635</v>
      </c>
      <c r="W270" s="7">
        <v>120</v>
      </c>
      <c r="X270" s="7">
        <v>114.4</v>
      </c>
      <c r="Y270" s="7">
        <v>14.1</v>
      </c>
      <c r="Z270" s="7">
        <v>13.2</v>
      </c>
      <c r="AA270" s="16">
        <v>8</v>
      </c>
      <c r="AB270" s="16">
        <v>8</v>
      </c>
      <c r="AC270" s="7">
        <f t="shared" ref="AC270:AC271" si="295">W270-X270</f>
        <v>5.5999999999999943</v>
      </c>
      <c r="AD270" s="7">
        <f t="shared" ref="AD270:AD271" si="296">SQRT(((AA270-1)*Y270^2+(AB270-1)*Z270^2)/(AA270+AB270-2))</f>
        <v>13.657415568108046</v>
      </c>
      <c r="AE270" s="7">
        <f t="shared" ref="AE270:AE271" si="297">AC270/AD270</f>
        <v>0.41003365329797598</v>
      </c>
      <c r="AF270" s="7">
        <f t="shared" ref="AF270:AF271" si="298">SQRT(((AA270+AB270)/(AA270*AB270)+(AE270^2/(2*(AA270+AB270)))))</f>
        <v>0.50522666932887916</v>
      </c>
      <c r="AG270" s="7" t="s">
        <v>193</v>
      </c>
      <c r="AH270" s="4"/>
      <c r="AI270" s="4" t="s">
        <v>780</v>
      </c>
      <c r="AJ270" s="4" t="s">
        <v>348</v>
      </c>
      <c r="AK270" s="4"/>
      <c r="AL270" s="4"/>
      <c r="AM270" s="4" t="s">
        <v>726</v>
      </c>
      <c r="AN270" s="10" t="s">
        <v>157</v>
      </c>
    </row>
    <row r="271" spans="1:40" s="10" customFormat="1" hidden="1" x14ac:dyDescent="0.2">
      <c r="A271" s="4">
        <v>1993</v>
      </c>
      <c r="B271" s="4">
        <v>8394796</v>
      </c>
      <c r="C271" s="4" t="s">
        <v>101</v>
      </c>
      <c r="D271" s="4"/>
      <c r="E271" s="4" t="s">
        <v>157</v>
      </c>
      <c r="F271" s="4" t="s">
        <v>94</v>
      </c>
      <c r="G271" s="4" t="s">
        <v>95</v>
      </c>
      <c r="H271" s="4" t="s">
        <v>95</v>
      </c>
      <c r="I271" s="4">
        <v>35</v>
      </c>
      <c r="J271" s="4" t="s">
        <v>846</v>
      </c>
      <c r="K271" s="4" t="s">
        <v>86</v>
      </c>
      <c r="L271" s="4" t="s">
        <v>412</v>
      </c>
      <c r="M271" s="10" t="s">
        <v>903</v>
      </c>
      <c r="N271" s="10" t="s">
        <v>766</v>
      </c>
      <c r="P271" s="10" t="s">
        <v>911</v>
      </c>
      <c r="Q271" s="10">
        <v>2</v>
      </c>
      <c r="R271" s="10">
        <v>8</v>
      </c>
      <c r="T271" s="13">
        <v>40</v>
      </c>
      <c r="U271" s="4" t="s">
        <v>638</v>
      </c>
      <c r="V271" s="4" t="s">
        <v>635</v>
      </c>
      <c r="W271" s="7">
        <v>69.3</v>
      </c>
      <c r="X271" s="7">
        <v>64.8</v>
      </c>
      <c r="Y271" s="7">
        <v>9.1999999999999993</v>
      </c>
      <c r="Z271" s="7">
        <v>7.8</v>
      </c>
      <c r="AA271" s="16">
        <v>8</v>
      </c>
      <c r="AB271" s="16">
        <v>8</v>
      </c>
      <c r="AC271" s="7">
        <f t="shared" si="295"/>
        <v>4.5</v>
      </c>
      <c r="AD271" s="7">
        <f t="shared" si="296"/>
        <v>8.528774824088158</v>
      </c>
      <c r="AE271" s="7">
        <f t="shared" si="297"/>
        <v>0.52762560775909695</v>
      </c>
      <c r="AF271" s="7">
        <f t="shared" si="298"/>
        <v>0.50862525442249584</v>
      </c>
      <c r="AG271" s="7" t="s">
        <v>193</v>
      </c>
      <c r="AH271" s="4" t="s">
        <v>193</v>
      </c>
      <c r="AI271" s="4" t="s">
        <v>780</v>
      </c>
      <c r="AJ271" s="4" t="s">
        <v>348</v>
      </c>
      <c r="AK271" s="4"/>
      <c r="AL271" s="4"/>
      <c r="AM271" s="4" t="s">
        <v>726</v>
      </c>
      <c r="AN271" s="10" t="s">
        <v>157</v>
      </c>
    </row>
    <row r="272" spans="1:40" s="10" customFormat="1" x14ac:dyDescent="0.2">
      <c r="A272" s="4">
        <v>2016</v>
      </c>
      <c r="B272" s="25">
        <v>27920083</v>
      </c>
      <c r="C272" s="4" t="s">
        <v>101</v>
      </c>
      <c r="D272" s="4"/>
      <c r="E272" s="10" t="s">
        <v>157</v>
      </c>
      <c r="F272" s="4" t="s">
        <v>94</v>
      </c>
      <c r="G272" s="4" t="s">
        <v>95</v>
      </c>
      <c r="H272" s="4" t="s">
        <v>95</v>
      </c>
      <c r="I272" s="4">
        <v>35</v>
      </c>
      <c r="J272" s="4" t="s">
        <v>1021</v>
      </c>
      <c r="K272" s="4" t="s">
        <v>86</v>
      </c>
      <c r="L272" s="4" t="s">
        <v>220</v>
      </c>
      <c r="M272" s="4" t="s">
        <v>903</v>
      </c>
      <c r="N272" s="4" t="s">
        <v>766</v>
      </c>
      <c r="O272" s="4" t="s">
        <v>1020</v>
      </c>
      <c r="P272" s="4" t="s">
        <v>809</v>
      </c>
      <c r="Q272" s="4">
        <v>2</v>
      </c>
      <c r="R272" s="4">
        <v>24</v>
      </c>
      <c r="S272" s="10">
        <v>60</v>
      </c>
      <c r="T272" s="13">
        <v>58</v>
      </c>
      <c r="U272" s="4" t="s">
        <v>644</v>
      </c>
      <c r="V272" s="10" t="s">
        <v>642</v>
      </c>
      <c r="W272" s="4">
        <v>132.6</v>
      </c>
      <c r="X272" s="7">
        <v>133.80000000000001</v>
      </c>
      <c r="Y272" s="7">
        <f>2.7*SQRT(AA272)</f>
        <v>13.227244611029162</v>
      </c>
      <c r="Z272" s="7">
        <f>2.3*SQRT(AB272)</f>
        <v>11.267652816802617</v>
      </c>
      <c r="AA272" s="16">
        <v>24</v>
      </c>
      <c r="AB272" s="16">
        <v>24</v>
      </c>
      <c r="AC272" s="7">
        <f t="shared" ref="AC272:AC278" si="299">W272-X272</f>
        <v>-1.2000000000000171</v>
      </c>
      <c r="AD272" s="7">
        <f t="shared" ref="AD272:AD278" si="300">SQRT(((AA272-1)*Y272^2+(AB272-1)*Z272^2)/(AA272+AB272-2))</f>
        <v>12.286578042726134</v>
      </c>
      <c r="AE272" s="7">
        <f t="shared" ref="AE272:AE278" si="301">AC272/AD272</f>
        <v>-9.766755200895319E-2</v>
      </c>
      <c r="AF272" s="7">
        <f t="shared" ref="AF272:AF278" si="302">SQRT(((AA272+AB272)/(AA272*AB272)+(AE272^2/(2*(AA272+AB272)))))</f>
        <v>0.28884718694023254</v>
      </c>
      <c r="AG272" s="7" t="s">
        <v>193</v>
      </c>
      <c r="AH272" s="4"/>
      <c r="AI272" s="4" t="s">
        <v>780</v>
      </c>
      <c r="AJ272" s="4" t="s">
        <v>328</v>
      </c>
      <c r="AK272" s="4" t="s">
        <v>1298</v>
      </c>
      <c r="AL272" s="4"/>
      <c r="AM272" s="4" t="s">
        <v>1019</v>
      </c>
      <c r="AN272" s="10" t="s">
        <v>157</v>
      </c>
    </row>
    <row r="273" spans="1:40" s="10" customFormat="1" x14ac:dyDescent="0.2">
      <c r="A273" s="4">
        <v>2016</v>
      </c>
      <c r="B273" s="6">
        <v>27920083</v>
      </c>
      <c r="C273" s="4" t="s">
        <v>101</v>
      </c>
      <c r="D273" s="4"/>
      <c r="E273" s="10" t="s">
        <v>157</v>
      </c>
      <c r="F273" s="4" t="s">
        <v>94</v>
      </c>
      <c r="G273" s="4" t="s">
        <v>95</v>
      </c>
      <c r="H273" s="4" t="s">
        <v>95</v>
      </c>
      <c r="I273" s="4">
        <v>35</v>
      </c>
      <c r="J273" s="4" t="s">
        <v>1021</v>
      </c>
      <c r="K273" s="4" t="s">
        <v>86</v>
      </c>
      <c r="L273" s="4" t="s">
        <v>220</v>
      </c>
      <c r="M273" s="4" t="s">
        <v>903</v>
      </c>
      <c r="N273" s="4" t="s">
        <v>766</v>
      </c>
      <c r="O273" s="4" t="s">
        <v>1020</v>
      </c>
      <c r="P273" s="4" t="s">
        <v>809</v>
      </c>
      <c r="Q273" s="4">
        <v>2</v>
      </c>
      <c r="R273" s="4">
        <v>24</v>
      </c>
      <c r="S273" s="10">
        <v>60</v>
      </c>
      <c r="T273" s="13">
        <v>58</v>
      </c>
      <c r="U273" s="4" t="s">
        <v>645</v>
      </c>
      <c r="V273" s="4" t="s">
        <v>642</v>
      </c>
      <c r="W273" s="7">
        <v>72.8</v>
      </c>
      <c r="X273" s="10">
        <v>73.099999999999994</v>
      </c>
      <c r="Y273" s="7">
        <f>1.5*SQRT(AA273)</f>
        <v>7.3484692283495336</v>
      </c>
      <c r="Z273" s="7">
        <f>1.5*SQRT(AB273)</f>
        <v>7.3484692283495336</v>
      </c>
      <c r="AA273" s="16">
        <v>24</v>
      </c>
      <c r="AB273" s="16">
        <v>24</v>
      </c>
      <c r="AC273" s="7">
        <f t="shared" si="299"/>
        <v>-0.29999999999999716</v>
      </c>
      <c r="AD273" s="7">
        <f t="shared" si="300"/>
        <v>7.3484692283495336</v>
      </c>
      <c r="AE273" s="7">
        <f t="shared" si="301"/>
        <v>-4.0824829046385916E-2</v>
      </c>
      <c r="AF273" s="7">
        <f t="shared" si="302"/>
        <v>0.28870520335533345</v>
      </c>
      <c r="AG273" s="7" t="s">
        <v>193</v>
      </c>
      <c r="AH273" s="4"/>
      <c r="AI273" s="4" t="s">
        <v>780</v>
      </c>
      <c r="AJ273" s="4" t="s">
        <v>328</v>
      </c>
      <c r="AK273" s="4" t="s">
        <v>1298</v>
      </c>
      <c r="AL273" s="4"/>
      <c r="AM273" s="4" t="s">
        <v>1019</v>
      </c>
      <c r="AN273" s="10" t="s">
        <v>157</v>
      </c>
    </row>
    <row r="274" spans="1:40" s="10" customFormat="1" x14ac:dyDescent="0.2">
      <c r="A274" s="4">
        <v>2016</v>
      </c>
      <c r="B274" s="6">
        <v>27920083</v>
      </c>
      <c r="C274" s="4" t="s">
        <v>101</v>
      </c>
      <c r="D274" s="4"/>
      <c r="E274" s="10" t="s">
        <v>157</v>
      </c>
      <c r="F274" s="4" t="s">
        <v>94</v>
      </c>
      <c r="G274" s="4" t="s">
        <v>95</v>
      </c>
      <c r="H274" s="4" t="s">
        <v>95</v>
      </c>
      <c r="I274" s="4">
        <v>35</v>
      </c>
      <c r="J274" s="4" t="s">
        <v>1021</v>
      </c>
      <c r="K274" s="4" t="s">
        <v>86</v>
      </c>
      <c r="L274" s="4" t="s">
        <v>220</v>
      </c>
      <c r="M274" s="4" t="s">
        <v>903</v>
      </c>
      <c r="N274" s="4" t="s">
        <v>766</v>
      </c>
      <c r="O274" s="4" t="s">
        <v>1020</v>
      </c>
      <c r="P274" s="4" t="s">
        <v>809</v>
      </c>
      <c r="Q274" s="4">
        <v>2</v>
      </c>
      <c r="R274" s="4">
        <v>24</v>
      </c>
      <c r="S274" s="10">
        <v>60</v>
      </c>
      <c r="T274" s="13">
        <v>58</v>
      </c>
      <c r="U274" s="4" t="s">
        <v>637</v>
      </c>
      <c r="V274" s="4" t="s">
        <v>642</v>
      </c>
      <c r="W274" s="7">
        <v>121.1</v>
      </c>
      <c r="X274" s="10">
        <v>119.1</v>
      </c>
      <c r="Y274" s="7">
        <f>2.6*SQRT(AA274)</f>
        <v>12.737346662472525</v>
      </c>
      <c r="Z274" s="7">
        <f>2.7*SQRT(AB274)</f>
        <v>13.227244611029162</v>
      </c>
      <c r="AA274" s="16">
        <v>24</v>
      </c>
      <c r="AB274" s="16">
        <v>24</v>
      </c>
      <c r="AC274" s="7">
        <f t="shared" si="299"/>
        <v>2</v>
      </c>
      <c r="AD274" s="7">
        <f t="shared" si="300"/>
        <v>12.984606270503546</v>
      </c>
      <c r="AE274" s="7">
        <f t="shared" si="301"/>
        <v>0.15402854413408715</v>
      </c>
      <c r="AF274" s="7">
        <f t="shared" si="302"/>
        <v>0.2891028650629115</v>
      </c>
      <c r="AG274" s="7" t="s">
        <v>193</v>
      </c>
      <c r="AH274" s="4"/>
      <c r="AI274" s="4" t="s">
        <v>780</v>
      </c>
      <c r="AJ274" s="4" t="s">
        <v>348</v>
      </c>
      <c r="AK274" s="4" t="s">
        <v>1298</v>
      </c>
      <c r="AL274" s="4"/>
      <c r="AM274" s="4" t="s">
        <v>1019</v>
      </c>
      <c r="AN274" s="10" t="s">
        <v>157</v>
      </c>
    </row>
    <row r="275" spans="1:40" s="10" customFormat="1" x14ac:dyDescent="0.2">
      <c r="A275" s="4">
        <v>2016</v>
      </c>
      <c r="B275" s="6">
        <v>27920083</v>
      </c>
      <c r="C275" s="4" t="s">
        <v>101</v>
      </c>
      <c r="D275" s="4"/>
      <c r="E275" s="10" t="s">
        <v>157</v>
      </c>
      <c r="F275" s="4" t="s">
        <v>94</v>
      </c>
      <c r="G275" s="4" t="s">
        <v>95</v>
      </c>
      <c r="H275" s="4" t="s">
        <v>95</v>
      </c>
      <c r="I275" s="4">
        <v>35</v>
      </c>
      <c r="J275" s="4" t="s">
        <v>1021</v>
      </c>
      <c r="K275" s="4" t="s">
        <v>86</v>
      </c>
      <c r="L275" s="4" t="s">
        <v>220</v>
      </c>
      <c r="M275" s="4" t="s">
        <v>903</v>
      </c>
      <c r="N275" s="4" t="s">
        <v>766</v>
      </c>
      <c r="O275" s="4" t="s">
        <v>1020</v>
      </c>
      <c r="P275" s="4" t="s">
        <v>809</v>
      </c>
      <c r="Q275" s="4">
        <v>2</v>
      </c>
      <c r="R275" s="4">
        <v>24</v>
      </c>
      <c r="S275" s="10">
        <v>60</v>
      </c>
      <c r="T275" s="13">
        <v>58</v>
      </c>
      <c r="U275" s="4" t="s">
        <v>638</v>
      </c>
      <c r="V275" s="4" t="s">
        <v>642</v>
      </c>
      <c r="W275" s="7">
        <v>63.7</v>
      </c>
      <c r="X275" s="10">
        <v>62.7</v>
      </c>
      <c r="Y275" s="7">
        <f>1.3*SQRT(AA275)</f>
        <v>6.3686733312362627</v>
      </c>
      <c r="Z275" s="7">
        <f>1.2*SQRT(AB275)</f>
        <v>5.8787753826796267</v>
      </c>
      <c r="AA275" s="16">
        <v>24</v>
      </c>
      <c r="AB275" s="16">
        <v>24</v>
      </c>
      <c r="AC275" s="7">
        <f t="shared" si="299"/>
        <v>1</v>
      </c>
      <c r="AD275" s="7">
        <f t="shared" si="300"/>
        <v>6.1286213784178241</v>
      </c>
      <c r="AE275" s="7">
        <f t="shared" si="301"/>
        <v>0.16316883329120943</v>
      </c>
      <c r="AF275" s="7">
        <f t="shared" si="302"/>
        <v>0.28915509225438485</v>
      </c>
      <c r="AG275" s="7" t="s">
        <v>193</v>
      </c>
      <c r="AH275" s="4" t="s">
        <v>193</v>
      </c>
      <c r="AI275" s="4" t="s">
        <v>780</v>
      </c>
      <c r="AJ275" s="4" t="s">
        <v>348</v>
      </c>
      <c r="AK275" s="4" t="s">
        <v>1298</v>
      </c>
      <c r="AL275" s="4"/>
      <c r="AM275" s="4" t="s">
        <v>1019</v>
      </c>
      <c r="AN275" s="10" t="s">
        <v>157</v>
      </c>
    </row>
    <row r="276" spans="1:40" s="10" customFormat="1" x14ac:dyDescent="0.2">
      <c r="A276" s="4">
        <v>2016</v>
      </c>
      <c r="B276" s="6">
        <v>27920083</v>
      </c>
      <c r="C276" s="4" t="s">
        <v>101</v>
      </c>
      <c r="D276" s="4"/>
      <c r="E276" s="10" t="s">
        <v>157</v>
      </c>
      <c r="F276" s="4" t="s">
        <v>94</v>
      </c>
      <c r="G276" s="4" t="s">
        <v>95</v>
      </c>
      <c r="H276" s="4" t="s">
        <v>95</v>
      </c>
      <c r="I276" s="4">
        <v>35</v>
      </c>
      <c r="J276" s="4" t="s">
        <v>1021</v>
      </c>
      <c r="K276" s="4" t="s">
        <v>86</v>
      </c>
      <c r="L276" s="4" t="s">
        <v>220</v>
      </c>
      <c r="M276" s="4" t="s">
        <v>903</v>
      </c>
      <c r="N276" s="4" t="s">
        <v>766</v>
      </c>
      <c r="O276" s="4" t="s">
        <v>1020</v>
      </c>
      <c r="P276" s="4" t="s">
        <v>809</v>
      </c>
      <c r="Q276" s="4">
        <v>2</v>
      </c>
      <c r="R276" s="4">
        <v>24</v>
      </c>
      <c r="S276" s="10">
        <v>60</v>
      </c>
      <c r="T276" s="13">
        <v>58</v>
      </c>
      <c r="U276" s="4" t="s">
        <v>1022</v>
      </c>
      <c r="V276" s="4" t="s">
        <v>635</v>
      </c>
      <c r="W276" s="7">
        <v>8.6</v>
      </c>
      <c r="X276" s="10">
        <v>11</v>
      </c>
      <c r="Y276" s="7">
        <f>1.2*SQRT(AA276)</f>
        <v>5.8787753826796267</v>
      </c>
      <c r="Z276" s="7">
        <f>1.6*SQRT(AB276)</f>
        <v>7.8383671769061696</v>
      </c>
      <c r="AA276" s="16">
        <v>24</v>
      </c>
      <c r="AB276" s="16">
        <v>24</v>
      </c>
      <c r="AC276" s="7">
        <f t="shared" si="299"/>
        <v>-2.4000000000000004</v>
      </c>
      <c r="AD276" s="7">
        <f t="shared" si="300"/>
        <v>6.9282032302755088</v>
      </c>
      <c r="AE276" s="7">
        <f t="shared" si="301"/>
        <v>-0.34641016151377552</v>
      </c>
      <c r="AF276" s="7">
        <f t="shared" si="302"/>
        <v>0.29083213944358577</v>
      </c>
      <c r="AG276" s="7" t="s">
        <v>157</v>
      </c>
      <c r="AH276" s="4"/>
      <c r="AI276" s="4" t="s">
        <v>780</v>
      </c>
      <c r="AJ276" s="4" t="s">
        <v>348</v>
      </c>
      <c r="AK276" s="10" t="s">
        <v>1299</v>
      </c>
      <c r="AL276" s="4" t="s">
        <v>1309</v>
      </c>
      <c r="AM276" s="4" t="s">
        <v>1019</v>
      </c>
      <c r="AN276" s="10" t="s">
        <v>157</v>
      </c>
    </row>
    <row r="277" spans="1:40" s="10" customFormat="1" x14ac:dyDescent="0.2">
      <c r="A277" s="4">
        <v>2016</v>
      </c>
      <c r="B277" s="6">
        <v>27920083</v>
      </c>
      <c r="C277" s="4" t="s">
        <v>101</v>
      </c>
      <c r="D277" s="4"/>
      <c r="E277" s="10" t="s">
        <v>157</v>
      </c>
      <c r="F277" s="4" t="s">
        <v>94</v>
      </c>
      <c r="G277" s="4" t="s">
        <v>95</v>
      </c>
      <c r="H277" s="4" t="s">
        <v>95</v>
      </c>
      <c r="I277" s="4">
        <v>35</v>
      </c>
      <c r="J277" s="4" t="s">
        <v>1021</v>
      </c>
      <c r="K277" s="4" t="s">
        <v>86</v>
      </c>
      <c r="L277" s="4" t="s">
        <v>220</v>
      </c>
      <c r="M277" s="4" t="s">
        <v>903</v>
      </c>
      <c r="N277" s="4" t="s">
        <v>766</v>
      </c>
      <c r="O277" s="4" t="s">
        <v>1020</v>
      </c>
      <c r="P277" s="4" t="s">
        <v>809</v>
      </c>
      <c r="Q277" s="4">
        <v>2</v>
      </c>
      <c r="R277" s="4">
        <v>24</v>
      </c>
      <c r="S277" s="10">
        <v>60</v>
      </c>
      <c r="T277" s="13">
        <v>58</v>
      </c>
      <c r="U277" s="4" t="s">
        <v>1023</v>
      </c>
      <c r="V277" s="4" t="s">
        <v>642</v>
      </c>
      <c r="W277" s="7">
        <v>12.3</v>
      </c>
      <c r="X277" s="10">
        <v>13.9</v>
      </c>
      <c r="Y277" s="7">
        <f>1.2*SQRT(AA277)</f>
        <v>5.8787753826796267</v>
      </c>
      <c r="Z277" s="7">
        <f>1.5*SQRT(AB277)</f>
        <v>7.3484692283495336</v>
      </c>
      <c r="AA277" s="16">
        <v>24</v>
      </c>
      <c r="AB277" s="16">
        <v>24</v>
      </c>
      <c r="AC277" s="7">
        <f t="shared" si="299"/>
        <v>-1.5999999999999996</v>
      </c>
      <c r="AD277" s="7">
        <f t="shared" si="300"/>
        <v>6.6543219038456503</v>
      </c>
      <c r="AE277" s="7">
        <f t="shared" si="301"/>
        <v>-0.24044523591131522</v>
      </c>
      <c r="AF277" s="7">
        <f t="shared" si="302"/>
        <v>0.28971634675633678</v>
      </c>
      <c r="AG277" s="7" t="s">
        <v>157</v>
      </c>
      <c r="AH277" s="4"/>
      <c r="AI277" s="4" t="s">
        <v>780</v>
      </c>
      <c r="AJ277" s="4" t="s">
        <v>348</v>
      </c>
      <c r="AK277" s="4" t="s">
        <v>1298</v>
      </c>
      <c r="AL277" s="4"/>
      <c r="AM277" s="4" t="s">
        <v>1019</v>
      </c>
      <c r="AN277" s="10" t="s">
        <v>157</v>
      </c>
    </row>
    <row r="278" spans="1:40" s="10" customFormat="1" x14ac:dyDescent="0.2">
      <c r="A278" s="4">
        <v>2016</v>
      </c>
      <c r="B278" s="6">
        <v>27920083</v>
      </c>
      <c r="C278" s="4" t="s">
        <v>101</v>
      </c>
      <c r="D278" s="4"/>
      <c r="E278" s="10" t="s">
        <v>157</v>
      </c>
      <c r="F278" s="4" t="s">
        <v>94</v>
      </c>
      <c r="G278" s="4" t="s">
        <v>95</v>
      </c>
      <c r="H278" s="4" t="s">
        <v>95</v>
      </c>
      <c r="I278" s="4">
        <v>35</v>
      </c>
      <c r="J278" s="4" t="s">
        <v>1021</v>
      </c>
      <c r="K278" s="4" t="s">
        <v>86</v>
      </c>
      <c r="L278" s="4" t="s">
        <v>220</v>
      </c>
      <c r="M278" s="4" t="s">
        <v>903</v>
      </c>
      <c r="N278" s="4" t="s">
        <v>766</v>
      </c>
      <c r="O278" s="4" t="s">
        <v>1020</v>
      </c>
      <c r="P278" s="4" t="s">
        <v>809</v>
      </c>
      <c r="Q278" s="4">
        <v>2</v>
      </c>
      <c r="R278" s="4">
        <v>24</v>
      </c>
      <c r="S278" s="10">
        <v>60</v>
      </c>
      <c r="T278" s="13">
        <v>58</v>
      </c>
      <c r="U278" s="4" t="s">
        <v>1024</v>
      </c>
      <c r="V278" s="4" t="s">
        <v>642</v>
      </c>
      <c r="W278" s="7">
        <v>9.5</v>
      </c>
      <c r="X278" s="10">
        <v>11.7</v>
      </c>
      <c r="Y278" s="7">
        <f>1.2*SQRT(AA278)</f>
        <v>5.8787753826796267</v>
      </c>
      <c r="Z278" s="7">
        <f>1.5*SQRT(AB278)</f>
        <v>7.3484692283495336</v>
      </c>
      <c r="AA278" s="16">
        <v>24</v>
      </c>
      <c r="AB278" s="16">
        <v>24</v>
      </c>
      <c r="AC278" s="7">
        <f t="shared" si="299"/>
        <v>-2.1999999999999993</v>
      </c>
      <c r="AD278" s="7">
        <f t="shared" si="300"/>
        <v>6.6543219038456503</v>
      </c>
      <c r="AE278" s="7">
        <f t="shared" si="301"/>
        <v>-0.33061219937805841</v>
      </c>
      <c r="AF278" s="7">
        <f t="shared" si="302"/>
        <v>0.29064053589976047</v>
      </c>
      <c r="AG278" s="7" t="s">
        <v>157</v>
      </c>
      <c r="AH278" s="4"/>
      <c r="AI278" s="4" t="s">
        <v>780</v>
      </c>
      <c r="AJ278" s="4" t="s">
        <v>348</v>
      </c>
      <c r="AK278" s="4" t="s">
        <v>1298</v>
      </c>
      <c r="AL278" s="4"/>
      <c r="AM278" s="4" t="s">
        <v>1019</v>
      </c>
      <c r="AN278" s="10" t="s">
        <v>157</v>
      </c>
    </row>
    <row r="279" spans="1:40" s="10" customFormat="1" x14ac:dyDescent="0.2">
      <c r="A279" s="10">
        <v>2001</v>
      </c>
      <c r="B279" s="43">
        <v>11346056</v>
      </c>
      <c r="C279" s="4" t="s">
        <v>141</v>
      </c>
      <c r="D279" s="4"/>
      <c r="E279" s="4"/>
      <c r="F279" s="4" t="s">
        <v>141</v>
      </c>
      <c r="G279" s="4" t="s">
        <v>349</v>
      </c>
      <c r="H279" s="4" t="s">
        <v>349</v>
      </c>
      <c r="I279" s="4">
        <v>48</v>
      </c>
      <c r="J279" s="4" t="s">
        <v>143</v>
      </c>
      <c r="K279" s="4" t="s">
        <v>143</v>
      </c>
      <c r="L279" s="4" t="s">
        <v>653</v>
      </c>
      <c r="M279" s="4" t="s">
        <v>736</v>
      </c>
      <c r="N279" s="4" t="s">
        <v>736</v>
      </c>
      <c r="O279" s="4"/>
      <c r="P279" s="4"/>
      <c r="Q279" s="4"/>
      <c r="R279" s="4">
        <v>15</v>
      </c>
      <c r="S279" s="4"/>
      <c r="T279" s="32"/>
      <c r="U279" s="4" t="s">
        <v>654</v>
      </c>
      <c r="V279" s="4" t="s">
        <v>642</v>
      </c>
      <c r="W279" s="7">
        <v>2.06</v>
      </c>
      <c r="X279" s="7">
        <v>1.77</v>
      </c>
      <c r="Y279" s="7">
        <v>1.28</v>
      </c>
      <c r="Z279" s="7">
        <v>1.32</v>
      </c>
      <c r="AA279" s="16">
        <v>15</v>
      </c>
      <c r="AB279" s="16">
        <v>15</v>
      </c>
      <c r="AC279" s="7">
        <f t="shared" ref="AC279" si="303">W279-X279</f>
        <v>0.29000000000000004</v>
      </c>
      <c r="AD279" s="7">
        <f t="shared" ref="AD279" si="304">SQRT(((AA279-1)*Y279^2+(AB279-1)*Z279^2)/(AA279+AB279-2))</f>
        <v>1.3001538370516006</v>
      </c>
      <c r="AE279" s="7">
        <f t="shared" ref="AE279" si="305">AC279/AD279</f>
        <v>0.22305052812645779</v>
      </c>
      <c r="AF279" s="7">
        <f t="shared" ref="AF279" si="306">SQRT(((AA279+AB279)/(AA279*AB279)+(AE279^2/(2*(AA279+AB279)))))</f>
        <v>0.36628203018297006</v>
      </c>
      <c r="AG279" s="7" t="s">
        <v>193</v>
      </c>
      <c r="AH279" s="4" t="s">
        <v>193</v>
      </c>
      <c r="AI279" s="4" t="s">
        <v>1315</v>
      </c>
      <c r="AJ279" s="4" t="s">
        <v>348</v>
      </c>
      <c r="AK279" s="4"/>
      <c r="AL279" s="4"/>
      <c r="AM279" s="4" t="s">
        <v>727</v>
      </c>
      <c r="AN279" s="10" t="s">
        <v>157</v>
      </c>
    </row>
    <row r="280" spans="1:40" s="10" customFormat="1" x14ac:dyDescent="0.2">
      <c r="A280" s="4">
        <v>2011</v>
      </c>
      <c r="B280" s="4">
        <v>21785690</v>
      </c>
      <c r="C280" s="4" t="s">
        <v>141</v>
      </c>
      <c r="D280" s="4"/>
      <c r="E280" s="4"/>
      <c r="F280" s="4" t="s">
        <v>141</v>
      </c>
      <c r="G280" s="4" t="s">
        <v>349</v>
      </c>
      <c r="H280" s="4" t="s">
        <v>349</v>
      </c>
      <c r="I280" s="4">
        <v>48</v>
      </c>
      <c r="J280" s="4" t="s">
        <v>847</v>
      </c>
      <c r="K280" s="4" t="s">
        <v>143</v>
      </c>
      <c r="L280" s="4" t="s">
        <v>653</v>
      </c>
      <c r="M280" s="4" t="s">
        <v>902</v>
      </c>
      <c r="N280" s="4" t="s">
        <v>766</v>
      </c>
      <c r="O280" s="4"/>
      <c r="P280" s="4"/>
      <c r="Q280" s="4"/>
      <c r="R280" s="4">
        <v>152</v>
      </c>
      <c r="S280" s="4"/>
      <c r="T280" s="32"/>
      <c r="U280" s="4" t="s">
        <v>665</v>
      </c>
      <c r="V280" s="4" t="s">
        <v>642</v>
      </c>
      <c r="W280" s="7">
        <v>3.48</v>
      </c>
      <c r="X280" s="7">
        <v>3.2</v>
      </c>
      <c r="Y280" s="7">
        <v>1.0900000000000001</v>
      </c>
      <c r="Z280" s="7">
        <v>0.54</v>
      </c>
      <c r="AA280" s="16">
        <v>77</v>
      </c>
      <c r="AB280" s="16">
        <v>75</v>
      </c>
      <c r="AC280" s="7">
        <f t="shared" ref="AC280:AC283" si="307">W280-X280</f>
        <v>0.2799999999999998</v>
      </c>
      <c r="AD280" s="7">
        <f t="shared" ref="AD280:AD283" si="308">SQRT(((AA280-1)*Y280^2+(AB280-1)*Z280^2)/(AA280+AB280-2))</f>
        <v>0.86361256745526038</v>
      </c>
      <c r="AE280" s="7">
        <f t="shared" ref="AE280:AE283" si="309">AC280/AD280</f>
        <v>0.32421945968787125</v>
      </c>
      <c r="AF280" s="7">
        <f t="shared" ref="AF280:AF283" si="310">SQRT(((AA280+AB280)/(AA280*AB280)+(AE280^2/(2*(AA280+AB280)))))</f>
        <v>0.16329767317356339</v>
      </c>
      <c r="AG280" s="7" t="s">
        <v>193</v>
      </c>
      <c r="AH280" s="4" t="s">
        <v>193</v>
      </c>
      <c r="AI280" s="4" t="s">
        <v>1315</v>
      </c>
      <c r="AJ280" s="4" t="s">
        <v>328</v>
      </c>
      <c r="AK280" s="4" t="s">
        <v>1039</v>
      </c>
      <c r="AL280" s="4"/>
      <c r="AM280" s="4" t="s">
        <v>728</v>
      </c>
      <c r="AN280" s="10" t="s">
        <v>157</v>
      </c>
    </row>
    <row r="281" spans="1:40" s="10" customFormat="1" x14ac:dyDescent="0.2">
      <c r="A281" s="4">
        <v>2011</v>
      </c>
      <c r="B281" s="4">
        <v>21785690</v>
      </c>
      <c r="C281" s="4" t="s">
        <v>141</v>
      </c>
      <c r="D281" s="4"/>
      <c r="E281" s="4"/>
      <c r="F281" s="4" t="s">
        <v>141</v>
      </c>
      <c r="G281" s="4" t="s">
        <v>349</v>
      </c>
      <c r="H281" s="4" t="s">
        <v>349</v>
      </c>
      <c r="I281" s="4">
        <v>48</v>
      </c>
      <c r="J281" s="4" t="s">
        <v>847</v>
      </c>
      <c r="K281" s="4" t="s">
        <v>143</v>
      </c>
      <c r="L281" s="4" t="s">
        <v>653</v>
      </c>
      <c r="M281" s="4" t="s">
        <v>902</v>
      </c>
      <c r="N281" s="4" t="s">
        <v>766</v>
      </c>
      <c r="O281" s="4"/>
      <c r="P281" s="4"/>
      <c r="Q281" s="4"/>
      <c r="R281" s="4">
        <v>152</v>
      </c>
      <c r="S281" s="4"/>
      <c r="T281" s="32"/>
      <c r="U281" s="4" t="s">
        <v>666</v>
      </c>
      <c r="V281" s="4" t="s">
        <v>642</v>
      </c>
      <c r="W281" s="7">
        <v>1.5</v>
      </c>
      <c r="X281" s="7">
        <v>1.48</v>
      </c>
      <c r="Y281" s="7">
        <v>0.33</v>
      </c>
      <c r="Z281" s="7">
        <v>0.31</v>
      </c>
      <c r="AA281" s="16">
        <v>77</v>
      </c>
      <c r="AB281" s="16">
        <v>75</v>
      </c>
      <c r="AC281" s="7">
        <f t="shared" si="307"/>
        <v>2.0000000000000018E-2</v>
      </c>
      <c r="AD281" s="7">
        <f t="shared" si="308"/>
        <v>0.32028945242285667</v>
      </c>
      <c r="AE281" s="7">
        <f t="shared" si="309"/>
        <v>6.2443517414352313E-2</v>
      </c>
      <c r="AF281" s="7">
        <f t="shared" si="310"/>
        <v>0.16227499071844753</v>
      </c>
      <c r="AG281" s="7" t="s">
        <v>193</v>
      </c>
      <c r="AH281" s="4"/>
      <c r="AI281" s="4" t="s">
        <v>1315</v>
      </c>
      <c r="AJ281" s="4" t="s">
        <v>328</v>
      </c>
      <c r="AK281" s="4" t="s">
        <v>1039</v>
      </c>
      <c r="AL281" s="4"/>
      <c r="AM281" s="4" t="s">
        <v>728</v>
      </c>
      <c r="AN281" s="10" t="s">
        <v>157</v>
      </c>
    </row>
    <row r="282" spans="1:40" s="10" customFormat="1" x14ac:dyDescent="0.2">
      <c r="A282" s="4">
        <v>2011</v>
      </c>
      <c r="B282" s="4">
        <v>21785690</v>
      </c>
      <c r="C282" s="4" t="s">
        <v>141</v>
      </c>
      <c r="D282" s="4"/>
      <c r="E282" s="4"/>
      <c r="F282" s="4" t="s">
        <v>141</v>
      </c>
      <c r="G282" s="4" t="s">
        <v>349</v>
      </c>
      <c r="H282" s="4" t="s">
        <v>349</v>
      </c>
      <c r="I282" s="4">
        <v>48</v>
      </c>
      <c r="J282" s="4" t="s">
        <v>847</v>
      </c>
      <c r="K282" s="4" t="s">
        <v>143</v>
      </c>
      <c r="L282" s="4" t="s">
        <v>653</v>
      </c>
      <c r="M282" s="4" t="s">
        <v>902</v>
      </c>
      <c r="N282" s="4" t="s">
        <v>766</v>
      </c>
      <c r="O282" s="4"/>
      <c r="P282" s="4"/>
      <c r="Q282" s="4"/>
      <c r="R282" s="4">
        <v>152</v>
      </c>
      <c r="S282" s="4"/>
      <c r="T282" s="32"/>
      <c r="U282" s="4" t="s">
        <v>667</v>
      </c>
      <c r="V282" s="4" t="s">
        <v>642</v>
      </c>
      <c r="W282" s="7">
        <v>5.13</v>
      </c>
      <c r="X282" s="7">
        <v>3.27</v>
      </c>
      <c r="Y282" s="7">
        <v>9.36</v>
      </c>
      <c r="Z282" s="7">
        <v>4.1900000000000004</v>
      </c>
      <c r="AA282" s="16">
        <v>77</v>
      </c>
      <c r="AB282" s="16">
        <v>75</v>
      </c>
      <c r="AC282" s="7">
        <f t="shared" si="307"/>
        <v>1.8599999999999999</v>
      </c>
      <c r="AD282" s="7">
        <f t="shared" si="308"/>
        <v>7.2835343984451208</v>
      </c>
      <c r="AE282" s="7">
        <f t="shared" si="309"/>
        <v>0.25537052456250775</v>
      </c>
      <c r="AF282" s="7">
        <f t="shared" si="310"/>
        <v>0.16289526206116522</v>
      </c>
      <c r="AG282" s="7" t="s">
        <v>193</v>
      </c>
      <c r="AH282" s="4"/>
      <c r="AI282" s="4" t="s">
        <v>1315</v>
      </c>
      <c r="AJ282" s="4" t="s">
        <v>348</v>
      </c>
      <c r="AK282" s="4" t="s">
        <v>1039</v>
      </c>
      <c r="AL282" s="4"/>
      <c r="AM282" s="4" t="s">
        <v>728</v>
      </c>
      <c r="AN282" s="10" t="s">
        <v>157</v>
      </c>
    </row>
    <row r="283" spans="1:40" s="10" customFormat="1" x14ac:dyDescent="0.2">
      <c r="A283" s="10">
        <v>2013</v>
      </c>
      <c r="B283" s="43">
        <v>23536584</v>
      </c>
      <c r="C283" s="4" t="s">
        <v>138</v>
      </c>
      <c r="D283" s="4"/>
      <c r="E283" s="4"/>
      <c r="F283" s="4" t="s">
        <v>735</v>
      </c>
      <c r="G283" s="4" t="s">
        <v>1112</v>
      </c>
      <c r="H283" s="4" t="s">
        <v>1112</v>
      </c>
      <c r="I283" s="4">
        <v>3</v>
      </c>
      <c r="J283" s="4" t="s">
        <v>668</v>
      </c>
      <c r="K283" s="4" t="s">
        <v>140</v>
      </c>
      <c r="L283" s="4" t="s">
        <v>156</v>
      </c>
      <c r="M283" s="4" t="s">
        <v>902</v>
      </c>
      <c r="N283" s="10" t="s">
        <v>766</v>
      </c>
      <c r="O283" s="4" t="s">
        <v>669</v>
      </c>
      <c r="P283" s="4"/>
      <c r="Q283" s="4"/>
      <c r="R283" s="4">
        <v>680</v>
      </c>
      <c r="S283" s="4"/>
      <c r="T283" s="32"/>
      <c r="U283" s="4" t="s">
        <v>849</v>
      </c>
      <c r="V283" s="4" t="s">
        <v>642</v>
      </c>
      <c r="W283" s="7">
        <v>9.8000000000000007</v>
      </c>
      <c r="X283" s="7">
        <v>8.6999999999999993</v>
      </c>
      <c r="Y283" s="7">
        <f>0.8*SQRT(AA283)</f>
        <v>12.774975538137049</v>
      </c>
      <c r="Z283" s="7">
        <f>0.8*SQRT(AB283)</f>
        <v>12.774975538137049</v>
      </c>
      <c r="AA283" s="16">
        <v>255</v>
      </c>
      <c r="AB283" s="16">
        <v>255</v>
      </c>
      <c r="AC283" s="7">
        <f t="shared" si="307"/>
        <v>1.1000000000000014</v>
      </c>
      <c r="AD283" s="7">
        <f t="shared" si="308"/>
        <v>12.774975538137049</v>
      </c>
      <c r="AE283" s="7">
        <f t="shared" si="309"/>
        <v>8.6105840024208166E-2</v>
      </c>
      <c r="AF283" s="7">
        <f t="shared" si="310"/>
        <v>8.8602517423660557E-2</v>
      </c>
      <c r="AG283" s="7" t="s">
        <v>193</v>
      </c>
      <c r="AH283" s="4" t="s">
        <v>193</v>
      </c>
      <c r="AI283" s="4" t="s">
        <v>848</v>
      </c>
      <c r="AJ283" s="4" t="s">
        <v>328</v>
      </c>
      <c r="AK283" s="4" t="s">
        <v>1299</v>
      </c>
      <c r="AL283" s="4" t="s">
        <v>1310</v>
      </c>
      <c r="AM283" s="4" t="s">
        <v>729</v>
      </c>
      <c r="AN283" s="10" t="s">
        <v>157</v>
      </c>
    </row>
    <row r="284" spans="1:40" s="10" customFormat="1" x14ac:dyDescent="0.2">
      <c r="A284" s="4">
        <v>2005</v>
      </c>
      <c r="B284" s="25">
        <v>15686600</v>
      </c>
      <c r="C284" s="4" t="s">
        <v>134</v>
      </c>
      <c r="D284" s="4"/>
      <c r="E284" s="4"/>
      <c r="F284" s="4" t="s">
        <v>1084</v>
      </c>
      <c r="G284" s="4" t="s">
        <v>130</v>
      </c>
      <c r="H284" s="4" t="s">
        <v>130</v>
      </c>
      <c r="I284" s="4">
        <v>50</v>
      </c>
      <c r="J284" s="4" t="s">
        <v>135</v>
      </c>
      <c r="K284" s="4" t="s">
        <v>132</v>
      </c>
      <c r="L284" s="4" t="s">
        <v>156</v>
      </c>
      <c r="M284" s="4" t="s">
        <v>902</v>
      </c>
      <c r="N284" s="10" t="s">
        <v>766</v>
      </c>
      <c r="O284" s="4"/>
      <c r="P284" s="4"/>
      <c r="Q284" s="4"/>
      <c r="R284" s="4">
        <v>604</v>
      </c>
      <c r="S284" s="4"/>
      <c r="T284" s="32"/>
      <c r="U284" s="4" t="s">
        <v>850</v>
      </c>
      <c r="V284" s="4" t="s">
        <v>642</v>
      </c>
      <c r="W284" s="7">
        <v>1.63</v>
      </c>
      <c r="X284" s="7">
        <v>1.8</v>
      </c>
      <c r="Y284" s="7">
        <f>0.17*SQRT(AA284)</f>
        <v>2.9931588664820317</v>
      </c>
      <c r="Z284" s="7">
        <f>0.17*SQRT(AB284)</f>
        <v>2.9148927939119824</v>
      </c>
      <c r="AA284" s="16">
        <v>310</v>
      </c>
      <c r="AB284" s="16">
        <v>294</v>
      </c>
      <c r="AC284" s="7">
        <f t="shared" ref="AC284:AC293" si="311">W284-X284</f>
        <v>-0.17000000000000015</v>
      </c>
      <c r="AD284" s="7">
        <f t="shared" ref="AD284" si="312">SQRT(((AA284-1)*Y284^2+(AB284-1)*Z284^2)/(AA284+AB284-2))</f>
        <v>2.9553248299465054</v>
      </c>
      <c r="AE284" s="7">
        <f t="shared" ref="AE284" si="313">AC284/AD284</f>
        <v>-5.7523287551127615E-2</v>
      </c>
      <c r="AF284" s="7">
        <f t="shared" ref="AF284" si="314">SQRT(((AA284+AB284)/(AA284*AB284)+(AE284^2/(2*(AA284+AB284)))))</f>
        <v>8.142423579711433E-2</v>
      </c>
      <c r="AG284" s="7" t="s">
        <v>193</v>
      </c>
      <c r="AH284" s="4" t="s">
        <v>193</v>
      </c>
      <c r="AI284" s="4" t="s">
        <v>789</v>
      </c>
      <c r="AJ284" s="4" t="s">
        <v>348</v>
      </c>
      <c r="AK284" s="4"/>
      <c r="AL284" s="4"/>
      <c r="AM284" s="4" t="s">
        <v>730</v>
      </c>
      <c r="AN284" s="10" t="s">
        <v>157</v>
      </c>
    </row>
    <row r="285" spans="1:40" s="10" customFormat="1" x14ac:dyDescent="0.2">
      <c r="A285" s="4">
        <v>2004</v>
      </c>
      <c r="B285" s="25">
        <v>14668570</v>
      </c>
      <c r="C285" s="4" t="s">
        <v>110</v>
      </c>
      <c r="D285" s="4"/>
      <c r="E285" s="4" t="s">
        <v>157</v>
      </c>
      <c r="F285" s="4" t="s">
        <v>570</v>
      </c>
      <c r="G285" s="4" t="s">
        <v>1100</v>
      </c>
      <c r="H285" s="4" t="s">
        <v>1100</v>
      </c>
      <c r="I285" s="4">
        <v>0.3</v>
      </c>
      <c r="J285" s="4" t="s">
        <v>86</v>
      </c>
      <c r="K285" s="4" t="s">
        <v>86</v>
      </c>
      <c r="L285" s="4" t="s">
        <v>220</v>
      </c>
      <c r="M285" s="10" t="s">
        <v>903</v>
      </c>
      <c r="N285" s="10" t="s">
        <v>766</v>
      </c>
      <c r="O285" s="4"/>
      <c r="P285" s="4" t="s">
        <v>911</v>
      </c>
      <c r="Q285" s="4">
        <v>2</v>
      </c>
      <c r="R285" s="4">
        <v>13</v>
      </c>
      <c r="S285" s="4">
        <v>55.2</v>
      </c>
      <c r="T285" s="32">
        <v>8</v>
      </c>
      <c r="U285" s="4" t="s">
        <v>640</v>
      </c>
      <c r="V285" s="4" t="s">
        <v>642</v>
      </c>
      <c r="W285" s="7">
        <v>138.5</v>
      </c>
      <c r="X285" s="7">
        <v>137.30000000000001</v>
      </c>
      <c r="Y285" s="7">
        <f>3.4*SQRT(13)</f>
        <v>12.258874336577563</v>
      </c>
      <c r="Z285" s="7">
        <f>3.3*SQRT(13)</f>
        <v>11.898319209031163</v>
      </c>
      <c r="AA285" s="16">
        <v>13</v>
      </c>
      <c r="AB285" s="16">
        <v>13</v>
      </c>
      <c r="AC285" s="7">
        <f t="shared" si="311"/>
        <v>1.1999999999999886</v>
      </c>
      <c r="AD285" s="7">
        <f t="shared" ref="AD285:AD293" si="315">SQRT(((AA285-1)*Y285^2+(AB285-1)*Z285^2)/(AA285+AB285-2))</f>
        <v>12.079942052841147</v>
      </c>
      <c r="AE285" s="7">
        <f t="shared" ref="AE285:AE293" si="316">AC285/AD285</f>
        <v>9.9338224864891148E-2</v>
      </c>
      <c r="AF285" s="7">
        <f t="shared" ref="AF285:AF293" si="317">SQRT(((AA285+AB285)/(AA285*AB285)+(AE285^2/(2*(AA285+AB285)))))</f>
        <v>0.39247410700774282</v>
      </c>
      <c r="AG285" s="7" t="s">
        <v>193</v>
      </c>
      <c r="AH285" s="4"/>
      <c r="AI285" s="4" t="s">
        <v>780</v>
      </c>
      <c r="AJ285" s="4" t="s">
        <v>348</v>
      </c>
      <c r="AK285" s="4"/>
      <c r="AL285" s="4"/>
      <c r="AM285" s="4" t="s">
        <v>731</v>
      </c>
      <c r="AN285" s="10" t="s">
        <v>157</v>
      </c>
    </row>
    <row r="286" spans="1:40" s="10" customFormat="1" x14ac:dyDescent="0.2">
      <c r="A286" s="4">
        <v>2004</v>
      </c>
      <c r="B286" s="4">
        <v>14668570</v>
      </c>
      <c r="C286" s="4" t="s">
        <v>110</v>
      </c>
      <c r="D286" s="4"/>
      <c r="E286" s="4" t="s">
        <v>157</v>
      </c>
      <c r="F286" s="4" t="s">
        <v>570</v>
      </c>
      <c r="G286" s="4" t="s">
        <v>1100</v>
      </c>
      <c r="H286" s="4" t="s">
        <v>1100</v>
      </c>
      <c r="I286" s="4">
        <v>0.3</v>
      </c>
      <c r="J286" s="4" t="s">
        <v>86</v>
      </c>
      <c r="K286" s="4" t="s">
        <v>86</v>
      </c>
      <c r="L286" s="4" t="s">
        <v>220</v>
      </c>
      <c r="M286" s="10" t="s">
        <v>903</v>
      </c>
      <c r="N286" s="10" t="s">
        <v>766</v>
      </c>
      <c r="O286" s="4"/>
      <c r="P286" s="4" t="s">
        <v>911</v>
      </c>
      <c r="Q286" s="4">
        <v>2</v>
      </c>
      <c r="R286" s="4">
        <v>13</v>
      </c>
      <c r="S286" s="4">
        <v>55.2</v>
      </c>
      <c r="T286" s="32">
        <v>8</v>
      </c>
      <c r="U286" s="4" t="s">
        <v>641</v>
      </c>
      <c r="V286" s="4" t="s">
        <v>642</v>
      </c>
      <c r="W286" s="7">
        <v>91.3</v>
      </c>
      <c r="X286" s="7">
        <v>90.5</v>
      </c>
      <c r="Y286" s="7">
        <f>1.7*SQRT(13)</f>
        <v>6.1294371682887814</v>
      </c>
      <c r="Z286" s="7">
        <f>1.5*SQRT(13)</f>
        <v>5.4083269131959835</v>
      </c>
      <c r="AA286" s="16">
        <v>13</v>
      </c>
      <c r="AB286" s="16">
        <v>13</v>
      </c>
      <c r="AC286" s="7">
        <f t="shared" si="311"/>
        <v>0.79999999999999716</v>
      </c>
      <c r="AD286" s="7">
        <f t="shared" si="315"/>
        <v>5.78013840664737</v>
      </c>
      <c r="AE286" s="7">
        <f t="shared" si="316"/>
        <v>0.13840499028188805</v>
      </c>
      <c r="AF286" s="7">
        <f t="shared" si="317"/>
        <v>0.39270158814723943</v>
      </c>
      <c r="AG286" s="7" t="s">
        <v>193</v>
      </c>
      <c r="AH286" s="4"/>
      <c r="AI286" s="4" t="s">
        <v>780</v>
      </c>
      <c r="AJ286" s="4" t="s">
        <v>348</v>
      </c>
      <c r="AK286" s="4"/>
      <c r="AL286" s="4"/>
      <c r="AM286" s="4" t="s">
        <v>731</v>
      </c>
      <c r="AN286" s="10" t="s">
        <v>157</v>
      </c>
    </row>
    <row r="287" spans="1:40" s="10" customFormat="1" x14ac:dyDescent="0.2">
      <c r="A287" s="4">
        <v>2004</v>
      </c>
      <c r="B287" s="4">
        <v>14668570</v>
      </c>
      <c r="C287" s="4" t="s">
        <v>110</v>
      </c>
      <c r="D287" s="4"/>
      <c r="E287" s="4" t="s">
        <v>157</v>
      </c>
      <c r="F287" s="4" t="s">
        <v>570</v>
      </c>
      <c r="G287" s="4" t="s">
        <v>1100</v>
      </c>
      <c r="H287" s="4" t="s">
        <v>1100</v>
      </c>
      <c r="I287" s="4">
        <v>0.3</v>
      </c>
      <c r="J287" s="4" t="s">
        <v>86</v>
      </c>
      <c r="K287" s="4" t="s">
        <v>86</v>
      </c>
      <c r="L287" s="4" t="s">
        <v>220</v>
      </c>
      <c r="M287" s="10" t="s">
        <v>903</v>
      </c>
      <c r="N287" s="10" t="s">
        <v>766</v>
      </c>
      <c r="O287" s="4"/>
      <c r="P287" s="4" t="s">
        <v>911</v>
      </c>
      <c r="Q287" s="4">
        <v>2</v>
      </c>
      <c r="R287" s="4">
        <v>13</v>
      </c>
      <c r="S287" s="4">
        <v>55.2</v>
      </c>
      <c r="T287" s="32">
        <v>8</v>
      </c>
      <c r="U287" s="4" t="s">
        <v>677</v>
      </c>
      <c r="V287" s="4" t="s">
        <v>642</v>
      </c>
      <c r="W287" s="7">
        <v>76.2</v>
      </c>
      <c r="X287" s="7">
        <v>74.5</v>
      </c>
      <c r="Y287" s="7">
        <f>2.8*SQRT(13)</f>
        <v>10.095543571299169</v>
      </c>
      <c r="Z287" s="7">
        <f>2.8*SQRT(13)</f>
        <v>10.095543571299169</v>
      </c>
      <c r="AA287" s="16">
        <v>13</v>
      </c>
      <c r="AB287" s="16">
        <v>13</v>
      </c>
      <c r="AC287" s="7">
        <f t="shared" si="311"/>
        <v>1.7000000000000028</v>
      </c>
      <c r="AD287" s="7">
        <f t="shared" si="315"/>
        <v>10.095543571299169</v>
      </c>
      <c r="AE287" s="7">
        <f t="shared" si="316"/>
        <v>0.16839113099694486</v>
      </c>
      <c r="AF287" s="7">
        <f t="shared" si="317"/>
        <v>0.39292677858208253</v>
      </c>
      <c r="AG287" s="7" t="s">
        <v>157</v>
      </c>
      <c r="AH287" s="4"/>
      <c r="AI287" s="4" t="s">
        <v>780</v>
      </c>
      <c r="AJ287" s="4" t="s">
        <v>348</v>
      </c>
      <c r="AK287" s="4"/>
      <c r="AL287" s="4"/>
      <c r="AM287" s="4" t="s">
        <v>731</v>
      </c>
      <c r="AN287" s="10" t="s">
        <v>157</v>
      </c>
    </row>
    <row r="288" spans="1:40" s="10" customFormat="1" x14ac:dyDescent="0.2">
      <c r="A288" s="4">
        <v>2004</v>
      </c>
      <c r="B288" s="4">
        <v>14668570</v>
      </c>
      <c r="C288" s="4" t="s">
        <v>110</v>
      </c>
      <c r="D288" s="4"/>
      <c r="E288" s="4" t="s">
        <v>157</v>
      </c>
      <c r="F288" s="4" t="s">
        <v>570</v>
      </c>
      <c r="G288" s="4" t="s">
        <v>1100</v>
      </c>
      <c r="H288" s="4" t="s">
        <v>1100</v>
      </c>
      <c r="I288" s="4">
        <v>0.3</v>
      </c>
      <c r="J288" s="4" t="s">
        <v>86</v>
      </c>
      <c r="K288" s="4" t="s">
        <v>86</v>
      </c>
      <c r="L288" s="4" t="s">
        <v>220</v>
      </c>
      <c r="M288" s="10" t="s">
        <v>903</v>
      </c>
      <c r="N288" s="10" t="s">
        <v>766</v>
      </c>
      <c r="O288" s="4"/>
      <c r="P288" s="4" t="s">
        <v>911</v>
      </c>
      <c r="Q288" s="4">
        <v>2</v>
      </c>
      <c r="R288" s="4">
        <v>13</v>
      </c>
      <c r="S288" s="4">
        <v>55.2</v>
      </c>
      <c r="T288" s="32">
        <v>8</v>
      </c>
      <c r="U288" s="4" t="s">
        <v>644</v>
      </c>
      <c r="V288" s="4" t="s">
        <v>642</v>
      </c>
      <c r="W288" s="7">
        <v>142.30000000000001</v>
      </c>
      <c r="X288" s="7">
        <v>144</v>
      </c>
      <c r="Y288" s="7">
        <f>3.7*SQRT(13)</f>
        <v>13.340539719216761</v>
      </c>
      <c r="Z288" s="7">
        <f>3.8*SQRT(13)</f>
        <v>13.701094846763159</v>
      </c>
      <c r="AA288" s="16">
        <v>13</v>
      </c>
      <c r="AB288" s="16">
        <v>13</v>
      </c>
      <c r="AC288" s="7">
        <f t="shared" si="311"/>
        <v>-1.6999999999999886</v>
      </c>
      <c r="AD288" s="7">
        <f t="shared" si="315"/>
        <v>13.522019080004286</v>
      </c>
      <c r="AE288" s="7">
        <f t="shared" si="316"/>
        <v>-0.12572086978592326</v>
      </c>
      <c r="AF288" s="7">
        <f t="shared" si="317"/>
        <v>0.3926195490915359</v>
      </c>
      <c r="AG288" s="7" t="s">
        <v>193</v>
      </c>
      <c r="AH288" s="4"/>
      <c r="AI288" s="4" t="s">
        <v>780</v>
      </c>
      <c r="AJ288" s="4" t="s">
        <v>328</v>
      </c>
      <c r="AK288" s="4"/>
      <c r="AL288" s="4"/>
      <c r="AM288" s="4" t="s">
        <v>731</v>
      </c>
      <c r="AN288" s="10" t="s">
        <v>157</v>
      </c>
    </row>
    <row r="289" spans="1:40" s="10" customFormat="1" x14ac:dyDescent="0.2">
      <c r="A289" s="4">
        <v>2004</v>
      </c>
      <c r="B289" s="4">
        <v>14668570</v>
      </c>
      <c r="C289" s="4" t="s">
        <v>110</v>
      </c>
      <c r="D289" s="4"/>
      <c r="E289" s="4" t="s">
        <v>157</v>
      </c>
      <c r="F289" s="4" t="s">
        <v>570</v>
      </c>
      <c r="G289" s="4" t="s">
        <v>1100</v>
      </c>
      <c r="H289" s="4" t="s">
        <v>1100</v>
      </c>
      <c r="I289" s="4">
        <v>0.3</v>
      </c>
      <c r="J289" s="4" t="s">
        <v>86</v>
      </c>
      <c r="K289" s="4" t="s">
        <v>86</v>
      </c>
      <c r="L289" s="4" t="s">
        <v>220</v>
      </c>
      <c r="M289" s="10" t="s">
        <v>903</v>
      </c>
      <c r="N289" s="10" t="s">
        <v>766</v>
      </c>
      <c r="O289" s="4"/>
      <c r="P289" s="4" t="s">
        <v>911</v>
      </c>
      <c r="Q289" s="4">
        <v>2</v>
      </c>
      <c r="R289" s="4">
        <v>13</v>
      </c>
      <c r="S289" s="4">
        <v>55.2</v>
      </c>
      <c r="T289" s="32">
        <v>8</v>
      </c>
      <c r="U289" s="4" t="s">
        <v>645</v>
      </c>
      <c r="V289" s="4" t="s">
        <v>642</v>
      </c>
      <c r="W289" s="7">
        <v>94.2</v>
      </c>
      <c r="X289" s="7">
        <v>94.7</v>
      </c>
      <c r="Y289" s="7">
        <f>1.9*SQRT(13)</f>
        <v>6.8505474233815793</v>
      </c>
      <c r="Z289" s="7">
        <f>2.1*SQRT(13)</f>
        <v>7.5716576784743772</v>
      </c>
      <c r="AA289" s="16">
        <v>13</v>
      </c>
      <c r="AB289" s="16">
        <v>13</v>
      </c>
      <c r="AC289" s="7">
        <f t="shared" si="311"/>
        <v>-0.5</v>
      </c>
      <c r="AD289" s="7">
        <f t="shared" si="315"/>
        <v>7.2201108024738785</v>
      </c>
      <c r="AE289" s="7">
        <f t="shared" si="316"/>
        <v>-6.9251014794493373E-2</v>
      </c>
      <c r="AF289" s="7">
        <f t="shared" si="317"/>
        <v>0.39234981700621319</v>
      </c>
      <c r="AG289" s="7" t="s">
        <v>193</v>
      </c>
      <c r="AH289" s="4"/>
      <c r="AI289" s="4" t="s">
        <v>780</v>
      </c>
      <c r="AJ289" s="4" t="s">
        <v>328</v>
      </c>
      <c r="AK289" s="4"/>
      <c r="AL289" s="4"/>
      <c r="AM289" s="4" t="s">
        <v>731</v>
      </c>
      <c r="AN289" s="10" t="s">
        <v>157</v>
      </c>
    </row>
    <row r="290" spans="1:40" s="10" customFormat="1" x14ac:dyDescent="0.2">
      <c r="A290" s="4">
        <v>2004</v>
      </c>
      <c r="B290" s="4">
        <v>14668570</v>
      </c>
      <c r="C290" s="4" t="s">
        <v>110</v>
      </c>
      <c r="D290" s="4"/>
      <c r="E290" s="4" t="s">
        <v>157</v>
      </c>
      <c r="F290" s="4" t="s">
        <v>570</v>
      </c>
      <c r="G290" s="4" t="s">
        <v>1100</v>
      </c>
      <c r="H290" s="4" t="s">
        <v>1100</v>
      </c>
      <c r="I290" s="4">
        <v>0.3</v>
      </c>
      <c r="J290" s="4" t="s">
        <v>86</v>
      </c>
      <c r="K290" s="4" t="s">
        <v>86</v>
      </c>
      <c r="L290" s="4" t="s">
        <v>220</v>
      </c>
      <c r="M290" s="10" t="s">
        <v>903</v>
      </c>
      <c r="N290" s="10" t="s">
        <v>766</v>
      </c>
      <c r="O290" s="4"/>
      <c r="P290" s="4" t="s">
        <v>911</v>
      </c>
      <c r="Q290" s="4">
        <v>2</v>
      </c>
      <c r="R290" s="4">
        <v>13</v>
      </c>
      <c r="S290" s="4">
        <v>55.2</v>
      </c>
      <c r="T290" s="32">
        <v>8</v>
      </c>
      <c r="U290" s="4" t="s">
        <v>851</v>
      </c>
      <c r="V290" s="4" t="s">
        <v>642</v>
      </c>
      <c r="W290" s="7">
        <v>78.2</v>
      </c>
      <c r="X290" s="7">
        <v>75</v>
      </c>
      <c r="Y290" s="7">
        <f>2.2*SQRT(13)</f>
        <v>7.9322128060207771</v>
      </c>
      <c r="Z290" s="7">
        <f>2.3*SQRT(13)</f>
        <v>8.2927679335671751</v>
      </c>
      <c r="AA290" s="16">
        <v>13</v>
      </c>
      <c r="AB290" s="16">
        <v>13</v>
      </c>
      <c r="AC290" s="7">
        <f t="shared" si="311"/>
        <v>3.2000000000000028</v>
      </c>
      <c r="AD290" s="7">
        <f t="shared" si="315"/>
        <v>8.1144932066026172</v>
      </c>
      <c r="AE290" s="7">
        <f t="shared" si="316"/>
        <v>0.39435611300977125</v>
      </c>
      <c r="AF290" s="7">
        <f t="shared" si="317"/>
        <v>0.39602633808751075</v>
      </c>
      <c r="AG290" s="7" t="s">
        <v>157</v>
      </c>
      <c r="AH290" s="4"/>
      <c r="AI290" s="4" t="s">
        <v>780</v>
      </c>
      <c r="AJ290" s="4" t="s">
        <v>348</v>
      </c>
      <c r="AK290" s="4"/>
      <c r="AL290" s="4"/>
      <c r="AM290" s="4" t="s">
        <v>731</v>
      </c>
      <c r="AN290" s="10" t="s">
        <v>157</v>
      </c>
    </row>
    <row r="291" spans="1:40" s="10" customFormat="1" x14ac:dyDescent="0.2">
      <c r="A291" s="4">
        <v>2004</v>
      </c>
      <c r="B291" s="4">
        <v>14668570</v>
      </c>
      <c r="C291" s="4" t="s">
        <v>110</v>
      </c>
      <c r="D291" s="4"/>
      <c r="E291" s="4" t="s">
        <v>157</v>
      </c>
      <c r="F291" s="4" t="s">
        <v>570</v>
      </c>
      <c r="G291" s="4" t="s">
        <v>1100</v>
      </c>
      <c r="H291" s="4" t="s">
        <v>1100</v>
      </c>
      <c r="I291" s="4">
        <v>0.3</v>
      </c>
      <c r="J291" s="4" t="s">
        <v>86</v>
      </c>
      <c r="K291" s="4" t="s">
        <v>86</v>
      </c>
      <c r="L291" s="4" t="s">
        <v>220</v>
      </c>
      <c r="M291" s="10" t="s">
        <v>903</v>
      </c>
      <c r="N291" s="10" t="s">
        <v>766</v>
      </c>
      <c r="O291" s="4"/>
      <c r="P291" s="4" t="s">
        <v>911</v>
      </c>
      <c r="Q291" s="4">
        <v>2</v>
      </c>
      <c r="R291" s="4">
        <v>13</v>
      </c>
      <c r="S291" s="4">
        <v>55.2</v>
      </c>
      <c r="T291" s="32">
        <v>8</v>
      </c>
      <c r="U291" s="4" t="s">
        <v>637</v>
      </c>
      <c r="V291" s="4" t="s">
        <v>642</v>
      </c>
      <c r="W291" s="7">
        <v>128.5</v>
      </c>
      <c r="X291" s="7">
        <v>120.7</v>
      </c>
      <c r="Y291" s="7">
        <f>3.6*SQRT(13)</f>
        <v>12.979984591670361</v>
      </c>
      <c r="Z291" s="7">
        <f>3.8*SQRT(13)</f>
        <v>13.701094846763159</v>
      </c>
      <c r="AA291" s="16">
        <v>13</v>
      </c>
      <c r="AB291" s="16">
        <v>13</v>
      </c>
      <c r="AC291" s="7">
        <f t="shared" si="311"/>
        <v>7.7999999999999972</v>
      </c>
      <c r="AD291" s="7">
        <f t="shared" si="315"/>
        <v>13.345411196362591</v>
      </c>
      <c r="AE291" s="7">
        <f t="shared" si="316"/>
        <v>0.58447056334434688</v>
      </c>
      <c r="AF291" s="7">
        <f t="shared" si="317"/>
        <v>0.40051903439393149</v>
      </c>
      <c r="AG291" s="7" t="s">
        <v>193</v>
      </c>
      <c r="AH291" s="4" t="s">
        <v>193</v>
      </c>
      <c r="AI291" s="4" t="s">
        <v>780</v>
      </c>
      <c r="AJ291" s="12" t="s">
        <v>348</v>
      </c>
      <c r="AK291" s="4"/>
      <c r="AL291" s="4"/>
      <c r="AM291" s="4" t="s">
        <v>731</v>
      </c>
      <c r="AN291" s="10" t="s">
        <v>157</v>
      </c>
    </row>
    <row r="292" spans="1:40" s="10" customFormat="1" x14ac:dyDescent="0.2">
      <c r="A292" s="4">
        <v>2004</v>
      </c>
      <c r="B292" s="4">
        <v>14668570</v>
      </c>
      <c r="C292" s="4" t="s">
        <v>110</v>
      </c>
      <c r="D292" s="4"/>
      <c r="E292" s="4" t="s">
        <v>157</v>
      </c>
      <c r="F292" s="4" t="s">
        <v>570</v>
      </c>
      <c r="G292" s="4" t="s">
        <v>1100</v>
      </c>
      <c r="H292" s="4" t="s">
        <v>1100</v>
      </c>
      <c r="I292" s="4">
        <v>0.3</v>
      </c>
      <c r="J292" s="4" t="s">
        <v>86</v>
      </c>
      <c r="K292" s="4" t="s">
        <v>86</v>
      </c>
      <c r="L292" s="4" t="s">
        <v>220</v>
      </c>
      <c r="M292" s="10" t="s">
        <v>903</v>
      </c>
      <c r="N292" s="10" t="s">
        <v>766</v>
      </c>
      <c r="O292" s="4"/>
      <c r="P292" s="4" t="s">
        <v>911</v>
      </c>
      <c r="Q292" s="4">
        <v>2</v>
      </c>
      <c r="R292" s="4">
        <v>13</v>
      </c>
      <c r="S292" s="4">
        <v>55.2</v>
      </c>
      <c r="T292" s="32">
        <v>8</v>
      </c>
      <c r="U292" s="4" t="s">
        <v>638</v>
      </c>
      <c r="V292" s="4" t="s">
        <v>642</v>
      </c>
      <c r="W292" s="12">
        <v>83.8</v>
      </c>
      <c r="X292" s="12">
        <v>79</v>
      </c>
      <c r="Y292" s="7">
        <f>2.1*SQRT(13)</f>
        <v>7.5716576784743772</v>
      </c>
      <c r="Z292" s="7">
        <f>2.9*SQRT(13)</f>
        <v>10.456098698845569</v>
      </c>
      <c r="AA292" s="16">
        <v>13</v>
      </c>
      <c r="AB292" s="16">
        <v>13</v>
      </c>
      <c r="AC292" s="12">
        <f t="shared" si="311"/>
        <v>4.7999999999999972</v>
      </c>
      <c r="AD292" s="12">
        <f t="shared" si="315"/>
        <v>9.1285267157411543</v>
      </c>
      <c r="AE292" s="12">
        <f t="shared" si="316"/>
        <v>0.525824171793562</v>
      </c>
      <c r="AF292" s="12">
        <f t="shared" si="317"/>
        <v>0.39895274107155526</v>
      </c>
      <c r="AG292" s="12" t="s">
        <v>193</v>
      </c>
      <c r="AH292" s="12"/>
      <c r="AI292" s="4" t="s">
        <v>780</v>
      </c>
      <c r="AJ292" s="12" t="s">
        <v>348</v>
      </c>
      <c r="AK292" s="4"/>
      <c r="AL292" s="4"/>
      <c r="AM292" s="4" t="s">
        <v>731</v>
      </c>
      <c r="AN292" s="10" t="s">
        <v>157</v>
      </c>
    </row>
    <row r="293" spans="1:40" s="10" customFormat="1" x14ac:dyDescent="0.2">
      <c r="A293" s="4">
        <v>2004</v>
      </c>
      <c r="B293" s="4">
        <v>14668570</v>
      </c>
      <c r="C293" s="4" t="s">
        <v>110</v>
      </c>
      <c r="D293" s="4"/>
      <c r="E293" s="4" t="s">
        <v>157</v>
      </c>
      <c r="F293" s="4" t="s">
        <v>570</v>
      </c>
      <c r="G293" s="4" t="s">
        <v>1100</v>
      </c>
      <c r="H293" s="4" t="s">
        <v>1100</v>
      </c>
      <c r="I293" s="4">
        <v>0.3</v>
      </c>
      <c r="J293" s="4" t="s">
        <v>86</v>
      </c>
      <c r="K293" s="4" t="s">
        <v>86</v>
      </c>
      <c r="L293" s="4" t="s">
        <v>220</v>
      </c>
      <c r="M293" s="10" t="s">
        <v>903</v>
      </c>
      <c r="N293" s="10" t="s">
        <v>766</v>
      </c>
      <c r="O293" s="4"/>
      <c r="P293" s="4" t="s">
        <v>911</v>
      </c>
      <c r="Q293" s="4">
        <v>2</v>
      </c>
      <c r="R293" s="4">
        <v>13</v>
      </c>
      <c r="S293" s="4">
        <v>55.2</v>
      </c>
      <c r="T293" s="32">
        <v>8</v>
      </c>
      <c r="U293" s="4" t="s">
        <v>852</v>
      </c>
      <c r="V293" s="4" t="s">
        <v>642</v>
      </c>
      <c r="W293" s="12">
        <v>61.2</v>
      </c>
      <c r="X293" s="12">
        <v>62.4</v>
      </c>
      <c r="Y293" s="7">
        <f>2.5*SQRT(13)</f>
        <v>9.013878188659973</v>
      </c>
      <c r="Z293" s="7">
        <f>1.9*SQRT(13)</f>
        <v>6.8505474233815793</v>
      </c>
      <c r="AA293" s="16">
        <v>13</v>
      </c>
      <c r="AB293" s="16">
        <v>13</v>
      </c>
      <c r="AC293" s="12">
        <f t="shared" si="311"/>
        <v>-1.1999999999999957</v>
      </c>
      <c r="AD293" s="12">
        <f t="shared" si="315"/>
        <v>8.0056230238501733</v>
      </c>
      <c r="AE293" s="12">
        <f t="shared" si="316"/>
        <v>-0.14989464235637659</v>
      </c>
      <c r="AF293" s="12">
        <f t="shared" si="317"/>
        <v>0.39278268614432688</v>
      </c>
      <c r="AG293" s="12" t="s">
        <v>157</v>
      </c>
      <c r="AH293" s="12"/>
      <c r="AI293" s="4" t="s">
        <v>780</v>
      </c>
      <c r="AJ293" s="12" t="s">
        <v>328</v>
      </c>
      <c r="AK293" s="4"/>
      <c r="AL293" s="4"/>
      <c r="AM293" s="4" t="s">
        <v>731</v>
      </c>
      <c r="AN293" s="10" t="s">
        <v>157</v>
      </c>
    </row>
    <row r="294" spans="1:40" s="10" customFormat="1" hidden="1" x14ac:dyDescent="0.2">
      <c r="A294" s="10">
        <v>1993</v>
      </c>
      <c r="B294" s="6">
        <v>8133022</v>
      </c>
      <c r="C294" s="4" t="s">
        <v>99</v>
      </c>
      <c r="D294" s="4"/>
      <c r="E294" s="4" t="s">
        <v>157</v>
      </c>
      <c r="F294" s="4" t="s">
        <v>570</v>
      </c>
      <c r="G294" s="4" t="s">
        <v>1100</v>
      </c>
      <c r="H294" s="4" t="s">
        <v>1100</v>
      </c>
      <c r="I294" s="4">
        <v>40</v>
      </c>
      <c r="J294" s="4" t="s">
        <v>874</v>
      </c>
      <c r="K294" s="4" t="s">
        <v>86</v>
      </c>
      <c r="L294" s="10" t="s">
        <v>220</v>
      </c>
      <c r="M294" s="10" t="s">
        <v>903</v>
      </c>
      <c r="N294" s="10" t="s">
        <v>766</v>
      </c>
      <c r="P294" s="10" t="s">
        <v>809</v>
      </c>
      <c r="Q294" s="10">
        <v>2</v>
      </c>
      <c r="R294" s="15">
        <v>19</v>
      </c>
      <c r="S294" s="15">
        <v>53</v>
      </c>
      <c r="T294" s="13">
        <v>37</v>
      </c>
      <c r="U294" s="10" t="s">
        <v>644</v>
      </c>
      <c r="V294" s="10" t="s">
        <v>642</v>
      </c>
      <c r="W294" s="12">
        <v>145</v>
      </c>
      <c r="X294" s="12">
        <v>145</v>
      </c>
      <c r="Y294" s="12">
        <v>8</v>
      </c>
      <c r="Z294" s="12">
        <v>8</v>
      </c>
      <c r="AA294" s="15">
        <v>19</v>
      </c>
      <c r="AB294" s="15">
        <v>19</v>
      </c>
      <c r="AC294" s="12">
        <f t="shared" ref="AC294:AC297" si="318">W294-X294</f>
        <v>0</v>
      </c>
      <c r="AD294" s="12">
        <f t="shared" ref="AD294:AD297" si="319">SQRT(((AA294-1)*Y294^2+(AB294-1)*Z294^2)/(AA294+AB294-2))</f>
        <v>8</v>
      </c>
      <c r="AE294" s="12">
        <f t="shared" ref="AE294:AE297" si="320">AC294/AD294</f>
        <v>0</v>
      </c>
      <c r="AF294" s="12">
        <f t="shared" ref="AF294:AF297" si="321">SQRT(((AA294+AB294)/(AA294*AB294)+(AE294^2/(2*(AA294+AB294)))))</f>
        <v>0.32444284226152509</v>
      </c>
      <c r="AG294" s="12" t="s">
        <v>193</v>
      </c>
      <c r="AH294" s="12"/>
      <c r="AI294" s="12" t="s">
        <v>780</v>
      </c>
      <c r="AJ294" s="12" t="s">
        <v>642</v>
      </c>
      <c r="AK294" s="12"/>
      <c r="AL294" s="12"/>
      <c r="AM294" s="10" t="s">
        <v>732</v>
      </c>
      <c r="AN294" s="10" t="s">
        <v>157</v>
      </c>
    </row>
    <row r="295" spans="1:40" s="10" customFormat="1" hidden="1" x14ac:dyDescent="0.2">
      <c r="A295" s="10">
        <v>1993</v>
      </c>
      <c r="B295" s="6">
        <v>8133022</v>
      </c>
      <c r="C295" s="4" t="s">
        <v>99</v>
      </c>
      <c r="D295" s="4"/>
      <c r="E295" s="4" t="s">
        <v>157</v>
      </c>
      <c r="F295" s="4" t="s">
        <v>570</v>
      </c>
      <c r="G295" s="4" t="s">
        <v>1100</v>
      </c>
      <c r="H295" s="4" t="s">
        <v>1100</v>
      </c>
      <c r="I295" s="4">
        <v>40</v>
      </c>
      <c r="J295" s="4" t="s">
        <v>874</v>
      </c>
      <c r="K295" s="4" t="s">
        <v>86</v>
      </c>
      <c r="L295" s="10" t="s">
        <v>220</v>
      </c>
      <c r="M295" s="10" t="s">
        <v>903</v>
      </c>
      <c r="N295" s="10" t="s">
        <v>766</v>
      </c>
      <c r="P295" s="10" t="s">
        <v>809</v>
      </c>
      <c r="Q295" s="10">
        <v>2</v>
      </c>
      <c r="R295" s="15">
        <v>19</v>
      </c>
      <c r="S295" s="15">
        <v>53</v>
      </c>
      <c r="T295" s="13">
        <v>37</v>
      </c>
      <c r="U295" s="10" t="s">
        <v>645</v>
      </c>
      <c r="V295" s="10" t="s">
        <v>642</v>
      </c>
      <c r="W295" s="12">
        <v>93</v>
      </c>
      <c r="X295" s="12">
        <v>93</v>
      </c>
      <c r="Y295" s="12">
        <v>8</v>
      </c>
      <c r="Z295" s="12">
        <v>8</v>
      </c>
      <c r="AA295" s="15">
        <v>19</v>
      </c>
      <c r="AB295" s="15">
        <v>19</v>
      </c>
      <c r="AC295" s="12">
        <f t="shared" si="318"/>
        <v>0</v>
      </c>
      <c r="AD295" s="12">
        <f t="shared" si="319"/>
        <v>8</v>
      </c>
      <c r="AE295" s="12">
        <f t="shared" si="320"/>
        <v>0</v>
      </c>
      <c r="AF295" s="12">
        <f t="shared" si="321"/>
        <v>0.32444284226152509</v>
      </c>
      <c r="AG295" s="12" t="s">
        <v>193</v>
      </c>
      <c r="AH295" s="12"/>
      <c r="AI295" s="12" t="s">
        <v>780</v>
      </c>
      <c r="AJ295" s="12" t="s">
        <v>642</v>
      </c>
      <c r="AK295" s="12"/>
      <c r="AL295" s="12"/>
      <c r="AM295" s="10" t="s">
        <v>732</v>
      </c>
      <c r="AN295" s="10" t="s">
        <v>157</v>
      </c>
    </row>
    <row r="296" spans="1:40" s="10" customFormat="1" hidden="1" x14ac:dyDescent="0.2">
      <c r="A296" s="10">
        <v>1993</v>
      </c>
      <c r="B296" s="6">
        <v>8133022</v>
      </c>
      <c r="C296" s="4" t="s">
        <v>99</v>
      </c>
      <c r="D296" s="4"/>
      <c r="E296" s="4" t="s">
        <v>157</v>
      </c>
      <c r="F296" s="4" t="s">
        <v>570</v>
      </c>
      <c r="G296" s="4" t="s">
        <v>1100</v>
      </c>
      <c r="H296" s="4" t="s">
        <v>1100</v>
      </c>
      <c r="I296" s="4">
        <v>40</v>
      </c>
      <c r="J296" s="4" t="s">
        <v>874</v>
      </c>
      <c r="K296" s="4" t="s">
        <v>86</v>
      </c>
      <c r="L296" s="10" t="s">
        <v>220</v>
      </c>
      <c r="M296" s="10" t="s">
        <v>903</v>
      </c>
      <c r="N296" s="10" t="s">
        <v>766</v>
      </c>
      <c r="P296" s="10" t="s">
        <v>809</v>
      </c>
      <c r="Q296" s="10">
        <v>2</v>
      </c>
      <c r="R296" s="15">
        <v>19</v>
      </c>
      <c r="S296" s="15">
        <v>53</v>
      </c>
      <c r="T296" s="13">
        <v>37</v>
      </c>
      <c r="U296" s="10" t="s">
        <v>637</v>
      </c>
      <c r="V296" s="10" t="s">
        <v>642</v>
      </c>
      <c r="W296" s="12">
        <v>135</v>
      </c>
      <c r="X296" s="12">
        <v>133</v>
      </c>
      <c r="Y296" s="12">
        <v>10</v>
      </c>
      <c r="Z296" s="12">
        <v>8</v>
      </c>
      <c r="AA296" s="15">
        <v>19</v>
      </c>
      <c r="AB296" s="15">
        <v>19</v>
      </c>
      <c r="AC296" s="12">
        <f t="shared" si="318"/>
        <v>2</v>
      </c>
      <c r="AD296" s="12">
        <f t="shared" si="319"/>
        <v>9.0553851381374173</v>
      </c>
      <c r="AE296" s="12">
        <f t="shared" si="320"/>
        <v>0.22086305214969307</v>
      </c>
      <c r="AF296" s="12">
        <f t="shared" si="321"/>
        <v>0.3254304939898614</v>
      </c>
      <c r="AG296" s="12" t="s">
        <v>193</v>
      </c>
      <c r="AH296" s="12" t="s">
        <v>193</v>
      </c>
      <c r="AI296" s="12" t="s">
        <v>780</v>
      </c>
      <c r="AJ296" s="12" t="s">
        <v>348</v>
      </c>
      <c r="AK296" s="12"/>
      <c r="AL296" s="12"/>
      <c r="AM296" s="10" t="s">
        <v>732</v>
      </c>
      <c r="AN296" s="10" t="s">
        <v>157</v>
      </c>
    </row>
    <row r="297" spans="1:40" s="10" customFormat="1" hidden="1" x14ac:dyDescent="0.2">
      <c r="A297" s="10">
        <v>1993</v>
      </c>
      <c r="B297" s="6">
        <v>8133022</v>
      </c>
      <c r="C297" s="4" t="s">
        <v>99</v>
      </c>
      <c r="D297" s="4"/>
      <c r="E297" s="4" t="s">
        <v>157</v>
      </c>
      <c r="F297" s="4" t="s">
        <v>570</v>
      </c>
      <c r="G297" s="4" t="s">
        <v>1100</v>
      </c>
      <c r="H297" s="4" t="s">
        <v>1100</v>
      </c>
      <c r="I297" s="4">
        <v>40</v>
      </c>
      <c r="J297" s="4" t="s">
        <v>874</v>
      </c>
      <c r="K297" s="4" t="s">
        <v>86</v>
      </c>
      <c r="L297" s="10" t="s">
        <v>220</v>
      </c>
      <c r="M297" s="10" t="s">
        <v>903</v>
      </c>
      <c r="N297" s="10" t="s">
        <v>766</v>
      </c>
      <c r="P297" s="10" t="s">
        <v>809</v>
      </c>
      <c r="Q297" s="10">
        <v>2</v>
      </c>
      <c r="R297" s="15">
        <v>19</v>
      </c>
      <c r="S297" s="15">
        <v>53</v>
      </c>
      <c r="T297" s="13">
        <v>37</v>
      </c>
      <c r="U297" s="10" t="s">
        <v>768</v>
      </c>
      <c r="V297" s="10" t="s">
        <v>642</v>
      </c>
      <c r="W297" s="12">
        <v>83</v>
      </c>
      <c r="X297" s="12">
        <v>83</v>
      </c>
      <c r="Y297" s="12">
        <v>9</v>
      </c>
      <c r="Z297" s="12">
        <v>8</v>
      </c>
      <c r="AA297" s="15">
        <v>19</v>
      </c>
      <c r="AB297" s="15">
        <v>19</v>
      </c>
      <c r="AC297" s="12">
        <f t="shared" si="318"/>
        <v>0</v>
      </c>
      <c r="AD297" s="12">
        <f t="shared" si="319"/>
        <v>8.5146931829632013</v>
      </c>
      <c r="AE297" s="12">
        <f t="shared" si="320"/>
        <v>0</v>
      </c>
      <c r="AF297" s="12">
        <f t="shared" si="321"/>
        <v>0.32444284226152509</v>
      </c>
      <c r="AG297" s="12" t="s">
        <v>193</v>
      </c>
      <c r="AH297" s="12"/>
      <c r="AI297" s="12" t="s">
        <v>780</v>
      </c>
      <c r="AJ297" s="12" t="s">
        <v>642</v>
      </c>
      <c r="AK297" s="12"/>
      <c r="AL297" s="12"/>
      <c r="AM297" s="10" t="s">
        <v>732</v>
      </c>
      <c r="AN297" s="10" t="s">
        <v>157</v>
      </c>
    </row>
    <row r="298" spans="1:40" s="10" customFormat="1" hidden="1" x14ac:dyDescent="0.2">
      <c r="A298" s="10">
        <v>1993</v>
      </c>
      <c r="B298" s="4" t="s">
        <v>682</v>
      </c>
      <c r="C298" s="4" t="s">
        <v>98</v>
      </c>
      <c r="D298" s="4"/>
      <c r="E298" s="4" t="s">
        <v>157</v>
      </c>
      <c r="F298" s="4" t="s">
        <v>94</v>
      </c>
      <c r="G298" s="4" t="s">
        <v>95</v>
      </c>
      <c r="H298" s="4" t="s">
        <v>95</v>
      </c>
      <c r="I298" s="4">
        <v>24</v>
      </c>
      <c r="J298" s="4" t="s">
        <v>846</v>
      </c>
      <c r="K298" s="4" t="s">
        <v>86</v>
      </c>
      <c r="L298" s="10" t="s">
        <v>220</v>
      </c>
      <c r="M298" s="10" t="s">
        <v>903</v>
      </c>
      <c r="N298" s="10" t="s">
        <v>766</v>
      </c>
      <c r="P298" s="10" t="s">
        <v>911</v>
      </c>
      <c r="Q298" s="10">
        <v>2</v>
      </c>
      <c r="R298" s="10">
        <v>33</v>
      </c>
      <c r="S298" s="10">
        <v>49</v>
      </c>
      <c r="T298" s="13">
        <v>10</v>
      </c>
      <c r="U298" s="10" t="s">
        <v>644</v>
      </c>
      <c r="V298" s="10" t="s">
        <v>635</v>
      </c>
      <c r="W298" s="12">
        <v>139.1</v>
      </c>
      <c r="X298" s="12">
        <v>142.30000000000001</v>
      </c>
      <c r="Y298" s="12">
        <v>11.5</v>
      </c>
      <c r="Z298" s="12">
        <v>12.5</v>
      </c>
      <c r="AA298" s="15">
        <v>33</v>
      </c>
      <c r="AB298" s="15">
        <v>33</v>
      </c>
      <c r="AC298" s="12">
        <f t="shared" ref="AC298:AC304" si="322">W298-X298</f>
        <v>-3.2000000000000171</v>
      </c>
      <c r="AD298" s="12">
        <f t="shared" ref="AD298:AD304" si="323">SQRT(((AA298-1)*Y298^2+(AB298-1)*Z298^2)/(AA298+AB298-2))</f>
        <v>12.010412149464313</v>
      </c>
      <c r="AE298" s="12">
        <f t="shared" ref="AE298:AE304" si="324">AC298/AD298</f>
        <v>-0.26643548615796192</v>
      </c>
      <c r="AF298" s="12">
        <f t="shared" ref="AF298:AF304" si="325">SQRT(((AA298+AB298)/(AA298*AB298)+(AE298^2/(2*(AA298+AB298)))))</f>
        <v>0.24727281995197478</v>
      </c>
      <c r="AG298" s="12" t="s">
        <v>193</v>
      </c>
      <c r="AH298" s="12"/>
      <c r="AI298" s="12" t="s">
        <v>780</v>
      </c>
      <c r="AJ298" s="12" t="s">
        <v>328</v>
      </c>
      <c r="AK298" s="12"/>
      <c r="AL298" s="12"/>
      <c r="AM298" s="10" t="s">
        <v>733</v>
      </c>
      <c r="AN298" s="10" t="s">
        <v>157</v>
      </c>
    </row>
    <row r="299" spans="1:40" s="10" customFormat="1" hidden="1" x14ac:dyDescent="0.2">
      <c r="A299" s="10">
        <v>1993</v>
      </c>
      <c r="B299" s="10" t="s">
        <v>682</v>
      </c>
      <c r="C299" s="10" t="s">
        <v>98</v>
      </c>
      <c r="E299" s="10" t="s">
        <v>157</v>
      </c>
      <c r="F299" s="4" t="s">
        <v>94</v>
      </c>
      <c r="G299" s="4" t="s">
        <v>95</v>
      </c>
      <c r="H299" s="4" t="s">
        <v>95</v>
      </c>
      <c r="I299" s="4">
        <v>24</v>
      </c>
      <c r="J299" s="4" t="s">
        <v>846</v>
      </c>
      <c r="K299" s="4" t="s">
        <v>86</v>
      </c>
      <c r="L299" s="4" t="s">
        <v>220</v>
      </c>
      <c r="M299" s="10" t="s">
        <v>903</v>
      </c>
      <c r="N299" s="10" t="s">
        <v>766</v>
      </c>
      <c r="P299" s="10" t="s">
        <v>911</v>
      </c>
      <c r="Q299" s="10">
        <v>2</v>
      </c>
      <c r="R299" s="10">
        <v>33</v>
      </c>
      <c r="S299" s="10">
        <v>49</v>
      </c>
      <c r="T299" s="13">
        <v>10</v>
      </c>
      <c r="U299" s="10" t="s">
        <v>645</v>
      </c>
      <c r="V299" s="10" t="s">
        <v>635</v>
      </c>
      <c r="W299" s="12">
        <v>89.7</v>
      </c>
      <c r="X299" s="12">
        <v>91.8</v>
      </c>
      <c r="Y299" s="12">
        <v>7.2</v>
      </c>
      <c r="Z299" s="12">
        <v>7.7</v>
      </c>
      <c r="AA299" s="15">
        <v>33</v>
      </c>
      <c r="AB299" s="15">
        <v>33</v>
      </c>
      <c r="AC299" s="12">
        <f t="shared" si="322"/>
        <v>-2.0999999999999943</v>
      </c>
      <c r="AD299" s="12">
        <f t="shared" si="323"/>
        <v>7.4541934506692273</v>
      </c>
      <c r="AE299" s="12">
        <f t="shared" si="324"/>
        <v>-0.28172061992990793</v>
      </c>
      <c r="AF299" s="12">
        <f t="shared" si="325"/>
        <v>0.24740113586639514</v>
      </c>
      <c r="AG299" s="12" t="s">
        <v>193</v>
      </c>
      <c r="AH299" s="12" t="s">
        <v>193</v>
      </c>
      <c r="AI299" s="12" t="s">
        <v>780</v>
      </c>
      <c r="AJ299" s="12" t="s">
        <v>328</v>
      </c>
      <c r="AK299" s="12"/>
      <c r="AL299" s="12"/>
      <c r="AM299" s="10" t="s">
        <v>733</v>
      </c>
      <c r="AN299" s="10" t="s">
        <v>157</v>
      </c>
    </row>
    <row r="300" spans="1:40" s="10" customFormat="1" hidden="1" x14ac:dyDescent="0.2">
      <c r="A300" s="10">
        <v>1993</v>
      </c>
      <c r="B300" s="10" t="s">
        <v>682</v>
      </c>
      <c r="C300" s="10" t="s">
        <v>98</v>
      </c>
      <c r="E300" s="10" t="s">
        <v>157</v>
      </c>
      <c r="F300" s="10" t="s">
        <v>94</v>
      </c>
      <c r="G300" s="10" t="s">
        <v>95</v>
      </c>
      <c r="H300" s="10" t="s">
        <v>95</v>
      </c>
      <c r="I300" s="4">
        <v>24</v>
      </c>
      <c r="J300" s="4" t="s">
        <v>846</v>
      </c>
      <c r="K300" s="10" t="s">
        <v>86</v>
      </c>
      <c r="L300" s="10" t="s">
        <v>220</v>
      </c>
      <c r="M300" s="10" t="s">
        <v>903</v>
      </c>
      <c r="N300" s="10" t="s">
        <v>766</v>
      </c>
      <c r="P300" s="10" t="s">
        <v>911</v>
      </c>
      <c r="Q300" s="10">
        <v>2</v>
      </c>
      <c r="R300" s="10">
        <v>33</v>
      </c>
      <c r="S300" s="10">
        <v>49</v>
      </c>
      <c r="T300" s="13">
        <v>10</v>
      </c>
      <c r="U300" s="10" t="s">
        <v>637</v>
      </c>
      <c r="V300" s="10" t="s">
        <v>642</v>
      </c>
      <c r="W300" s="12">
        <v>122.6</v>
      </c>
      <c r="X300" s="12">
        <v>119.8</v>
      </c>
      <c r="Y300" s="12">
        <v>20.5</v>
      </c>
      <c r="Z300" s="12">
        <v>15.3</v>
      </c>
      <c r="AA300" s="15">
        <v>33</v>
      </c>
      <c r="AB300" s="15">
        <v>33</v>
      </c>
      <c r="AC300" s="12">
        <f t="shared" si="322"/>
        <v>2.7999999999999972</v>
      </c>
      <c r="AD300" s="12">
        <f t="shared" si="323"/>
        <v>18.087841220001906</v>
      </c>
      <c r="AE300" s="12">
        <f t="shared" si="324"/>
        <v>0.15480012047560987</v>
      </c>
      <c r="AF300" s="12">
        <f t="shared" si="325"/>
        <v>0.24655141263121769</v>
      </c>
      <c r="AG300" s="12" t="s">
        <v>193</v>
      </c>
      <c r="AH300" s="12"/>
      <c r="AI300" s="12" t="s">
        <v>780</v>
      </c>
      <c r="AJ300" s="12" t="s">
        <v>348</v>
      </c>
      <c r="AK300" s="12"/>
      <c r="AL300" s="12"/>
      <c r="AM300" s="10" t="s">
        <v>733</v>
      </c>
      <c r="AN300" s="10" t="s">
        <v>157</v>
      </c>
    </row>
    <row r="301" spans="1:40" s="10" customFormat="1" hidden="1" x14ac:dyDescent="0.2">
      <c r="A301" s="10">
        <v>1993</v>
      </c>
      <c r="B301" s="10" t="s">
        <v>682</v>
      </c>
      <c r="C301" s="10" t="s">
        <v>98</v>
      </c>
      <c r="E301" s="10" t="s">
        <v>157</v>
      </c>
      <c r="F301" s="10" t="s">
        <v>94</v>
      </c>
      <c r="G301" s="10" t="s">
        <v>95</v>
      </c>
      <c r="H301" s="10" t="s">
        <v>95</v>
      </c>
      <c r="I301" s="4">
        <v>24</v>
      </c>
      <c r="J301" s="4" t="s">
        <v>846</v>
      </c>
      <c r="K301" s="10" t="s">
        <v>86</v>
      </c>
      <c r="L301" s="10" t="s">
        <v>220</v>
      </c>
      <c r="M301" s="10" t="s">
        <v>903</v>
      </c>
      <c r="N301" s="10" t="s">
        <v>766</v>
      </c>
      <c r="P301" s="10" t="s">
        <v>911</v>
      </c>
      <c r="Q301" s="10">
        <v>2</v>
      </c>
      <c r="R301" s="10">
        <v>33</v>
      </c>
      <c r="S301" s="10">
        <v>49</v>
      </c>
      <c r="T301" s="13">
        <v>10</v>
      </c>
      <c r="U301" s="10" t="s">
        <v>638</v>
      </c>
      <c r="V301" s="10" t="s">
        <v>642</v>
      </c>
      <c r="W301" s="12">
        <v>74.599999999999994</v>
      </c>
      <c r="X301" s="12">
        <v>72.7</v>
      </c>
      <c r="Y301" s="12">
        <v>12.5</v>
      </c>
      <c r="Z301" s="12">
        <v>9.4</v>
      </c>
      <c r="AA301" s="15">
        <v>33</v>
      </c>
      <c r="AB301" s="15">
        <v>33</v>
      </c>
      <c r="AC301" s="12">
        <f t="shared" si="322"/>
        <v>1.8999999999999915</v>
      </c>
      <c r="AD301" s="12">
        <f t="shared" si="323"/>
        <v>11.059159100040111</v>
      </c>
      <c r="AE301" s="12">
        <f t="shared" si="324"/>
        <v>0.17180329741282954</v>
      </c>
      <c r="AF301" s="12">
        <f t="shared" si="325"/>
        <v>0.24663671562125294</v>
      </c>
      <c r="AG301" s="12" t="s">
        <v>193</v>
      </c>
      <c r="AH301" s="12"/>
      <c r="AI301" s="12" t="s">
        <v>780</v>
      </c>
      <c r="AJ301" s="12" t="s">
        <v>348</v>
      </c>
      <c r="AK301" s="12"/>
      <c r="AL301" s="12"/>
      <c r="AM301" s="10" t="s">
        <v>733</v>
      </c>
      <c r="AN301" s="10" t="s">
        <v>157</v>
      </c>
    </row>
    <row r="302" spans="1:40" s="10" customFormat="1" hidden="1" x14ac:dyDescent="0.2">
      <c r="A302" s="10">
        <v>1993</v>
      </c>
      <c r="B302" s="10" t="s">
        <v>682</v>
      </c>
      <c r="C302" s="10" t="s">
        <v>98</v>
      </c>
      <c r="E302" s="10" t="s">
        <v>157</v>
      </c>
      <c r="F302" s="10" t="s">
        <v>94</v>
      </c>
      <c r="G302" s="10" t="s">
        <v>95</v>
      </c>
      <c r="H302" s="10" t="s">
        <v>95</v>
      </c>
      <c r="I302" s="4">
        <v>24</v>
      </c>
      <c r="J302" s="4" t="s">
        <v>846</v>
      </c>
      <c r="K302" s="10" t="s">
        <v>86</v>
      </c>
      <c r="L302" s="10" t="s">
        <v>220</v>
      </c>
      <c r="M302" s="10" t="s">
        <v>903</v>
      </c>
      <c r="N302" s="10" t="s">
        <v>766</v>
      </c>
      <c r="P302" s="10" t="s">
        <v>911</v>
      </c>
      <c r="Q302" s="10">
        <v>2</v>
      </c>
      <c r="R302" s="10">
        <v>33</v>
      </c>
      <c r="S302" s="10">
        <v>49</v>
      </c>
      <c r="T302" s="13">
        <v>10</v>
      </c>
      <c r="U302" s="10" t="s">
        <v>683</v>
      </c>
      <c r="V302" s="10" t="s">
        <v>642</v>
      </c>
      <c r="W302" s="12">
        <v>129.30000000000001</v>
      </c>
      <c r="X302" s="12">
        <v>130.1</v>
      </c>
      <c r="Y302" s="12">
        <v>15.2</v>
      </c>
      <c r="Z302" s="12">
        <v>15.5</v>
      </c>
      <c r="AA302" s="15">
        <v>33</v>
      </c>
      <c r="AB302" s="15">
        <v>33</v>
      </c>
      <c r="AC302" s="12">
        <f t="shared" si="322"/>
        <v>-0.79999999999998295</v>
      </c>
      <c r="AD302" s="12">
        <f t="shared" si="323"/>
        <v>15.350732881527188</v>
      </c>
      <c r="AE302" s="12">
        <f t="shared" si="324"/>
        <v>-5.2114775638021124E-2</v>
      </c>
      <c r="AF302" s="12">
        <f t="shared" si="325"/>
        <v>0.24622476720191017</v>
      </c>
      <c r="AG302" s="12" t="s">
        <v>157</v>
      </c>
      <c r="AH302" s="12"/>
      <c r="AI302" s="12" t="s">
        <v>780</v>
      </c>
      <c r="AJ302" s="12" t="s">
        <v>328</v>
      </c>
      <c r="AK302" s="12"/>
      <c r="AL302" s="12"/>
      <c r="AM302" s="10" t="s">
        <v>733</v>
      </c>
      <c r="AN302" s="10" t="s">
        <v>157</v>
      </c>
    </row>
    <row r="303" spans="1:40" s="10" customFormat="1" hidden="1" x14ac:dyDescent="0.2">
      <c r="A303" s="10">
        <v>1993</v>
      </c>
      <c r="B303" s="10" t="s">
        <v>682</v>
      </c>
      <c r="C303" s="10" t="s">
        <v>98</v>
      </c>
      <c r="E303" s="10" t="s">
        <v>157</v>
      </c>
      <c r="F303" s="10" t="s">
        <v>94</v>
      </c>
      <c r="G303" s="10" t="s">
        <v>95</v>
      </c>
      <c r="H303" s="10" t="s">
        <v>95</v>
      </c>
      <c r="I303" s="4">
        <v>24</v>
      </c>
      <c r="J303" s="4" t="s">
        <v>846</v>
      </c>
      <c r="K303" s="10" t="s">
        <v>86</v>
      </c>
      <c r="L303" s="10" t="s">
        <v>220</v>
      </c>
      <c r="M303" s="10" t="s">
        <v>903</v>
      </c>
      <c r="N303" s="10" t="s">
        <v>766</v>
      </c>
      <c r="P303" s="10" t="s">
        <v>911</v>
      </c>
      <c r="Q303" s="10">
        <v>2</v>
      </c>
      <c r="R303" s="10">
        <v>33</v>
      </c>
      <c r="S303" s="10">
        <v>49</v>
      </c>
      <c r="T303" s="13">
        <v>10</v>
      </c>
      <c r="U303" s="10" t="s">
        <v>684</v>
      </c>
      <c r="V303" s="10" t="s">
        <v>642</v>
      </c>
      <c r="W303" s="12">
        <v>82</v>
      </c>
      <c r="X303" s="12">
        <v>81.8</v>
      </c>
      <c r="Y303" s="12">
        <v>10.5</v>
      </c>
      <c r="Z303" s="12">
        <v>9.5</v>
      </c>
      <c r="AA303" s="15">
        <v>33</v>
      </c>
      <c r="AB303" s="15">
        <v>33</v>
      </c>
      <c r="AC303" s="12">
        <f t="shared" si="322"/>
        <v>0.20000000000000284</v>
      </c>
      <c r="AD303" s="12">
        <f t="shared" si="323"/>
        <v>10.012492197250394</v>
      </c>
      <c r="AE303" s="12">
        <f t="shared" si="324"/>
        <v>1.9975046777557175E-2</v>
      </c>
      <c r="AF303" s="12">
        <f t="shared" si="325"/>
        <v>0.24618912110860119</v>
      </c>
      <c r="AG303" s="12" t="s">
        <v>157</v>
      </c>
      <c r="AH303" s="12"/>
      <c r="AI303" s="12" t="s">
        <v>780</v>
      </c>
      <c r="AJ303" s="12" t="s">
        <v>348</v>
      </c>
      <c r="AK303" s="12"/>
      <c r="AL303" s="12"/>
      <c r="AM303" s="10" t="s">
        <v>733</v>
      </c>
      <c r="AN303" s="10" t="s">
        <v>157</v>
      </c>
    </row>
    <row r="304" spans="1:40" s="1" customFormat="1" x14ac:dyDescent="0.2">
      <c r="A304" s="1">
        <v>2008</v>
      </c>
      <c r="B304" s="26">
        <v>19005898</v>
      </c>
      <c r="C304" s="1" t="s">
        <v>115</v>
      </c>
      <c r="E304" s="1" t="s">
        <v>157</v>
      </c>
      <c r="F304" s="1" t="s">
        <v>116</v>
      </c>
      <c r="G304" s="1" t="s">
        <v>116</v>
      </c>
      <c r="H304" s="1" t="s">
        <v>116</v>
      </c>
      <c r="I304" s="1">
        <v>3.5</v>
      </c>
      <c r="J304" s="1" t="s">
        <v>870</v>
      </c>
      <c r="K304" s="1" t="s">
        <v>86</v>
      </c>
      <c r="L304" s="1" t="s">
        <v>412</v>
      </c>
      <c r="M304" s="1" t="s">
        <v>902</v>
      </c>
      <c r="N304" s="1" t="s">
        <v>766</v>
      </c>
      <c r="O304" s="1" t="s">
        <v>652</v>
      </c>
      <c r="P304" s="1" t="s">
        <v>911</v>
      </c>
      <c r="Q304" s="1">
        <v>2</v>
      </c>
      <c r="R304" s="1">
        <v>113</v>
      </c>
      <c r="S304" s="1">
        <v>51.7</v>
      </c>
      <c r="T304" s="1">
        <v>61.1</v>
      </c>
      <c r="U304" s="1" t="s">
        <v>640</v>
      </c>
      <c r="V304" s="1" t="s">
        <v>635</v>
      </c>
      <c r="W304" s="1">
        <v>127.3</v>
      </c>
      <c r="X304" s="1">
        <v>118</v>
      </c>
      <c r="Y304" s="1">
        <v>12.9</v>
      </c>
      <c r="Z304" s="1">
        <v>11.2</v>
      </c>
      <c r="AA304" s="1">
        <v>57</v>
      </c>
      <c r="AB304" s="1">
        <v>56</v>
      </c>
      <c r="AC304" s="1">
        <f t="shared" si="322"/>
        <v>9.2999999999999972</v>
      </c>
      <c r="AD304" s="2">
        <f t="shared" si="323"/>
        <v>12.087578316170264</v>
      </c>
      <c r="AE304" s="2">
        <f t="shared" si="324"/>
        <v>0.76938488063889854</v>
      </c>
      <c r="AF304" s="2">
        <f t="shared" si="325"/>
        <v>0.19498785599775376</v>
      </c>
      <c r="AG304" s="1" t="s">
        <v>193</v>
      </c>
      <c r="AI304" s="1" t="s">
        <v>780</v>
      </c>
      <c r="AJ304" s="1" t="s">
        <v>348</v>
      </c>
      <c r="AK304" s="1" t="s">
        <v>1298</v>
      </c>
      <c r="AM304" s="1" t="s">
        <v>734</v>
      </c>
      <c r="AN304" s="1" t="s">
        <v>193</v>
      </c>
    </row>
    <row r="305" spans="1:40" s="1" customFormat="1" x14ac:dyDescent="0.2">
      <c r="A305" s="1">
        <v>2008</v>
      </c>
      <c r="B305" s="1">
        <v>19005898</v>
      </c>
      <c r="C305" s="1" t="s">
        <v>115</v>
      </c>
      <c r="E305" s="1" t="s">
        <v>157</v>
      </c>
      <c r="F305" s="1" t="s">
        <v>116</v>
      </c>
      <c r="G305" s="1" t="s">
        <v>116</v>
      </c>
      <c r="H305" s="1" t="s">
        <v>116</v>
      </c>
      <c r="I305" s="1">
        <v>3.5</v>
      </c>
      <c r="J305" s="1" t="s">
        <v>870</v>
      </c>
      <c r="K305" s="1" t="s">
        <v>86</v>
      </c>
      <c r="L305" s="1" t="s">
        <v>412</v>
      </c>
      <c r="M305" s="1" t="s">
        <v>902</v>
      </c>
      <c r="N305" s="1" t="s">
        <v>766</v>
      </c>
      <c r="O305" s="1" t="s">
        <v>652</v>
      </c>
      <c r="P305" s="1" t="s">
        <v>911</v>
      </c>
      <c r="Q305" s="1">
        <v>2</v>
      </c>
      <c r="R305" s="1">
        <v>113</v>
      </c>
      <c r="S305" s="1">
        <v>51.7</v>
      </c>
      <c r="T305" s="1">
        <v>61.1</v>
      </c>
      <c r="U305" s="1" t="s">
        <v>641</v>
      </c>
      <c r="V305" s="1" t="s">
        <v>635</v>
      </c>
      <c r="W305" s="1">
        <v>78.099999999999994</v>
      </c>
      <c r="X305" s="1">
        <v>72.2</v>
      </c>
      <c r="Y305" s="1">
        <v>10.1</v>
      </c>
      <c r="Z305" s="1">
        <v>7.7</v>
      </c>
      <c r="AA305" s="1">
        <v>57</v>
      </c>
      <c r="AB305" s="1">
        <v>56</v>
      </c>
      <c r="AC305" s="1">
        <f t="shared" ref="AC305:AC309" si="326">W305-X305</f>
        <v>5.8999999999999915</v>
      </c>
      <c r="AD305" s="2">
        <f t="shared" ref="AD305:AD309" si="327">SQRT(((AA305-1)*Y305^2+(AB305-1)*Z305^2)/(AA305+AB305-2))</f>
        <v>8.9912419849780729</v>
      </c>
      <c r="AE305" s="2">
        <f t="shared" ref="AE305:AE309" si="328">AC305/AD305</f>
        <v>0.65619410642681975</v>
      </c>
      <c r="AF305" s="2">
        <f t="shared" ref="AF305:AF309" si="329">SQRT(((AA305+AB305)/(AA305*AB305)+(AE305^2/(2*(AA305+AB305)))))</f>
        <v>0.19314831377423131</v>
      </c>
      <c r="AG305" s="1" t="s">
        <v>193</v>
      </c>
      <c r="AI305" s="1" t="s">
        <v>780</v>
      </c>
      <c r="AJ305" s="1" t="s">
        <v>348</v>
      </c>
      <c r="AK305" s="1" t="s">
        <v>1298</v>
      </c>
      <c r="AM305" s="1" t="s">
        <v>734</v>
      </c>
      <c r="AN305" s="1" t="s">
        <v>193</v>
      </c>
    </row>
    <row r="306" spans="1:40" s="1" customFormat="1" x14ac:dyDescent="0.2">
      <c r="A306" s="1">
        <v>2008</v>
      </c>
      <c r="B306" s="1">
        <v>19005898</v>
      </c>
      <c r="C306" s="1" t="s">
        <v>115</v>
      </c>
      <c r="E306" s="1" t="s">
        <v>157</v>
      </c>
      <c r="F306" s="1" t="s">
        <v>116</v>
      </c>
      <c r="G306" s="1" t="s">
        <v>116</v>
      </c>
      <c r="H306" s="1" t="s">
        <v>116</v>
      </c>
      <c r="I306" s="1">
        <v>3.5</v>
      </c>
      <c r="J306" s="1" t="s">
        <v>870</v>
      </c>
      <c r="K306" s="1" t="s">
        <v>86</v>
      </c>
      <c r="L306" s="1" t="s">
        <v>412</v>
      </c>
      <c r="M306" s="1" t="s">
        <v>902</v>
      </c>
      <c r="N306" s="1" t="s">
        <v>766</v>
      </c>
      <c r="O306" s="1" t="s">
        <v>652</v>
      </c>
      <c r="P306" s="1" t="s">
        <v>911</v>
      </c>
      <c r="Q306" s="1">
        <v>2</v>
      </c>
      <c r="R306" s="1">
        <v>113</v>
      </c>
      <c r="S306" s="1">
        <v>51.7</v>
      </c>
      <c r="T306" s="1">
        <v>61.1</v>
      </c>
      <c r="U306" s="1" t="s">
        <v>644</v>
      </c>
      <c r="V306" s="1" t="s">
        <v>635</v>
      </c>
      <c r="W306" s="1">
        <v>131</v>
      </c>
      <c r="X306" s="1">
        <v>121.6</v>
      </c>
      <c r="Y306" s="1">
        <v>12</v>
      </c>
      <c r="Z306" s="1">
        <v>12</v>
      </c>
      <c r="AA306" s="1">
        <v>57</v>
      </c>
      <c r="AB306" s="1">
        <v>56</v>
      </c>
      <c r="AC306" s="1">
        <f t="shared" si="326"/>
        <v>9.4000000000000057</v>
      </c>
      <c r="AD306" s="2">
        <f t="shared" si="327"/>
        <v>12</v>
      </c>
      <c r="AE306" s="2">
        <f t="shared" si="328"/>
        <v>0.78333333333333377</v>
      </c>
      <c r="AF306" s="2">
        <f t="shared" si="329"/>
        <v>0.19523343954932959</v>
      </c>
      <c r="AG306" s="1" t="s">
        <v>193</v>
      </c>
      <c r="AH306" s="1" t="s">
        <v>193</v>
      </c>
      <c r="AI306" s="1" t="s">
        <v>780</v>
      </c>
      <c r="AJ306" s="1" t="s">
        <v>348</v>
      </c>
      <c r="AK306" s="1" t="s">
        <v>1298</v>
      </c>
      <c r="AM306" s="1" t="s">
        <v>734</v>
      </c>
      <c r="AN306" s="1" t="s">
        <v>193</v>
      </c>
    </row>
    <row r="307" spans="1:40" s="1" customFormat="1" x14ac:dyDescent="0.2">
      <c r="A307" s="1">
        <v>2008</v>
      </c>
      <c r="B307" s="1">
        <v>19005898</v>
      </c>
      <c r="C307" s="1" t="s">
        <v>115</v>
      </c>
      <c r="E307" s="1" t="s">
        <v>157</v>
      </c>
      <c r="F307" s="1" t="s">
        <v>116</v>
      </c>
      <c r="G307" s="1" t="s">
        <v>116</v>
      </c>
      <c r="H307" s="1" t="s">
        <v>116</v>
      </c>
      <c r="I307" s="1">
        <v>3.5</v>
      </c>
      <c r="J307" s="1" t="s">
        <v>870</v>
      </c>
      <c r="K307" s="1" t="s">
        <v>86</v>
      </c>
      <c r="L307" s="1" t="s">
        <v>412</v>
      </c>
      <c r="M307" s="1" t="s">
        <v>902</v>
      </c>
      <c r="N307" s="1" t="s">
        <v>766</v>
      </c>
      <c r="O307" s="1" t="s">
        <v>652</v>
      </c>
      <c r="P307" s="1" t="s">
        <v>911</v>
      </c>
      <c r="Q307" s="1">
        <v>2</v>
      </c>
      <c r="R307" s="1">
        <v>113</v>
      </c>
      <c r="S307" s="1">
        <v>51.7</v>
      </c>
      <c r="T307" s="1">
        <v>61.1</v>
      </c>
      <c r="U307" s="1" t="s">
        <v>645</v>
      </c>
      <c r="V307" s="1" t="s">
        <v>635</v>
      </c>
      <c r="W307" s="1">
        <v>82</v>
      </c>
      <c r="X307" s="1">
        <v>76.3</v>
      </c>
      <c r="Y307" s="1">
        <v>10.8</v>
      </c>
      <c r="Z307" s="1">
        <v>8.1</v>
      </c>
      <c r="AA307" s="1">
        <v>57</v>
      </c>
      <c r="AB307" s="1">
        <v>56</v>
      </c>
      <c r="AC307" s="1">
        <f t="shared" si="326"/>
        <v>5.7000000000000028</v>
      </c>
      <c r="AD307" s="2">
        <f t="shared" si="327"/>
        <v>9.5579738891077159</v>
      </c>
      <c r="AE307" s="2">
        <f t="shared" si="328"/>
        <v>0.59636070009520881</v>
      </c>
      <c r="AF307" s="2">
        <f t="shared" si="329"/>
        <v>0.19228795528565601</v>
      </c>
      <c r="AG307" s="1" t="s">
        <v>193</v>
      </c>
      <c r="AI307" s="1" t="s">
        <v>780</v>
      </c>
      <c r="AJ307" s="1" t="s">
        <v>348</v>
      </c>
      <c r="AK307" s="1" t="s">
        <v>1298</v>
      </c>
      <c r="AM307" s="1" t="s">
        <v>734</v>
      </c>
      <c r="AN307" s="1" t="s">
        <v>193</v>
      </c>
    </row>
    <row r="308" spans="1:40" s="1" customFormat="1" x14ac:dyDescent="0.2">
      <c r="A308" s="1">
        <v>2008</v>
      </c>
      <c r="B308" s="1">
        <v>19005898</v>
      </c>
      <c r="C308" s="1" t="s">
        <v>115</v>
      </c>
      <c r="E308" s="1" t="s">
        <v>157</v>
      </c>
      <c r="F308" s="1" t="s">
        <v>116</v>
      </c>
      <c r="G308" s="1" t="s">
        <v>116</v>
      </c>
      <c r="H308" s="1" t="s">
        <v>116</v>
      </c>
      <c r="I308" s="1">
        <v>3.5</v>
      </c>
      <c r="J308" s="1" t="s">
        <v>870</v>
      </c>
      <c r="K308" s="1" t="s">
        <v>86</v>
      </c>
      <c r="L308" s="1" t="s">
        <v>412</v>
      </c>
      <c r="M308" s="1" t="s">
        <v>902</v>
      </c>
      <c r="N308" s="1" t="s">
        <v>766</v>
      </c>
      <c r="O308" s="1" t="s">
        <v>652</v>
      </c>
      <c r="P308" s="1" t="s">
        <v>911</v>
      </c>
      <c r="Q308" s="1">
        <v>2</v>
      </c>
      <c r="R308" s="1">
        <v>113</v>
      </c>
      <c r="S308" s="1">
        <v>51.7</v>
      </c>
      <c r="T308" s="1">
        <v>61.1</v>
      </c>
      <c r="U308" s="1" t="s">
        <v>637</v>
      </c>
      <c r="V308" s="1" t="s">
        <v>635</v>
      </c>
      <c r="W308" s="1">
        <v>118.9</v>
      </c>
      <c r="X308" s="1">
        <v>109.8</v>
      </c>
      <c r="Y308" s="1">
        <v>13.5</v>
      </c>
      <c r="Z308" s="1">
        <v>11.9</v>
      </c>
      <c r="AA308" s="1">
        <v>57</v>
      </c>
      <c r="AB308" s="1">
        <v>56</v>
      </c>
      <c r="AC308" s="1">
        <f t="shared" si="326"/>
        <v>9.1000000000000085</v>
      </c>
      <c r="AD308" s="2">
        <f t="shared" si="327"/>
        <v>12.73236282325724</v>
      </c>
      <c r="AE308" s="2">
        <f t="shared" si="328"/>
        <v>0.71471415999689625</v>
      </c>
      <c r="AF308" s="2">
        <f t="shared" si="329"/>
        <v>0.19406507093309183</v>
      </c>
      <c r="AG308" s="1" t="s">
        <v>193</v>
      </c>
      <c r="AI308" s="1" t="s">
        <v>780</v>
      </c>
      <c r="AJ308" s="1" t="s">
        <v>348</v>
      </c>
      <c r="AK308" s="1" t="s">
        <v>1298</v>
      </c>
      <c r="AM308" s="1" t="s">
        <v>734</v>
      </c>
      <c r="AN308" s="1" t="s">
        <v>193</v>
      </c>
    </row>
    <row r="309" spans="1:40" s="1" customFormat="1" x14ac:dyDescent="0.2">
      <c r="A309" s="1">
        <v>2008</v>
      </c>
      <c r="B309" s="1">
        <v>19005898</v>
      </c>
      <c r="C309" s="1" t="s">
        <v>115</v>
      </c>
      <c r="E309" s="1" t="s">
        <v>157</v>
      </c>
      <c r="F309" s="1" t="s">
        <v>116</v>
      </c>
      <c r="G309" s="1" t="s">
        <v>116</v>
      </c>
      <c r="H309" s="1" t="s">
        <v>116</v>
      </c>
      <c r="I309" s="1">
        <v>3.5</v>
      </c>
      <c r="J309" s="1" t="s">
        <v>870</v>
      </c>
      <c r="K309" s="1" t="s">
        <v>86</v>
      </c>
      <c r="L309" s="1" t="s">
        <v>412</v>
      </c>
      <c r="M309" s="1" t="s">
        <v>902</v>
      </c>
      <c r="N309" s="1" t="s">
        <v>766</v>
      </c>
      <c r="O309" s="1" t="s">
        <v>652</v>
      </c>
      <c r="P309" s="1" t="s">
        <v>911</v>
      </c>
      <c r="Q309" s="1">
        <v>2</v>
      </c>
      <c r="R309" s="1">
        <v>113</v>
      </c>
      <c r="S309" s="1">
        <v>51.7</v>
      </c>
      <c r="T309" s="1">
        <v>61.1</v>
      </c>
      <c r="U309" s="1" t="s">
        <v>638</v>
      </c>
      <c r="V309" s="1" t="s">
        <v>635</v>
      </c>
      <c r="W309" s="1">
        <v>69.599999999999994</v>
      </c>
      <c r="X309" s="1">
        <v>63.2</v>
      </c>
      <c r="Y309" s="1">
        <v>9.5</v>
      </c>
      <c r="Z309" s="1">
        <v>8.5</v>
      </c>
      <c r="AA309" s="1">
        <v>57</v>
      </c>
      <c r="AB309" s="1">
        <v>56</v>
      </c>
      <c r="AC309" s="1">
        <f t="shared" si="326"/>
        <v>6.3999999999999915</v>
      </c>
      <c r="AD309" s="2">
        <f t="shared" si="327"/>
        <v>9.0183746363233919</v>
      </c>
      <c r="AE309" s="2">
        <f t="shared" si="328"/>
        <v>0.70966224603518369</v>
      </c>
      <c r="AF309" s="2">
        <f t="shared" si="329"/>
        <v>0.19398301939488513</v>
      </c>
      <c r="AG309" s="1" t="s">
        <v>193</v>
      </c>
      <c r="AI309" s="1" t="s">
        <v>780</v>
      </c>
      <c r="AJ309" s="1" t="s">
        <v>348</v>
      </c>
      <c r="AK309" s="1" t="s">
        <v>1298</v>
      </c>
      <c r="AM309" s="1" t="s">
        <v>734</v>
      </c>
      <c r="AN309" s="1" t="s">
        <v>193</v>
      </c>
    </row>
    <row r="310" spans="1:40" s="10" customFormat="1" x14ac:dyDescent="0.2">
      <c r="A310" s="10">
        <v>2005</v>
      </c>
      <c r="B310" s="25">
        <v>16147905</v>
      </c>
      <c r="C310" s="4" t="s">
        <v>107</v>
      </c>
      <c r="D310" s="4"/>
      <c r="E310" s="4" t="s">
        <v>157</v>
      </c>
      <c r="F310" s="4" t="s">
        <v>108</v>
      </c>
      <c r="G310" s="4" t="s">
        <v>109</v>
      </c>
      <c r="H310" s="4" t="s">
        <v>109</v>
      </c>
      <c r="I310" s="10">
        <v>7</v>
      </c>
      <c r="J310" s="4" t="s">
        <v>869</v>
      </c>
      <c r="K310" s="4" t="s">
        <v>86</v>
      </c>
      <c r="L310" s="10" t="s">
        <v>412</v>
      </c>
      <c r="M310" s="10" t="s">
        <v>902</v>
      </c>
      <c r="N310" s="10" t="s">
        <v>766</v>
      </c>
      <c r="P310" s="10" t="s">
        <v>911</v>
      </c>
      <c r="Q310" s="10">
        <v>2</v>
      </c>
      <c r="R310" s="4">
        <v>100</v>
      </c>
      <c r="S310" s="4">
        <v>68.2</v>
      </c>
      <c r="T310" s="32">
        <v>66</v>
      </c>
      <c r="U310" s="10" t="s">
        <v>640</v>
      </c>
      <c r="V310" s="10" t="s">
        <v>635</v>
      </c>
      <c r="W310" s="12">
        <v>127.4</v>
      </c>
      <c r="X310" s="12">
        <v>123</v>
      </c>
      <c r="Y310" s="12">
        <v>9.3000000000000007</v>
      </c>
      <c r="Z310" s="12">
        <v>11.6</v>
      </c>
      <c r="AA310" s="15">
        <v>50</v>
      </c>
      <c r="AB310" s="15">
        <v>50</v>
      </c>
      <c r="AC310" s="12">
        <f t="shared" ref="AC310:AC315" si="330">W310-X310</f>
        <v>4.4000000000000057</v>
      </c>
      <c r="AD310" s="12">
        <f t="shared" ref="AD310:AD315" si="331">SQRT(((AA310-1)*Y310^2+(AB310-1)*Z310^2)/(AA310+AB310-2))</f>
        <v>10.513087082298901</v>
      </c>
      <c r="AE310" s="12">
        <f t="shared" ref="AE310:AE315" si="332">AC310/AD310</f>
        <v>0.4185259729664349</v>
      </c>
      <c r="AF310" s="12">
        <f t="shared" ref="AF310:AF315" si="333">SQRT(((AA310+AB310)/(AA310*AB310)+(AE310^2/(2*(AA310+AB310)))))</f>
        <v>0.20217769399772445</v>
      </c>
      <c r="AG310" s="12" t="s">
        <v>193</v>
      </c>
      <c r="AH310" s="12"/>
      <c r="AI310" s="1" t="s">
        <v>780</v>
      </c>
      <c r="AJ310" s="12" t="s">
        <v>348</v>
      </c>
      <c r="AK310" s="12"/>
      <c r="AL310" s="12"/>
      <c r="AM310" s="10" t="s">
        <v>901</v>
      </c>
      <c r="AN310" s="10" t="s">
        <v>193</v>
      </c>
    </row>
    <row r="311" spans="1:40" s="10" customFormat="1" x14ac:dyDescent="0.2">
      <c r="A311" s="10">
        <v>2005</v>
      </c>
      <c r="B311" s="4">
        <v>16147905</v>
      </c>
      <c r="C311" s="4" t="s">
        <v>107</v>
      </c>
      <c r="D311" s="4"/>
      <c r="E311" s="4" t="s">
        <v>157</v>
      </c>
      <c r="F311" s="4" t="s">
        <v>108</v>
      </c>
      <c r="G311" s="4" t="s">
        <v>109</v>
      </c>
      <c r="H311" s="4" t="s">
        <v>109</v>
      </c>
      <c r="I311" s="10">
        <v>7</v>
      </c>
      <c r="J311" s="4" t="s">
        <v>869</v>
      </c>
      <c r="K311" s="4" t="s">
        <v>86</v>
      </c>
      <c r="L311" s="10" t="s">
        <v>412</v>
      </c>
      <c r="M311" s="10" t="s">
        <v>902</v>
      </c>
      <c r="N311" s="10" t="s">
        <v>766</v>
      </c>
      <c r="P311" s="10" t="s">
        <v>911</v>
      </c>
      <c r="Q311" s="10">
        <v>2</v>
      </c>
      <c r="R311" s="4">
        <v>100</v>
      </c>
      <c r="S311" s="4">
        <v>68.2</v>
      </c>
      <c r="T311" s="32">
        <v>66</v>
      </c>
      <c r="U311" s="10" t="s">
        <v>641</v>
      </c>
      <c r="V311" s="10" t="s">
        <v>642</v>
      </c>
      <c r="W311" s="12">
        <v>71.400000000000006</v>
      </c>
      <c r="X311" s="12">
        <v>68.8</v>
      </c>
      <c r="Y311" s="12">
        <v>7.5</v>
      </c>
      <c r="Z311" s="12">
        <v>9.1</v>
      </c>
      <c r="AA311" s="15">
        <v>50</v>
      </c>
      <c r="AB311" s="15">
        <v>50</v>
      </c>
      <c r="AC311" s="12">
        <f t="shared" si="330"/>
        <v>2.6000000000000085</v>
      </c>
      <c r="AD311" s="12">
        <f t="shared" si="331"/>
        <v>8.3384650865731871</v>
      </c>
      <c r="AE311" s="12">
        <f t="shared" si="332"/>
        <v>0.31180798540328436</v>
      </c>
      <c r="AF311" s="12">
        <f t="shared" si="333"/>
        <v>0.2012116326130432</v>
      </c>
      <c r="AG311" s="12" t="s">
        <v>193</v>
      </c>
      <c r="AH311" s="12"/>
      <c r="AI311" s="1" t="s">
        <v>780</v>
      </c>
      <c r="AJ311" s="12" t="s">
        <v>348</v>
      </c>
      <c r="AK311" s="12"/>
      <c r="AL311" s="12"/>
      <c r="AM311" s="10" t="s">
        <v>901</v>
      </c>
      <c r="AN311" s="10" t="s">
        <v>193</v>
      </c>
    </row>
    <row r="312" spans="1:40" s="10" customFormat="1" x14ac:dyDescent="0.2">
      <c r="A312" s="10">
        <v>2005</v>
      </c>
      <c r="B312" s="4">
        <v>16147905</v>
      </c>
      <c r="C312" s="4" t="s">
        <v>107</v>
      </c>
      <c r="D312" s="4"/>
      <c r="E312" s="4" t="s">
        <v>157</v>
      </c>
      <c r="F312" s="4" t="s">
        <v>108</v>
      </c>
      <c r="G312" s="4" t="s">
        <v>109</v>
      </c>
      <c r="H312" s="4" t="s">
        <v>109</v>
      </c>
      <c r="I312" s="10">
        <v>7</v>
      </c>
      <c r="J312" s="4" t="s">
        <v>869</v>
      </c>
      <c r="K312" s="4" t="s">
        <v>86</v>
      </c>
      <c r="L312" s="10" t="s">
        <v>412</v>
      </c>
      <c r="M312" s="10" t="s">
        <v>902</v>
      </c>
      <c r="N312" s="10" t="s">
        <v>766</v>
      </c>
      <c r="P312" s="10" t="s">
        <v>911</v>
      </c>
      <c r="Q312" s="10">
        <v>2</v>
      </c>
      <c r="R312" s="4">
        <v>100</v>
      </c>
      <c r="S312" s="4">
        <v>68.2</v>
      </c>
      <c r="T312" s="32">
        <v>66</v>
      </c>
      <c r="U312" s="10" t="s">
        <v>644</v>
      </c>
      <c r="V312" s="10" t="s">
        <v>642</v>
      </c>
      <c r="W312" s="12">
        <v>129.4</v>
      </c>
      <c r="X312" s="12">
        <v>127.6</v>
      </c>
      <c r="Y312" s="12">
        <v>8.8000000000000007</v>
      </c>
      <c r="Z312" s="12">
        <v>11.9</v>
      </c>
      <c r="AA312" s="15">
        <v>50</v>
      </c>
      <c r="AB312" s="15">
        <v>50</v>
      </c>
      <c r="AC312" s="12">
        <f t="shared" si="330"/>
        <v>1.8000000000000114</v>
      </c>
      <c r="AD312" s="12">
        <f t="shared" si="331"/>
        <v>10.465419246260515</v>
      </c>
      <c r="AE312" s="12">
        <f t="shared" si="332"/>
        <v>0.17199502071005748</v>
      </c>
      <c r="AF312" s="12">
        <f t="shared" si="333"/>
        <v>0.2003694373794199</v>
      </c>
      <c r="AG312" s="12" t="s">
        <v>193</v>
      </c>
      <c r="AH312" s="12"/>
      <c r="AI312" s="1" t="s">
        <v>780</v>
      </c>
      <c r="AJ312" s="12" t="s">
        <v>348</v>
      </c>
      <c r="AK312" s="12"/>
      <c r="AL312" s="12"/>
      <c r="AM312" s="10" t="s">
        <v>901</v>
      </c>
      <c r="AN312" s="10" t="s">
        <v>193</v>
      </c>
    </row>
    <row r="313" spans="1:40" s="10" customFormat="1" x14ac:dyDescent="0.2">
      <c r="A313" s="10">
        <v>2005</v>
      </c>
      <c r="B313" s="4">
        <v>16147905</v>
      </c>
      <c r="C313" s="4" t="s">
        <v>107</v>
      </c>
      <c r="D313" s="4"/>
      <c r="E313" s="4" t="s">
        <v>157</v>
      </c>
      <c r="F313" s="4" t="s">
        <v>108</v>
      </c>
      <c r="G313" s="4" t="s">
        <v>109</v>
      </c>
      <c r="H313" s="4" t="s">
        <v>109</v>
      </c>
      <c r="I313" s="10">
        <v>7</v>
      </c>
      <c r="J313" s="4" t="s">
        <v>869</v>
      </c>
      <c r="K313" s="4" t="s">
        <v>86</v>
      </c>
      <c r="L313" s="10" t="s">
        <v>412</v>
      </c>
      <c r="M313" s="10" t="s">
        <v>902</v>
      </c>
      <c r="N313" s="10" t="s">
        <v>766</v>
      </c>
      <c r="P313" s="10" t="s">
        <v>911</v>
      </c>
      <c r="Q313" s="10">
        <v>2</v>
      </c>
      <c r="R313" s="4">
        <v>100</v>
      </c>
      <c r="S313" s="4">
        <v>68.2</v>
      </c>
      <c r="T313" s="32">
        <v>66</v>
      </c>
      <c r="U313" s="10" t="s">
        <v>645</v>
      </c>
      <c r="V313" s="10" t="s">
        <v>642</v>
      </c>
      <c r="W313" s="12">
        <v>74.3</v>
      </c>
      <c r="X313" s="12">
        <v>72.2</v>
      </c>
      <c r="Y313" s="12">
        <v>7.7</v>
      </c>
      <c r="Z313" s="12">
        <v>9.6</v>
      </c>
      <c r="AA313" s="15">
        <v>50</v>
      </c>
      <c r="AB313" s="15">
        <v>50</v>
      </c>
      <c r="AC313" s="12">
        <f t="shared" si="330"/>
        <v>2.0999999999999943</v>
      </c>
      <c r="AD313" s="12">
        <f t="shared" si="331"/>
        <v>8.7020112617716148</v>
      </c>
      <c r="AE313" s="12">
        <f t="shared" si="332"/>
        <v>0.24132352129046336</v>
      </c>
      <c r="AF313" s="12">
        <f t="shared" si="333"/>
        <v>0.20072664299898044</v>
      </c>
      <c r="AG313" s="12" t="s">
        <v>193</v>
      </c>
      <c r="AH313" s="12"/>
      <c r="AI313" s="1" t="s">
        <v>780</v>
      </c>
      <c r="AJ313" s="12" t="s">
        <v>348</v>
      </c>
      <c r="AK313" s="12"/>
      <c r="AL313" s="12"/>
      <c r="AM313" s="10" t="s">
        <v>901</v>
      </c>
      <c r="AN313" s="10" t="s">
        <v>193</v>
      </c>
    </row>
    <row r="314" spans="1:40" s="10" customFormat="1" x14ac:dyDescent="0.2">
      <c r="A314" s="10">
        <v>2005</v>
      </c>
      <c r="B314" s="4">
        <v>16147905</v>
      </c>
      <c r="C314" s="4" t="s">
        <v>107</v>
      </c>
      <c r="D314" s="4"/>
      <c r="E314" s="4" t="s">
        <v>157</v>
      </c>
      <c r="F314" s="4" t="s">
        <v>108</v>
      </c>
      <c r="G314" s="4" t="s">
        <v>109</v>
      </c>
      <c r="H314" s="4" t="s">
        <v>109</v>
      </c>
      <c r="I314" s="10">
        <v>7</v>
      </c>
      <c r="J314" s="4" t="s">
        <v>869</v>
      </c>
      <c r="K314" s="4" t="s">
        <v>86</v>
      </c>
      <c r="L314" s="10" t="s">
        <v>412</v>
      </c>
      <c r="M314" s="10" t="s">
        <v>902</v>
      </c>
      <c r="N314" s="10" t="s">
        <v>766</v>
      </c>
      <c r="P314" s="10" t="s">
        <v>911</v>
      </c>
      <c r="Q314" s="10">
        <v>2</v>
      </c>
      <c r="R314" s="4">
        <v>100</v>
      </c>
      <c r="S314" s="4">
        <v>68.2</v>
      </c>
      <c r="T314" s="32">
        <v>66</v>
      </c>
      <c r="U314" s="10" t="s">
        <v>637</v>
      </c>
      <c r="V314" s="10" t="s">
        <v>635</v>
      </c>
      <c r="W314" s="12">
        <v>123.5</v>
      </c>
      <c r="X314" s="12">
        <v>112.7</v>
      </c>
      <c r="Y314" s="12">
        <v>12.5</v>
      </c>
      <c r="Z314" s="12">
        <v>11.4</v>
      </c>
      <c r="AA314" s="15">
        <v>50</v>
      </c>
      <c r="AB314" s="15">
        <v>50</v>
      </c>
      <c r="AC314" s="12">
        <f t="shared" si="330"/>
        <v>10.799999999999997</v>
      </c>
      <c r="AD314" s="12">
        <f t="shared" si="331"/>
        <v>11.962650208043367</v>
      </c>
      <c r="AE314" s="12">
        <f t="shared" si="332"/>
        <v>0.90280998041206328</v>
      </c>
      <c r="AF314" s="12">
        <f t="shared" si="333"/>
        <v>0.20994125202936689</v>
      </c>
      <c r="AG314" s="12" t="s">
        <v>193</v>
      </c>
      <c r="AH314" s="12" t="s">
        <v>193</v>
      </c>
      <c r="AI314" s="1" t="s">
        <v>780</v>
      </c>
      <c r="AJ314" s="12" t="s">
        <v>348</v>
      </c>
      <c r="AK314" s="12"/>
      <c r="AL314" s="12"/>
      <c r="AM314" s="10" t="s">
        <v>901</v>
      </c>
      <c r="AN314" s="10" t="s">
        <v>193</v>
      </c>
    </row>
    <row r="315" spans="1:40" s="10" customFormat="1" x14ac:dyDescent="0.2">
      <c r="A315" s="10">
        <v>2005</v>
      </c>
      <c r="B315" s="4">
        <v>16147905</v>
      </c>
      <c r="C315" s="4" t="s">
        <v>107</v>
      </c>
      <c r="D315" s="4"/>
      <c r="E315" s="4" t="s">
        <v>157</v>
      </c>
      <c r="F315" s="4" t="s">
        <v>108</v>
      </c>
      <c r="G315" s="4" t="s">
        <v>109</v>
      </c>
      <c r="H315" s="4" t="s">
        <v>109</v>
      </c>
      <c r="I315" s="10">
        <v>7</v>
      </c>
      <c r="J315" s="4" t="s">
        <v>869</v>
      </c>
      <c r="K315" s="4" t="s">
        <v>86</v>
      </c>
      <c r="L315" s="10" t="s">
        <v>412</v>
      </c>
      <c r="M315" s="10" t="s">
        <v>902</v>
      </c>
      <c r="N315" s="10" t="s">
        <v>766</v>
      </c>
      <c r="P315" s="10" t="s">
        <v>911</v>
      </c>
      <c r="Q315" s="10">
        <v>2</v>
      </c>
      <c r="R315" s="4">
        <v>100</v>
      </c>
      <c r="S315" s="4">
        <v>68.2</v>
      </c>
      <c r="T315" s="32">
        <v>66</v>
      </c>
      <c r="U315" s="10" t="s">
        <v>638</v>
      </c>
      <c r="V315" s="10" t="s">
        <v>635</v>
      </c>
      <c r="W315" s="12">
        <v>65.8</v>
      </c>
      <c r="X315" s="12">
        <v>61</v>
      </c>
      <c r="Y315" s="12">
        <v>8.5</v>
      </c>
      <c r="Z315" s="12">
        <v>8.6999999999999993</v>
      </c>
      <c r="AA315" s="15">
        <v>50</v>
      </c>
      <c r="AB315" s="15">
        <v>50</v>
      </c>
      <c r="AC315" s="12">
        <f t="shared" si="330"/>
        <v>4.7999999999999972</v>
      </c>
      <c r="AD315" s="12">
        <f t="shared" si="331"/>
        <v>8.6005813756978071</v>
      </c>
      <c r="AE315" s="12">
        <f t="shared" si="332"/>
        <v>0.55810180618290472</v>
      </c>
      <c r="AF315" s="12">
        <f t="shared" si="333"/>
        <v>0.20385629283964501</v>
      </c>
      <c r="AG315" s="12" t="s">
        <v>193</v>
      </c>
      <c r="AH315" s="12"/>
      <c r="AI315" s="1" t="s">
        <v>780</v>
      </c>
      <c r="AJ315" s="12" t="s">
        <v>348</v>
      </c>
      <c r="AK315" s="12"/>
      <c r="AL315" s="12"/>
      <c r="AM315" s="10" t="s">
        <v>901</v>
      </c>
      <c r="AN315" s="10" t="s">
        <v>193</v>
      </c>
    </row>
    <row r="316" spans="1:40" s="10" customFormat="1" hidden="1" x14ac:dyDescent="0.2">
      <c r="A316" s="4">
        <v>1994</v>
      </c>
      <c r="B316" s="6">
        <v>7894213</v>
      </c>
      <c r="C316" s="4" t="s">
        <v>103</v>
      </c>
      <c r="D316" s="4"/>
      <c r="E316" s="4" t="s">
        <v>157</v>
      </c>
      <c r="F316" s="4" t="s">
        <v>97</v>
      </c>
      <c r="G316" s="4" t="s">
        <v>1100</v>
      </c>
      <c r="H316" s="4" t="s">
        <v>1100</v>
      </c>
      <c r="I316" s="10">
        <v>24</v>
      </c>
      <c r="J316" s="4" t="s">
        <v>926</v>
      </c>
      <c r="K316" s="4" t="s">
        <v>86</v>
      </c>
      <c r="L316" s="4" t="s">
        <v>156</v>
      </c>
      <c r="M316" s="10" t="s">
        <v>903</v>
      </c>
      <c r="N316" s="10" t="s">
        <v>766</v>
      </c>
      <c r="P316" s="10" t="s">
        <v>809</v>
      </c>
      <c r="Q316" s="10">
        <v>2</v>
      </c>
      <c r="R316" s="4">
        <v>10</v>
      </c>
      <c r="S316" s="4">
        <v>62</v>
      </c>
      <c r="T316" s="32">
        <v>30</v>
      </c>
      <c r="U316" s="10" t="s">
        <v>644</v>
      </c>
      <c r="V316" s="4" t="s">
        <v>642</v>
      </c>
      <c r="W316" s="7">
        <v>139</v>
      </c>
      <c r="X316" s="7">
        <v>140</v>
      </c>
      <c r="Y316" s="7">
        <v>12</v>
      </c>
      <c r="Z316" s="7">
        <v>12</v>
      </c>
      <c r="AA316" s="4">
        <v>10</v>
      </c>
      <c r="AB316" s="15">
        <v>10</v>
      </c>
      <c r="AC316" s="12">
        <f t="shared" ref="AC316:AC320" si="334">W316-X316</f>
        <v>-1</v>
      </c>
      <c r="AD316" s="12">
        <f t="shared" ref="AD316:AD320" si="335">SQRT(((AA316-1)*Y316^2+(AB316-1)*Z316^2)/(AA316+AB316-2))</f>
        <v>12</v>
      </c>
      <c r="AE316" s="12">
        <f t="shared" ref="AE316:AE320" si="336">AC316/AD316</f>
        <v>-8.3333333333333329E-2</v>
      </c>
      <c r="AF316" s="12">
        <f t="shared" ref="AF316:AF320" si="337">SQRT(((AA316+AB316)/(AA316*AB316)+(AE316^2/(2*(AA316+AB316)))))</f>
        <v>0.44740765651820391</v>
      </c>
      <c r="AG316" s="12" t="s">
        <v>193</v>
      </c>
      <c r="AH316" s="12"/>
      <c r="AI316" s="12" t="s">
        <v>780</v>
      </c>
      <c r="AJ316" s="12" t="s">
        <v>328</v>
      </c>
      <c r="AK316" s="12"/>
      <c r="AL316" s="12" t="s">
        <v>1313</v>
      </c>
      <c r="AM316" s="10" t="s">
        <v>740</v>
      </c>
      <c r="AN316" s="10" t="s">
        <v>157</v>
      </c>
    </row>
    <row r="317" spans="1:40" s="10" customFormat="1" hidden="1" x14ac:dyDescent="0.2">
      <c r="A317" s="4">
        <v>1994</v>
      </c>
      <c r="B317" s="6">
        <v>7894213</v>
      </c>
      <c r="C317" s="4" t="s">
        <v>103</v>
      </c>
      <c r="D317" s="4"/>
      <c r="E317" s="4" t="s">
        <v>157</v>
      </c>
      <c r="F317" s="4" t="s">
        <v>97</v>
      </c>
      <c r="G317" s="4" t="s">
        <v>1100</v>
      </c>
      <c r="H317" s="4" t="s">
        <v>1100</v>
      </c>
      <c r="I317" s="10">
        <v>24</v>
      </c>
      <c r="J317" s="4" t="s">
        <v>926</v>
      </c>
      <c r="K317" s="4" t="s">
        <v>86</v>
      </c>
      <c r="L317" s="4" t="s">
        <v>156</v>
      </c>
      <c r="M317" s="10" t="s">
        <v>903</v>
      </c>
      <c r="N317" s="10" t="s">
        <v>766</v>
      </c>
      <c r="P317" s="10" t="s">
        <v>809</v>
      </c>
      <c r="Q317" s="10">
        <v>2</v>
      </c>
      <c r="R317" s="4">
        <v>10</v>
      </c>
      <c r="S317" s="4">
        <v>62</v>
      </c>
      <c r="T317" s="32">
        <v>30</v>
      </c>
      <c r="U317" s="10" t="s">
        <v>645</v>
      </c>
      <c r="V317" s="4" t="s">
        <v>642</v>
      </c>
      <c r="W317" s="12">
        <v>89</v>
      </c>
      <c r="X317" s="12">
        <v>88</v>
      </c>
      <c r="Y317" s="7">
        <v>12</v>
      </c>
      <c r="Z317" s="7">
        <v>12</v>
      </c>
      <c r="AA317" s="4">
        <v>10</v>
      </c>
      <c r="AB317" s="15">
        <v>10</v>
      </c>
      <c r="AC317" s="12">
        <f t="shared" si="334"/>
        <v>1</v>
      </c>
      <c r="AD317" s="12">
        <f t="shared" si="335"/>
        <v>12</v>
      </c>
      <c r="AE317" s="12">
        <f t="shared" si="336"/>
        <v>8.3333333333333329E-2</v>
      </c>
      <c r="AF317" s="12">
        <f t="shared" si="337"/>
        <v>0.44740765651820391</v>
      </c>
      <c r="AG317" s="12" t="s">
        <v>193</v>
      </c>
      <c r="AH317" s="12"/>
      <c r="AI317" s="12" t="s">
        <v>780</v>
      </c>
      <c r="AJ317" s="12" t="s">
        <v>348</v>
      </c>
      <c r="AK317" s="12"/>
      <c r="AL317" s="12" t="s">
        <v>1313</v>
      </c>
      <c r="AM317" s="10" t="s">
        <v>740</v>
      </c>
      <c r="AN317" s="10" t="s">
        <v>157</v>
      </c>
    </row>
    <row r="318" spans="1:40" s="10" customFormat="1" hidden="1" x14ac:dyDescent="0.2">
      <c r="A318" s="4">
        <v>1994</v>
      </c>
      <c r="B318" s="6">
        <v>7894213</v>
      </c>
      <c r="C318" s="4" t="s">
        <v>103</v>
      </c>
      <c r="D318" s="4"/>
      <c r="E318" s="4" t="s">
        <v>157</v>
      </c>
      <c r="F318" s="4" t="s">
        <v>97</v>
      </c>
      <c r="G318" s="4" t="s">
        <v>1100</v>
      </c>
      <c r="H318" s="4" t="s">
        <v>1100</v>
      </c>
      <c r="I318" s="10">
        <v>24</v>
      </c>
      <c r="J318" s="4" t="s">
        <v>926</v>
      </c>
      <c r="K318" s="4" t="s">
        <v>86</v>
      </c>
      <c r="L318" s="4" t="s">
        <v>156</v>
      </c>
      <c r="M318" s="10" t="s">
        <v>903</v>
      </c>
      <c r="N318" s="10" t="s">
        <v>766</v>
      </c>
      <c r="P318" s="10" t="s">
        <v>809</v>
      </c>
      <c r="Q318" s="10">
        <v>2</v>
      </c>
      <c r="R318" s="4">
        <v>10</v>
      </c>
      <c r="S318" s="4">
        <v>62</v>
      </c>
      <c r="T318" s="32">
        <v>30</v>
      </c>
      <c r="U318" s="10" t="s">
        <v>637</v>
      </c>
      <c r="V318" s="4" t="s">
        <v>642</v>
      </c>
      <c r="W318" s="7">
        <v>130</v>
      </c>
      <c r="X318" s="7">
        <v>133</v>
      </c>
      <c r="Y318" s="7">
        <v>12</v>
      </c>
      <c r="Z318" s="7">
        <v>12</v>
      </c>
      <c r="AA318" s="4">
        <v>10</v>
      </c>
      <c r="AB318" s="15">
        <v>10</v>
      </c>
      <c r="AC318" s="12">
        <f t="shared" si="334"/>
        <v>-3</v>
      </c>
      <c r="AD318" s="12">
        <f t="shared" si="335"/>
        <v>12</v>
      </c>
      <c r="AE318" s="12">
        <f t="shared" si="336"/>
        <v>-0.25</v>
      </c>
      <c r="AF318" s="12">
        <f t="shared" si="337"/>
        <v>0.44895712490169926</v>
      </c>
      <c r="AG318" s="12" t="s">
        <v>193</v>
      </c>
      <c r="AH318" s="12" t="s">
        <v>193</v>
      </c>
      <c r="AI318" s="12" t="s">
        <v>780</v>
      </c>
      <c r="AJ318" s="12" t="s">
        <v>328</v>
      </c>
      <c r="AK318" s="12"/>
      <c r="AL318" s="12" t="s">
        <v>1313</v>
      </c>
      <c r="AM318" s="10" t="s">
        <v>740</v>
      </c>
      <c r="AN318" s="10" t="s">
        <v>157</v>
      </c>
    </row>
    <row r="319" spans="1:40" s="10" customFormat="1" hidden="1" x14ac:dyDescent="0.2">
      <c r="A319" s="4">
        <v>1994</v>
      </c>
      <c r="B319" s="6">
        <v>7894213</v>
      </c>
      <c r="C319" s="4" t="s">
        <v>103</v>
      </c>
      <c r="D319" s="4"/>
      <c r="E319" s="4" t="s">
        <v>157</v>
      </c>
      <c r="F319" s="4" t="s">
        <v>97</v>
      </c>
      <c r="G319" s="4" t="s">
        <v>1100</v>
      </c>
      <c r="H319" s="4" t="s">
        <v>1100</v>
      </c>
      <c r="I319" s="10">
        <v>24</v>
      </c>
      <c r="J319" s="4" t="s">
        <v>926</v>
      </c>
      <c r="K319" s="4" t="s">
        <v>86</v>
      </c>
      <c r="L319" s="4" t="s">
        <v>156</v>
      </c>
      <c r="M319" s="10" t="s">
        <v>903</v>
      </c>
      <c r="N319" s="10" t="s">
        <v>766</v>
      </c>
      <c r="P319" s="10" t="s">
        <v>809</v>
      </c>
      <c r="Q319" s="10">
        <v>2</v>
      </c>
      <c r="R319" s="4">
        <v>10</v>
      </c>
      <c r="S319" s="4">
        <v>62</v>
      </c>
      <c r="T319" s="32">
        <v>30</v>
      </c>
      <c r="U319" s="10" t="s">
        <v>638</v>
      </c>
      <c r="V319" s="4" t="s">
        <v>642</v>
      </c>
      <c r="W319" s="12">
        <v>76</v>
      </c>
      <c r="X319" s="12">
        <v>76</v>
      </c>
      <c r="Y319" s="7">
        <v>12</v>
      </c>
      <c r="Z319" s="7">
        <v>12</v>
      </c>
      <c r="AA319" s="4">
        <v>10</v>
      </c>
      <c r="AB319" s="15">
        <v>10</v>
      </c>
      <c r="AC319" s="12">
        <f t="shared" si="334"/>
        <v>0</v>
      </c>
      <c r="AD319" s="12">
        <f t="shared" si="335"/>
        <v>12</v>
      </c>
      <c r="AE319" s="12">
        <f t="shared" si="336"/>
        <v>0</v>
      </c>
      <c r="AF319" s="12">
        <f t="shared" si="337"/>
        <v>0.44721359549995793</v>
      </c>
      <c r="AG319" s="12" t="s">
        <v>193</v>
      </c>
      <c r="AH319" s="12"/>
      <c r="AI319" s="12" t="s">
        <v>780</v>
      </c>
      <c r="AJ319" s="12" t="s">
        <v>642</v>
      </c>
      <c r="AK319" s="12"/>
      <c r="AL319" s="12" t="s">
        <v>1313</v>
      </c>
      <c r="AM319" s="10" t="s">
        <v>740</v>
      </c>
      <c r="AN319" s="10" t="s">
        <v>157</v>
      </c>
    </row>
    <row r="320" spans="1:40" s="10" customFormat="1" x14ac:dyDescent="0.2">
      <c r="A320" s="4">
        <v>2000</v>
      </c>
      <c r="B320" s="25">
        <v>10757465</v>
      </c>
      <c r="C320" s="4" t="s">
        <v>106</v>
      </c>
      <c r="D320" s="4"/>
      <c r="E320" s="4" t="s">
        <v>157</v>
      </c>
      <c r="F320" s="4" t="s">
        <v>94</v>
      </c>
      <c r="G320" s="4" t="s">
        <v>95</v>
      </c>
      <c r="H320" s="4" t="s">
        <v>95</v>
      </c>
      <c r="I320" s="10">
        <v>15</v>
      </c>
      <c r="J320" s="10" t="s">
        <v>927</v>
      </c>
      <c r="K320" s="10" t="s">
        <v>86</v>
      </c>
      <c r="L320" s="10" t="s">
        <v>156</v>
      </c>
      <c r="M320" s="10" t="s">
        <v>903</v>
      </c>
      <c r="N320" s="10" t="s">
        <v>766</v>
      </c>
      <c r="P320" s="10" t="s">
        <v>911</v>
      </c>
      <c r="Q320" s="10">
        <v>2</v>
      </c>
      <c r="R320" s="10">
        <v>9</v>
      </c>
      <c r="S320" s="10">
        <v>52</v>
      </c>
      <c r="T320" s="13">
        <v>27</v>
      </c>
      <c r="U320" s="10" t="s">
        <v>640</v>
      </c>
      <c r="V320" s="10" t="s">
        <v>642</v>
      </c>
      <c r="W320" s="12">
        <v>134</v>
      </c>
      <c r="X320" s="12">
        <v>130</v>
      </c>
      <c r="Y320" s="12">
        <v>11</v>
      </c>
      <c r="Z320" s="12">
        <v>14</v>
      </c>
      <c r="AA320" s="15">
        <v>9</v>
      </c>
      <c r="AB320" s="15">
        <v>9</v>
      </c>
      <c r="AC320" s="12">
        <f t="shared" si="334"/>
        <v>4</v>
      </c>
      <c r="AD320" s="12">
        <f t="shared" si="335"/>
        <v>12.589678312014172</v>
      </c>
      <c r="AE320" s="12">
        <f t="shared" si="336"/>
        <v>0.31772058831581507</v>
      </c>
      <c r="AF320" s="12">
        <f t="shared" si="337"/>
        <v>0.47436935832510385</v>
      </c>
      <c r="AG320" s="12" t="s">
        <v>193</v>
      </c>
      <c r="AH320" s="12"/>
      <c r="AI320" s="12" t="s">
        <v>780</v>
      </c>
      <c r="AJ320" s="12" t="s">
        <v>348</v>
      </c>
      <c r="AK320" s="12"/>
      <c r="AL320" s="12"/>
      <c r="AM320" s="10" t="s">
        <v>741</v>
      </c>
      <c r="AN320" s="10" t="s">
        <v>157</v>
      </c>
    </row>
    <row r="321" spans="1:40" s="10" customFormat="1" x14ac:dyDescent="0.2">
      <c r="A321" s="4">
        <v>2000</v>
      </c>
      <c r="B321" s="6">
        <v>10757465</v>
      </c>
      <c r="C321" s="4" t="s">
        <v>106</v>
      </c>
      <c r="D321" s="4"/>
      <c r="E321" s="4" t="s">
        <v>157</v>
      </c>
      <c r="F321" s="4" t="s">
        <v>94</v>
      </c>
      <c r="G321" s="4" t="s">
        <v>95</v>
      </c>
      <c r="H321" s="4" t="s">
        <v>95</v>
      </c>
      <c r="I321" s="10">
        <v>15</v>
      </c>
      <c r="J321" s="10" t="s">
        <v>927</v>
      </c>
      <c r="K321" s="10" t="s">
        <v>86</v>
      </c>
      <c r="L321" s="10" t="s">
        <v>156</v>
      </c>
      <c r="M321" s="10" t="s">
        <v>903</v>
      </c>
      <c r="N321" s="10" t="s">
        <v>766</v>
      </c>
      <c r="P321" s="10" t="s">
        <v>911</v>
      </c>
      <c r="Q321" s="10">
        <v>2</v>
      </c>
      <c r="R321" s="10">
        <v>9</v>
      </c>
      <c r="S321" s="10">
        <v>52</v>
      </c>
      <c r="T321" s="13">
        <v>27</v>
      </c>
      <c r="U321" s="10" t="s">
        <v>641</v>
      </c>
      <c r="V321" s="10" t="s">
        <v>642</v>
      </c>
      <c r="W321" s="12">
        <v>82</v>
      </c>
      <c r="X321" s="12">
        <v>76</v>
      </c>
      <c r="Y321" s="12">
        <v>9</v>
      </c>
      <c r="Z321" s="12">
        <v>4</v>
      </c>
      <c r="AA321" s="15">
        <v>9</v>
      </c>
      <c r="AB321" s="15">
        <v>9</v>
      </c>
      <c r="AC321" s="12">
        <f t="shared" ref="AC321:AC331" si="338">W321-X321</f>
        <v>6</v>
      </c>
      <c r="AD321" s="12">
        <f t="shared" ref="AD321:AD331" si="339">SQRT(((AA321-1)*Y321^2+(AB321-1)*Z321^2)/(AA321+AB321-2))</f>
        <v>6.9641941385920596</v>
      </c>
      <c r="AE321" s="12">
        <f t="shared" ref="AE321:AE331" si="340">AC321/AD321</f>
        <v>0.86154979034128576</v>
      </c>
      <c r="AF321" s="12">
        <f t="shared" ref="AF321:AF331" si="341">SQRT(((AA321+AB321)/(AA321*AB321)+(AE321^2/(2*(AA321+AB321)))))</f>
        <v>0.49278877718882069</v>
      </c>
      <c r="AG321" s="12" t="s">
        <v>193</v>
      </c>
      <c r="AH321" s="12"/>
      <c r="AI321" s="12" t="s">
        <v>780</v>
      </c>
      <c r="AJ321" s="12" t="s">
        <v>348</v>
      </c>
      <c r="AK321" s="12"/>
      <c r="AL321" s="12"/>
      <c r="AM321" s="10" t="s">
        <v>741</v>
      </c>
      <c r="AN321" s="10" t="s">
        <v>157</v>
      </c>
    </row>
    <row r="322" spans="1:40" s="10" customFormat="1" x14ac:dyDescent="0.2">
      <c r="A322" s="4">
        <v>2000</v>
      </c>
      <c r="B322" s="6">
        <v>10757465</v>
      </c>
      <c r="C322" s="4" t="s">
        <v>106</v>
      </c>
      <c r="D322" s="4"/>
      <c r="E322" s="4" t="s">
        <v>157</v>
      </c>
      <c r="F322" s="4" t="s">
        <v>94</v>
      </c>
      <c r="G322" s="4" t="s">
        <v>95</v>
      </c>
      <c r="H322" s="4" t="s">
        <v>95</v>
      </c>
      <c r="I322" s="10">
        <v>15</v>
      </c>
      <c r="J322" s="10" t="s">
        <v>927</v>
      </c>
      <c r="K322" s="10" t="s">
        <v>86</v>
      </c>
      <c r="L322" s="10" t="s">
        <v>156</v>
      </c>
      <c r="M322" s="10" t="s">
        <v>903</v>
      </c>
      <c r="N322" s="10" t="s">
        <v>766</v>
      </c>
      <c r="P322" s="10" t="s">
        <v>911</v>
      </c>
      <c r="Q322" s="10">
        <v>2</v>
      </c>
      <c r="R322" s="10">
        <v>9</v>
      </c>
      <c r="S322" s="10">
        <v>52</v>
      </c>
      <c r="T322" s="13">
        <v>27</v>
      </c>
      <c r="U322" s="10" t="s">
        <v>644</v>
      </c>
      <c r="V322" s="10" t="s">
        <v>642</v>
      </c>
      <c r="W322" s="12">
        <v>143</v>
      </c>
      <c r="X322" s="12">
        <v>136</v>
      </c>
      <c r="Y322" s="12">
        <v>12</v>
      </c>
      <c r="Z322" s="12">
        <v>14</v>
      </c>
      <c r="AA322" s="15">
        <v>9</v>
      </c>
      <c r="AB322" s="15">
        <v>9</v>
      </c>
      <c r="AC322" s="12">
        <f t="shared" si="338"/>
        <v>7</v>
      </c>
      <c r="AD322" s="12">
        <f t="shared" si="339"/>
        <v>13.038404810405298</v>
      </c>
      <c r="AE322" s="12">
        <f t="shared" si="340"/>
        <v>0.53687549219315922</v>
      </c>
      <c r="AF322" s="12">
        <f t="shared" si="341"/>
        <v>0.47982158993727514</v>
      </c>
      <c r="AG322" s="12" t="s">
        <v>193</v>
      </c>
      <c r="AH322" s="12"/>
      <c r="AI322" s="12" t="s">
        <v>780</v>
      </c>
      <c r="AJ322" s="12" t="s">
        <v>348</v>
      </c>
      <c r="AK322" s="12"/>
      <c r="AL322" s="12"/>
      <c r="AM322" s="10" t="s">
        <v>741</v>
      </c>
      <c r="AN322" s="10" t="s">
        <v>157</v>
      </c>
    </row>
    <row r="323" spans="1:40" s="10" customFormat="1" x14ac:dyDescent="0.2">
      <c r="A323" s="4">
        <v>2000</v>
      </c>
      <c r="B323" s="6">
        <v>10757465</v>
      </c>
      <c r="C323" s="4" t="s">
        <v>106</v>
      </c>
      <c r="D323" s="4"/>
      <c r="E323" s="4" t="s">
        <v>157</v>
      </c>
      <c r="F323" s="4" t="s">
        <v>94</v>
      </c>
      <c r="G323" s="4" t="s">
        <v>95</v>
      </c>
      <c r="H323" s="4" t="s">
        <v>95</v>
      </c>
      <c r="I323" s="10">
        <v>15</v>
      </c>
      <c r="J323" s="10" t="s">
        <v>927</v>
      </c>
      <c r="K323" s="10" t="s">
        <v>86</v>
      </c>
      <c r="L323" s="10" t="s">
        <v>156</v>
      </c>
      <c r="M323" s="10" t="s">
        <v>903</v>
      </c>
      <c r="N323" s="10" t="s">
        <v>766</v>
      </c>
      <c r="P323" s="10" t="s">
        <v>911</v>
      </c>
      <c r="Q323" s="10">
        <v>2</v>
      </c>
      <c r="R323" s="10">
        <v>9</v>
      </c>
      <c r="S323" s="10">
        <v>52</v>
      </c>
      <c r="T323" s="13">
        <v>27</v>
      </c>
      <c r="U323" s="10" t="s">
        <v>645</v>
      </c>
      <c r="V323" s="10" t="s">
        <v>642</v>
      </c>
      <c r="W323" s="12">
        <v>88</v>
      </c>
      <c r="X323" s="12">
        <v>79</v>
      </c>
      <c r="Y323" s="12">
        <v>9</v>
      </c>
      <c r="Z323" s="12">
        <v>6</v>
      </c>
      <c r="AA323" s="15">
        <v>9</v>
      </c>
      <c r="AB323" s="15">
        <v>9</v>
      </c>
      <c r="AC323" s="12">
        <f t="shared" si="338"/>
        <v>9</v>
      </c>
      <c r="AD323" s="12">
        <f t="shared" si="339"/>
        <v>7.6485292703891776</v>
      </c>
      <c r="AE323" s="12">
        <f t="shared" si="340"/>
        <v>1.176696810829104</v>
      </c>
      <c r="AF323" s="12">
        <f t="shared" si="341"/>
        <v>0.51057199363435579</v>
      </c>
      <c r="AG323" s="12" t="s">
        <v>193</v>
      </c>
      <c r="AH323" s="12" t="s">
        <v>193</v>
      </c>
      <c r="AI323" s="12" t="s">
        <v>780</v>
      </c>
      <c r="AJ323" s="12" t="s">
        <v>348</v>
      </c>
      <c r="AK323" s="12"/>
      <c r="AL323" s="12"/>
      <c r="AM323" s="10" t="s">
        <v>741</v>
      </c>
      <c r="AN323" s="10" t="s">
        <v>157</v>
      </c>
    </row>
    <row r="324" spans="1:40" s="10" customFormat="1" x14ac:dyDescent="0.2">
      <c r="A324" s="4">
        <v>2000</v>
      </c>
      <c r="B324" s="6">
        <v>10757465</v>
      </c>
      <c r="C324" s="4" t="s">
        <v>106</v>
      </c>
      <c r="D324" s="4"/>
      <c r="E324" s="4" t="s">
        <v>157</v>
      </c>
      <c r="F324" s="4" t="s">
        <v>94</v>
      </c>
      <c r="G324" s="4" t="s">
        <v>95</v>
      </c>
      <c r="H324" s="4" t="s">
        <v>95</v>
      </c>
      <c r="I324" s="10">
        <v>15</v>
      </c>
      <c r="J324" s="10" t="s">
        <v>927</v>
      </c>
      <c r="K324" s="10" t="s">
        <v>86</v>
      </c>
      <c r="L324" s="10" t="s">
        <v>156</v>
      </c>
      <c r="M324" s="10" t="s">
        <v>903</v>
      </c>
      <c r="N324" s="10" t="s">
        <v>766</v>
      </c>
      <c r="P324" s="10" t="s">
        <v>911</v>
      </c>
      <c r="Q324" s="10">
        <v>2</v>
      </c>
      <c r="R324" s="10">
        <v>9</v>
      </c>
      <c r="S324" s="10">
        <v>52</v>
      </c>
      <c r="T324" s="13">
        <v>27</v>
      </c>
      <c r="U324" s="10" t="s">
        <v>637</v>
      </c>
      <c r="V324" s="10" t="s">
        <v>642</v>
      </c>
      <c r="W324" s="12">
        <v>118</v>
      </c>
      <c r="X324" s="12">
        <v>117</v>
      </c>
      <c r="Y324" s="12">
        <v>13</v>
      </c>
      <c r="Z324" s="12">
        <v>17</v>
      </c>
      <c r="AA324" s="15">
        <v>9</v>
      </c>
      <c r="AB324" s="15">
        <v>9</v>
      </c>
      <c r="AC324" s="12">
        <f t="shared" si="338"/>
        <v>1</v>
      </c>
      <c r="AD324" s="12">
        <f t="shared" si="339"/>
        <v>15.132745950421556</v>
      </c>
      <c r="AE324" s="12">
        <f t="shared" si="340"/>
        <v>6.6081860045508978E-2</v>
      </c>
      <c r="AF324" s="12">
        <f t="shared" si="341"/>
        <v>0.47153316167780096</v>
      </c>
      <c r="AG324" s="12" t="s">
        <v>193</v>
      </c>
      <c r="AH324" s="12"/>
      <c r="AI324" s="12" t="s">
        <v>780</v>
      </c>
      <c r="AJ324" s="12" t="s">
        <v>348</v>
      </c>
      <c r="AK324" s="12"/>
      <c r="AL324" s="12"/>
      <c r="AM324" s="10" t="s">
        <v>741</v>
      </c>
      <c r="AN324" s="10" t="s">
        <v>157</v>
      </c>
    </row>
    <row r="325" spans="1:40" s="10" customFormat="1" x14ac:dyDescent="0.2">
      <c r="A325" s="4">
        <v>2000</v>
      </c>
      <c r="B325" s="6">
        <v>10757465</v>
      </c>
      <c r="C325" s="4" t="s">
        <v>106</v>
      </c>
      <c r="D325" s="4"/>
      <c r="E325" s="4" t="s">
        <v>157</v>
      </c>
      <c r="F325" s="4" t="s">
        <v>94</v>
      </c>
      <c r="G325" s="4" t="s">
        <v>95</v>
      </c>
      <c r="H325" s="4" t="s">
        <v>95</v>
      </c>
      <c r="I325" s="10">
        <v>15</v>
      </c>
      <c r="J325" s="10" t="s">
        <v>927</v>
      </c>
      <c r="K325" s="10" t="s">
        <v>86</v>
      </c>
      <c r="L325" s="10" t="s">
        <v>156</v>
      </c>
      <c r="M325" s="10" t="s">
        <v>903</v>
      </c>
      <c r="N325" s="10" t="s">
        <v>766</v>
      </c>
      <c r="P325" s="10" t="s">
        <v>911</v>
      </c>
      <c r="Q325" s="10">
        <v>2</v>
      </c>
      <c r="R325" s="10">
        <v>9</v>
      </c>
      <c r="S325" s="10">
        <v>52</v>
      </c>
      <c r="T325" s="13">
        <v>27</v>
      </c>
      <c r="U325" s="10" t="s">
        <v>638</v>
      </c>
      <c r="V325" s="10" t="s">
        <v>642</v>
      </c>
      <c r="W325" s="12">
        <v>71</v>
      </c>
      <c r="X325" s="12">
        <v>68</v>
      </c>
      <c r="Y325" s="12">
        <v>10</v>
      </c>
      <c r="Z325" s="12">
        <v>5</v>
      </c>
      <c r="AA325" s="15">
        <v>9</v>
      </c>
      <c r="AB325" s="15">
        <v>9</v>
      </c>
      <c r="AC325" s="12">
        <f t="shared" si="338"/>
        <v>3</v>
      </c>
      <c r="AD325" s="12">
        <f t="shared" si="339"/>
        <v>7.9056941504209481</v>
      </c>
      <c r="AE325" s="12">
        <f t="shared" si="340"/>
        <v>0.37947331922020555</v>
      </c>
      <c r="AF325" s="12">
        <f t="shared" si="341"/>
        <v>0.47562823951298583</v>
      </c>
      <c r="AG325" s="12" t="s">
        <v>193</v>
      </c>
      <c r="AH325" s="12"/>
      <c r="AI325" s="12" t="s">
        <v>780</v>
      </c>
      <c r="AJ325" s="12" t="s">
        <v>348</v>
      </c>
      <c r="AK325" s="12"/>
      <c r="AL325" s="12"/>
      <c r="AM325" s="10" t="s">
        <v>741</v>
      </c>
      <c r="AN325" s="10" t="s">
        <v>157</v>
      </c>
    </row>
    <row r="326" spans="1:40" s="10" customFormat="1" x14ac:dyDescent="0.2">
      <c r="A326" s="4">
        <v>2000</v>
      </c>
      <c r="B326" s="6">
        <v>10757465</v>
      </c>
      <c r="C326" s="4" t="s">
        <v>106</v>
      </c>
      <c r="D326" s="4"/>
      <c r="E326" s="4" t="s">
        <v>157</v>
      </c>
      <c r="F326" s="4" t="s">
        <v>94</v>
      </c>
      <c r="G326" s="4" t="s">
        <v>95</v>
      </c>
      <c r="H326" s="4" t="s">
        <v>95</v>
      </c>
      <c r="I326" s="10">
        <v>15</v>
      </c>
      <c r="J326" s="10" t="s">
        <v>928</v>
      </c>
      <c r="K326" s="10" t="s">
        <v>86</v>
      </c>
      <c r="L326" s="10" t="s">
        <v>156</v>
      </c>
      <c r="M326" s="10" t="s">
        <v>903</v>
      </c>
      <c r="N326" s="10" t="s">
        <v>766</v>
      </c>
      <c r="P326" s="10" t="s">
        <v>911</v>
      </c>
      <c r="Q326" s="10">
        <v>2</v>
      </c>
      <c r="R326" s="10">
        <v>11</v>
      </c>
      <c r="S326" s="10">
        <v>58</v>
      </c>
      <c r="T326" s="13">
        <v>36</v>
      </c>
      <c r="U326" s="10" t="s">
        <v>640</v>
      </c>
      <c r="V326" s="10" t="s">
        <v>642</v>
      </c>
      <c r="W326" s="12">
        <v>139</v>
      </c>
      <c r="X326" s="12">
        <v>138</v>
      </c>
      <c r="Y326" s="12">
        <v>21</v>
      </c>
      <c r="Z326" s="12">
        <v>18</v>
      </c>
      <c r="AA326" s="15">
        <v>11</v>
      </c>
      <c r="AB326" s="15">
        <v>11</v>
      </c>
      <c r="AC326" s="12">
        <f t="shared" si="338"/>
        <v>1</v>
      </c>
      <c r="AD326" s="12">
        <f t="shared" si="339"/>
        <v>19.557607215607945</v>
      </c>
      <c r="AE326" s="12">
        <f t="shared" si="340"/>
        <v>5.1130999256491366E-2</v>
      </c>
      <c r="AF326" s="12">
        <f t="shared" si="341"/>
        <v>0.42647110045659409</v>
      </c>
      <c r="AG326" s="12" t="s">
        <v>193</v>
      </c>
      <c r="AH326" s="12"/>
      <c r="AI326" s="12" t="s">
        <v>780</v>
      </c>
      <c r="AJ326" s="12" t="s">
        <v>348</v>
      </c>
      <c r="AK326" s="12"/>
      <c r="AL326" s="12"/>
      <c r="AM326" s="10" t="s">
        <v>741</v>
      </c>
      <c r="AN326" s="10" t="s">
        <v>157</v>
      </c>
    </row>
    <row r="327" spans="1:40" s="10" customFormat="1" x14ac:dyDescent="0.2">
      <c r="A327" s="4">
        <v>2000</v>
      </c>
      <c r="B327" s="6">
        <v>10757465</v>
      </c>
      <c r="C327" s="4" t="s">
        <v>106</v>
      </c>
      <c r="D327" s="4"/>
      <c r="E327" s="4" t="s">
        <v>157</v>
      </c>
      <c r="F327" s="4" t="s">
        <v>94</v>
      </c>
      <c r="G327" s="4" t="s">
        <v>95</v>
      </c>
      <c r="H327" s="4" t="s">
        <v>95</v>
      </c>
      <c r="I327" s="10">
        <v>15</v>
      </c>
      <c r="J327" s="10" t="s">
        <v>928</v>
      </c>
      <c r="K327" s="10" t="s">
        <v>86</v>
      </c>
      <c r="L327" s="10" t="s">
        <v>156</v>
      </c>
      <c r="M327" s="10" t="s">
        <v>903</v>
      </c>
      <c r="N327" s="10" t="s">
        <v>766</v>
      </c>
      <c r="P327" s="10" t="s">
        <v>911</v>
      </c>
      <c r="Q327" s="10">
        <v>2</v>
      </c>
      <c r="R327" s="10">
        <v>11</v>
      </c>
      <c r="S327" s="10">
        <v>58</v>
      </c>
      <c r="T327" s="13">
        <v>36</v>
      </c>
      <c r="U327" s="10" t="s">
        <v>641</v>
      </c>
      <c r="V327" s="10" t="s">
        <v>642</v>
      </c>
      <c r="W327" s="12">
        <v>84</v>
      </c>
      <c r="X327" s="12">
        <v>84</v>
      </c>
      <c r="Y327" s="12">
        <v>14</v>
      </c>
      <c r="Z327" s="12">
        <v>12</v>
      </c>
      <c r="AA327" s="15">
        <v>11</v>
      </c>
      <c r="AB327" s="15">
        <v>11</v>
      </c>
      <c r="AC327" s="12">
        <f t="shared" si="338"/>
        <v>0</v>
      </c>
      <c r="AD327" s="12">
        <f t="shared" si="339"/>
        <v>13.038404810405298</v>
      </c>
      <c r="AE327" s="12">
        <f t="shared" si="340"/>
        <v>0</v>
      </c>
      <c r="AF327" s="12">
        <f t="shared" si="341"/>
        <v>0.42640143271122088</v>
      </c>
      <c r="AG327" s="12" t="s">
        <v>193</v>
      </c>
      <c r="AH327" s="12"/>
      <c r="AI327" s="12" t="s">
        <v>780</v>
      </c>
      <c r="AJ327" s="12" t="s">
        <v>348</v>
      </c>
      <c r="AK327" s="12"/>
      <c r="AL327" s="12"/>
      <c r="AM327" s="10" t="s">
        <v>741</v>
      </c>
      <c r="AN327" s="10" t="s">
        <v>157</v>
      </c>
    </row>
    <row r="328" spans="1:40" s="10" customFormat="1" x14ac:dyDescent="0.2">
      <c r="A328" s="4">
        <v>2000</v>
      </c>
      <c r="B328" s="6">
        <v>10757465</v>
      </c>
      <c r="C328" s="4" t="s">
        <v>106</v>
      </c>
      <c r="D328" s="4"/>
      <c r="E328" s="4" t="s">
        <v>157</v>
      </c>
      <c r="F328" s="4" t="s">
        <v>94</v>
      </c>
      <c r="G328" s="4" t="s">
        <v>95</v>
      </c>
      <c r="H328" s="4" t="s">
        <v>95</v>
      </c>
      <c r="I328" s="10">
        <v>15</v>
      </c>
      <c r="J328" s="10" t="s">
        <v>928</v>
      </c>
      <c r="K328" s="10" t="s">
        <v>86</v>
      </c>
      <c r="L328" s="10" t="s">
        <v>156</v>
      </c>
      <c r="M328" s="10" t="s">
        <v>903</v>
      </c>
      <c r="N328" s="10" t="s">
        <v>766</v>
      </c>
      <c r="P328" s="10" t="s">
        <v>911</v>
      </c>
      <c r="Q328" s="10">
        <v>2</v>
      </c>
      <c r="R328" s="10">
        <v>11</v>
      </c>
      <c r="S328" s="10">
        <v>58</v>
      </c>
      <c r="T328" s="13">
        <v>36</v>
      </c>
      <c r="U328" s="10" t="s">
        <v>644</v>
      </c>
      <c r="V328" s="10" t="s">
        <v>642</v>
      </c>
      <c r="W328" s="12">
        <v>145</v>
      </c>
      <c r="X328" s="12">
        <v>143</v>
      </c>
      <c r="Y328" s="12">
        <v>21</v>
      </c>
      <c r="Z328" s="12">
        <v>18</v>
      </c>
      <c r="AA328" s="15">
        <v>11</v>
      </c>
      <c r="AB328" s="15">
        <v>11</v>
      </c>
      <c r="AC328" s="12">
        <f t="shared" si="338"/>
        <v>2</v>
      </c>
      <c r="AD328" s="12">
        <f t="shared" si="339"/>
        <v>19.557607215607945</v>
      </c>
      <c r="AE328" s="12">
        <f t="shared" si="340"/>
        <v>0.10226199851298273</v>
      </c>
      <c r="AF328" s="12">
        <f t="shared" si="341"/>
        <v>0.42668003544118155</v>
      </c>
      <c r="AG328" s="12" t="s">
        <v>193</v>
      </c>
      <c r="AH328" s="12"/>
      <c r="AI328" s="12" t="s">
        <v>780</v>
      </c>
      <c r="AJ328" s="12" t="s">
        <v>348</v>
      </c>
      <c r="AK328" s="12"/>
      <c r="AL328" s="12"/>
      <c r="AM328" s="10" t="s">
        <v>741</v>
      </c>
      <c r="AN328" s="10" t="s">
        <v>157</v>
      </c>
    </row>
    <row r="329" spans="1:40" s="10" customFormat="1" x14ac:dyDescent="0.2">
      <c r="A329" s="4">
        <v>2000</v>
      </c>
      <c r="B329" s="6">
        <v>10757465</v>
      </c>
      <c r="C329" s="4" t="s">
        <v>106</v>
      </c>
      <c r="D329" s="4"/>
      <c r="E329" s="4" t="s">
        <v>157</v>
      </c>
      <c r="F329" s="4" t="s">
        <v>94</v>
      </c>
      <c r="G329" s="4" t="s">
        <v>95</v>
      </c>
      <c r="H329" s="4" t="s">
        <v>95</v>
      </c>
      <c r="I329" s="10">
        <v>15</v>
      </c>
      <c r="J329" s="10" t="s">
        <v>928</v>
      </c>
      <c r="K329" s="10" t="s">
        <v>86</v>
      </c>
      <c r="L329" s="10" t="s">
        <v>156</v>
      </c>
      <c r="M329" s="10" t="s">
        <v>903</v>
      </c>
      <c r="N329" s="10" t="s">
        <v>766</v>
      </c>
      <c r="P329" s="10" t="s">
        <v>911</v>
      </c>
      <c r="Q329" s="10">
        <v>2</v>
      </c>
      <c r="R329" s="10">
        <v>11</v>
      </c>
      <c r="S329" s="10">
        <v>58</v>
      </c>
      <c r="T329" s="13">
        <v>36</v>
      </c>
      <c r="U329" s="10" t="s">
        <v>645</v>
      </c>
      <c r="V329" s="10" t="s">
        <v>642</v>
      </c>
      <c r="W329" s="12">
        <v>87</v>
      </c>
      <c r="X329" s="12">
        <v>86</v>
      </c>
      <c r="Y329" s="12">
        <v>14</v>
      </c>
      <c r="Z329" s="12">
        <v>12</v>
      </c>
      <c r="AA329" s="15">
        <v>11</v>
      </c>
      <c r="AB329" s="15">
        <v>11</v>
      </c>
      <c r="AC329" s="12">
        <f t="shared" si="338"/>
        <v>1</v>
      </c>
      <c r="AD329" s="12">
        <f t="shared" si="339"/>
        <v>13.038404810405298</v>
      </c>
      <c r="AE329" s="12">
        <f t="shared" si="340"/>
        <v>7.6696498884737035E-2</v>
      </c>
      <c r="AF329" s="12">
        <f t="shared" si="341"/>
        <v>0.42655816913728661</v>
      </c>
      <c r="AG329" s="12" t="s">
        <v>193</v>
      </c>
      <c r="AH329" s="12"/>
      <c r="AI329" s="12" t="s">
        <v>780</v>
      </c>
      <c r="AJ329" s="12" t="s">
        <v>348</v>
      </c>
      <c r="AK329" s="12"/>
      <c r="AL329" s="12"/>
      <c r="AM329" s="10" t="s">
        <v>741</v>
      </c>
      <c r="AN329" s="10" t="s">
        <v>157</v>
      </c>
    </row>
    <row r="330" spans="1:40" s="10" customFormat="1" x14ac:dyDescent="0.2">
      <c r="A330" s="4">
        <v>2000</v>
      </c>
      <c r="B330" s="6">
        <v>10757465</v>
      </c>
      <c r="C330" s="4" t="s">
        <v>106</v>
      </c>
      <c r="D330" s="4"/>
      <c r="E330" s="4" t="s">
        <v>157</v>
      </c>
      <c r="F330" s="4" t="s">
        <v>94</v>
      </c>
      <c r="G330" s="4" t="s">
        <v>95</v>
      </c>
      <c r="H330" s="4" t="s">
        <v>95</v>
      </c>
      <c r="I330" s="10">
        <v>15</v>
      </c>
      <c r="J330" s="10" t="s">
        <v>928</v>
      </c>
      <c r="K330" s="10" t="s">
        <v>86</v>
      </c>
      <c r="L330" s="10" t="s">
        <v>156</v>
      </c>
      <c r="M330" s="10" t="s">
        <v>903</v>
      </c>
      <c r="N330" s="10" t="s">
        <v>766</v>
      </c>
      <c r="P330" s="10" t="s">
        <v>911</v>
      </c>
      <c r="Q330" s="10">
        <v>2</v>
      </c>
      <c r="R330" s="10">
        <v>11</v>
      </c>
      <c r="S330" s="10">
        <v>58</v>
      </c>
      <c r="T330" s="13">
        <v>36</v>
      </c>
      <c r="U330" s="10" t="s">
        <v>637</v>
      </c>
      <c r="V330" s="10" t="s">
        <v>642</v>
      </c>
      <c r="W330" s="12">
        <v>127</v>
      </c>
      <c r="X330" s="12">
        <v>128</v>
      </c>
      <c r="Y330" s="12">
        <v>24</v>
      </c>
      <c r="Z330" s="12">
        <v>20</v>
      </c>
      <c r="AA330" s="15">
        <v>11</v>
      </c>
      <c r="AB330" s="15">
        <v>11</v>
      </c>
      <c r="AC330" s="12">
        <f t="shared" si="338"/>
        <v>-1</v>
      </c>
      <c r="AD330" s="12">
        <f t="shared" si="339"/>
        <v>22.090722034374522</v>
      </c>
      <c r="AE330" s="12">
        <f t="shared" si="340"/>
        <v>-4.5267873021259265E-2</v>
      </c>
      <c r="AF330" s="12">
        <f t="shared" si="341"/>
        <v>0.42645604005379106</v>
      </c>
      <c r="AG330" s="12" t="s">
        <v>193</v>
      </c>
      <c r="AH330" s="12"/>
      <c r="AI330" s="12" t="s">
        <v>780</v>
      </c>
      <c r="AJ330" s="12" t="s">
        <v>328</v>
      </c>
      <c r="AK330" s="12"/>
      <c r="AL330" s="12"/>
      <c r="AM330" s="10" t="s">
        <v>741</v>
      </c>
      <c r="AN330" s="10" t="s">
        <v>157</v>
      </c>
    </row>
    <row r="331" spans="1:40" s="10" customFormat="1" x14ac:dyDescent="0.2">
      <c r="A331" s="4">
        <v>2000</v>
      </c>
      <c r="B331" s="6">
        <v>10757465</v>
      </c>
      <c r="C331" s="4" t="s">
        <v>106</v>
      </c>
      <c r="D331" s="4"/>
      <c r="E331" s="4" t="s">
        <v>157</v>
      </c>
      <c r="F331" s="4" t="s">
        <v>94</v>
      </c>
      <c r="G331" s="4" t="s">
        <v>95</v>
      </c>
      <c r="H331" s="4" t="s">
        <v>95</v>
      </c>
      <c r="I331" s="10">
        <v>15</v>
      </c>
      <c r="J331" s="10" t="s">
        <v>928</v>
      </c>
      <c r="K331" s="10" t="s">
        <v>86</v>
      </c>
      <c r="L331" s="10" t="s">
        <v>156</v>
      </c>
      <c r="M331" s="10" t="s">
        <v>903</v>
      </c>
      <c r="N331" s="10" t="s">
        <v>766</v>
      </c>
      <c r="P331" s="10" t="s">
        <v>911</v>
      </c>
      <c r="Q331" s="10">
        <v>2</v>
      </c>
      <c r="R331" s="10">
        <v>11</v>
      </c>
      <c r="S331" s="10">
        <v>58</v>
      </c>
      <c r="T331" s="13">
        <v>36</v>
      </c>
      <c r="U331" s="10" t="s">
        <v>638</v>
      </c>
      <c r="V331" s="10" t="s">
        <v>642</v>
      </c>
      <c r="W331" s="12">
        <v>79</v>
      </c>
      <c r="X331" s="12">
        <v>79</v>
      </c>
      <c r="Y331" s="12">
        <v>15</v>
      </c>
      <c r="Z331" s="12">
        <v>13</v>
      </c>
      <c r="AA331" s="15">
        <v>11</v>
      </c>
      <c r="AB331" s="15">
        <v>11</v>
      </c>
      <c r="AC331" s="12">
        <f t="shared" si="338"/>
        <v>0</v>
      </c>
      <c r="AD331" s="12">
        <f t="shared" si="339"/>
        <v>14.035668847618199</v>
      </c>
      <c r="AE331" s="12">
        <f t="shared" si="340"/>
        <v>0</v>
      </c>
      <c r="AF331" s="12">
        <f t="shared" si="341"/>
        <v>0.42640143271122088</v>
      </c>
      <c r="AG331" s="12" t="s">
        <v>193</v>
      </c>
      <c r="AH331" s="12"/>
      <c r="AI331" s="12" t="s">
        <v>780</v>
      </c>
      <c r="AJ331" s="12" t="s">
        <v>642</v>
      </c>
      <c r="AK331" s="12"/>
      <c r="AL331" s="12"/>
      <c r="AM331" s="10" t="s">
        <v>741</v>
      </c>
      <c r="AN331" s="10" t="s">
        <v>157</v>
      </c>
    </row>
    <row r="332" spans="1:40" s="4" customFormat="1" hidden="1" x14ac:dyDescent="0.2">
      <c r="A332" s="4">
        <v>1994</v>
      </c>
      <c r="B332" s="6">
        <v>8282361</v>
      </c>
      <c r="C332" s="4" t="s">
        <v>96</v>
      </c>
      <c r="E332" s="4" t="s">
        <v>157</v>
      </c>
      <c r="F332" s="4" t="s">
        <v>97</v>
      </c>
      <c r="G332" s="4" t="s">
        <v>1100</v>
      </c>
      <c r="H332" s="4" t="s">
        <v>1100</v>
      </c>
      <c r="I332" s="10">
        <v>12</v>
      </c>
      <c r="J332" s="4" t="s">
        <v>929</v>
      </c>
      <c r="K332" s="4" t="s">
        <v>86</v>
      </c>
      <c r="L332" s="10" t="s">
        <v>412</v>
      </c>
      <c r="M332" s="10" t="s">
        <v>903</v>
      </c>
      <c r="N332" s="10" t="s">
        <v>766</v>
      </c>
      <c r="P332" s="4" t="s">
        <v>809</v>
      </c>
      <c r="Q332" s="4">
        <v>3</v>
      </c>
      <c r="R332" s="4">
        <v>6</v>
      </c>
      <c r="T332" s="32">
        <v>50</v>
      </c>
      <c r="U332" s="10" t="s">
        <v>743</v>
      </c>
      <c r="V332" s="4" t="s">
        <v>635</v>
      </c>
      <c r="W332" s="7">
        <v>95</v>
      </c>
      <c r="X332" s="7">
        <v>97</v>
      </c>
      <c r="Y332" s="7">
        <f>3*SQRT(6)</f>
        <v>7.3484692283495336</v>
      </c>
      <c r="Z332" s="7">
        <f>3*SQRT(6)</f>
        <v>7.3484692283495336</v>
      </c>
      <c r="AA332" s="13">
        <v>6</v>
      </c>
      <c r="AB332" s="13">
        <v>6</v>
      </c>
      <c r="AC332" s="7">
        <f t="shared" ref="AC332:AC335" si="342">W332-X332</f>
        <v>-2</v>
      </c>
      <c r="AD332" s="7">
        <f t="shared" ref="AD332:AD335" si="343">SQRT(((AA332-1)*Y332^2+(AB332-1)*Z332^2)/(AA332+AB332-2))</f>
        <v>7.3484692283495336</v>
      </c>
      <c r="AE332" s="7">
        <f t="shared" ref="AE332:AE335" si="344">AC332/AD332</f>
        <v>-0.27216552697590868</v>
      </c>
      <c r="AF332" s="7">
        <f t="shared" ref="AF332:AF335" si="345">SQRT(((AA332+AB332)/(AA332*AB332)+(AE332^2/(2*(AA332+AB332)))))</f>
        <v>0.58001702827280832</v>
      </c>
      <c r="AG332" s="7" t="s">
        <v>193</v>
      </c>
      <c r="AI332" s="4" t="s">
        <v>780</v>
      </c>
      <c r="AJ332" s="12" t="s">
        <v>328</v>
      </c>
      <c r="AL332" s="12" t="s">
        <v>1314</v>
      </c>
      <c r="AM332" s="10" t="s">
        <v>742</v>
      </c>
      <c r="AN332" s="4" t="s">
        <v>157</v>
      </c>
    </row>
    <row r="333" spans="1:40" s="10" customFormat="1" hidden="1" x14ac:dyDescent="0.2">
      <c r="A333" s="4">
        <v>1994</v>
      </c>
      <c r="B333" s="6">
        <v>8282361</v>
      </c>
      <c r="C333" s="4" t="s">
        <v>96</v>
      </c>
      <c r="D333" s="4"/>
      <c r="E333" s="4" t="s">
        <v>157</v>
      </c>
      <c r="F333" s="4" t="s">
        <v>97</v>
      </c>
      <c r="G333" s="4" t="s">
        <v>1100</v>
      </c>
      <c r="H333" s="4" t="s">
        <v>1100</v>
      </c>
      <c r="I333" s="10">
        <v>12</v>
      </c>
      <c r="J333" s="4" t="s">
        <v>929</v>
      </c>
      <c r="K333" s="4" t="s">
        <v>86</v>
      </c>
      <c r="L333" s="10" t="s">
        <v>412</v>
      </c>
      <c r="M333" s="10" t="s">
        <v>903</v>
      </c>
      <c r="N333" s="10" t="s">
        <v>766</v>
      </c>
      <c r="O333" s="4"/>
      <c r="P333" s="4" t="s">
        <v>809</v>
      </c>
      <c r="Q333" s="4">
        <v>3</v>
      </c>
      <c r="R333" s="4">
        <v>6</v>
      </c>
      <c r="S333" s="4"/>
      <c r="T333" s="32">
        <v>50</v>
      </c>
      <c r="U333" s="10" t="s">
        <v>744</v>
      </c>
      <c r="V333" s="4" t="s">
        <v>635</v>
      </c>
      <c r="W333" s="12">
        <v>96</v>
      </c>
      <c r="X333" s="12">
        <v>100</v>
      </c>
      <c r="Y333" s="7">
        <f t="shared" ref="Y333:Z335" si="346">3*SQRT(6)</f>
        <v>7.3484692283495336</v>
      </c>
      <c r="Z333" s="7">
        <f t="shared" si="346"/>
        <v>7.3484692283495336</v>
      </c>
      <c r="AA333" s="13">
        <v>6</v>
      </c>
      <c r="AB333" s="13">
        <v>6</v>
      </c>
      <c r="AC333" s="12">
        <f t="shared" si="342"/>
        <v>-4</v>
      </c>
      <c r="AD333" s="12">
        <f t="shared" si="343"/>
        <v>7.3484692283495336</v>
      </c>
      <c r="AE333" s="12">
        <f t="shared" si="344"/>
        <v>-0.54433105395181736</v>
      </c>
      <c r="AF333" s="12">
        <f t="shared" si="345"/>
        <v>0.58794473579213125</v>
      </c>
      <c r="AG333" s="12" t="s">
        <v>157</v>
      </c>
      <c r="AH333" s="12"/>
      <c r="AI333" s="12" t="s">
        <v>780</v>
      </c>
      <c r="AJ333" s="12" t="s">
        <v>328</v>
      </c>
      <c r="AK333" s="12"/>
      <c r="AL333" s="12" t="s">
        <v>1314</v>
      </c>
      <c r="AM333" s="10" t="s">
        <v>742</v>
      </c>
      <c r="AN333" s="10" t="s">
        <v>157</v>
      </c>
    </row>
    <row r="334" spans="1:40" s="10" customFormat="1" hidden="1" x14ac:dyDescent="0.2">
      <c r="A334" s="4">
        <v>1994</v>
      </c>
      <c r="B334" s="6">
        <v>8282361</v>
      </c>
      <c r="C334" s="4" t="s">
        <v>96</v>
      </c>
      <c r="D334" s="4"/>
      <c r="E334" s="4" t="s">
        <v>157</v>
      </c>
      <c r="F334" s="4" t="s">
        <v>97</v>
      </c>
      <c r="G334" s="4" t="s">
        <v>1100</v>
      </c>
      <c r="H334" s="4" t="s">
        <v>1100</v>
      </c>
      <c r="I334" s="10">
        <v>12</v>
      </c>
      <c r="J334" s="4" t="s">
        <v>929</v>
      </c>
      <c r="K334" s="4" t="s">
        <v>86</v>
      </c>
      <c r="L334" s="10" t="s">
        <v>412</v>
      </c>
      <c r="M334" s="10" t="s">
        <v>903</v>
      </c>
      <c r="N334" s="10" t="s">
        <v>766</v>
      </c>
      <c r="O334" s="4"/>
      <c r="P334" s="4" t="s">
        <v>809</v>
      </c>
      <c r="Q334" s="4">
        <v>3</v>
      </c>
      <c r="R334" s="4">
        <v>6</v>
      </c>
      <c r="S334" s="4"/>
      <c r="T334" s="32">
        <v>50</v>
      </c>
      <c r="U334" s="10" t="s">
        <v>853</v>
      </c>
      <c r="V334" s="4" t="s">
        <v>635</v>
      </c>
      <c r="W334" s="12">
        <v>98</v>
      </c>
      <c r="X334" s="12">
        <v>102</v>
      </c>
      <c r="Y334" s="7">
        <f t="shared" si="346"/>
        <v>7.3484692283495336</v>
      </c>
      <c r="Z334" s="7">
        <f t="shared" si="346"/>
        <v>7.3484692283495336</v>
      </c>
      <c r="AA334" s="13">
        <v>6</v>
      </c>
      <c r="AB334" s="13">
        <v>6</v>
      </c>
      <c r="AC334" s="12">
        <f t="shared" si="342"/>
        <v>-4</v>
      </c>
      <c r="AD334" s="12">
        <f t="shared" si="343"/>
        <v>7.3484692283495336</v>
      </c>
      <c r="AE334" s="12">
        <f t="shared" si="344"/>
        <v>-0.54433105395181736</v>
      </c>
      <c r="AF334" s="12">
        <f t="shared" si="345"/>
        <v>0.58794473579213125</v>
      </c>
      <c r="AG334" s="12" t="s">
        <v>193</v>
      </c>
      <c r="AH334" s="12" t="s">
        <v>193</v>
      </c>
      <c r="AI334" s="12" t="s">
        <v>780</v>
      </c>
      <c r="AJ334" s="12" t="s">
        <v>328</v>
      </c>
      <c r="AK334" s="12"/>
      <c r="AL334" s="12" t="s">
        <v>1314</v>
      </c>
      <c r="AM334" s="10" t="s">
        <v>742</v>
      </c>
      <c r="AN334" s="10" t="s">
        <v>157</v>
      </c>
    </row>
    <row r="335" spans="1:40" s="10" customFormat="1" hidden="1" x14ac:dyDescent="0.2">
      <c r="A335" s="4">
        <v>1994</v>
      </c>
      <c r="B335" s="6">
        <v>8282361</v>
      </c>
      <c r="C335" s="4" t="s">
        <v>96</v>
      </c>
      <c r="D335" s="4"/>
      <c r="E335" s="4" t="s">
        <v>157</v>
      </c>
      <c r="F335" s="4" t="s">
        <v>97</v>
      </c>
      <c r="G335" s="4" t="s">
        <v>1100</v>
      </c>
      <c r="H335" s="4" t="s">
        <v>1100</v>
      </c>
      <c r="I335" s="10">
        <v>12</v>
      </c>
      <c r="J335" s="4" t="s">
        <v>929</v>
      </c>
      <c r="K335" s="4" t="s">
        <v>86</v>
      </c>
      <c r="L335" s="10" t="s">
        <v>412</v>
      </c>
      <c r="M335" s="10" t="s">
        <v>903</v>
      </c>
      <c r="N335" s="10" t="s">
        <v>766</v>
      </c>
      <c r="O335" s="4"/>
      <c r="P335" s="4" t="s">
        <v>809</v>
      </c>
      <c r="Q335" s="4">
        <v>3</v>
      </c>
      <c r="R335" s="4">
        <v>6</v>
      </c>
      <c r="S335" s="4"/>
      <c r="T335" s="32">
        <v>50</v>
      </c>
      <c r="U335" s="10" t="s">
        <v>854</v>
      </c>
      <c r="V335" s="4" t="s">
        <v>635</v>
      </c>
      <c r="W335" s="12">
        <v>90</v>
      </c>
      <c r="X335" s="12">
        <v>90</v>
      </c>
      <c r="Y335" s="7">
        <f t="shared" si="346"/>
        <v>7.3484692283495336</v>
      </c>
      <c r="Z335" s="7">
        <f t="shared" si="346"/>
        <v>7.3484692283495336</v>
      </c>
      <c r="AA335" s="13">
        <v>6</v>
      </c>
      <c r="AB335" s="13">
        <v>6</v>
      </c>
      <c r="AC335" s="12">
        <f t="shared" si="342"/>
        <v>0</v>
      </c>
      <c r="AD335" s="12">
        <f t="shared" si="343"/>
        <v>7.3484692283495336</v>
      </c>
      <c r="AE335" s="12">
        <f t="shared" si="344"/>
        <v>0</v>
      </c>
      <c r="AF335" s="12">
        <f t="shared" si="345"/>
        <v>0.57735026918962573</v>
      </c>
      <c r="AG335" s="12" t="s">
        <v>193</v>
      </c>
      <c r="AH335" s="12"/>
      <c r="AI335" s="12" t="s">
        <v>780</v>
      </c>
      <c r="AJ335" s="12" t="s">
        <v>642</v>
      </c>
      <c r="AK335" s="12"/>
      <c r="AL335" s="12" t="s">
        <v>1314</v>
      </c>
      <c r="AM335" s="10" t="s">
        <v>742</v>
      </c>
      <c r="AN335" s="10" t="s">
        <v>157</v>
      </c>
    </row>
    <row r="336" spans="1:40" s="10" customFormat="1" hidden="1" x14ac:dyDescent="0.2">
      <c r="A336" s="4">
        <v>1993</v>
      </c>
      <c r="B336" s="6">
        <v>8335427</v>
      </c>
      <c r="C336" s="4" t="s">
        <v>102</v>
      </c>
      <c r="D336" s="4"/>
      <c r="E336" s="4" t="s">
        <v>157</v>
      </c>
      <c r="F336" s="4" t="s">
        <v>94</v>
      </c>
      <c r="G336" s="4" t="s">
        <v>95</v>
      </c>
      <c r="H336" s="4" t="s">
        <v>95</v>
      </c>
      <c r="I336" s="4">
        <v>21.4</v>
      </c>
      <c r="J336" s="4" t="s">
        <v>86</v>
      </c>
      <c r="K336" s="4" t="s">
        <v>86</v>
      </c>
      <c r="L336" s="10" t="s">
        <v>156</v>
      </c>
      <c r="M336" s="10" t="s">
        <v>903</v>
      </c>
      <c r="N336" s="10" t="s">
        <v>766</v>
      </c>
      <c r="O336" s="4"/>
      <c r="P336" s="4" t="s">
        <v>809</v>
      </c>
      <c r="Q336" s="4">
        <v>2</v>
      </c>
      <c r="R336" s="4">
        <v>10</v>
      </c>
      <c r="S336" s="4"/>
      <c r="T336" s="32"/>
      <c r="U336" s="4" t="s">
        <v>640</v>
      </c>
      <c r="V336" s="10" t="s">
        <v>642</v>
      </c>
      <c r="W336" s="4">
        <v>131</v>
      </c>
      <c r="X336" s="7">
        <v>138</v>
      </c>
      <c r="Y336" s="7">
        <v>23</v>
      </c>
      <c r="Z336" s="7">
        <v>21</v>
      </c>
      <c r="AA336" s="15">
        <v>10</v>
      </c>
      <c r="AB336" s="15">
        <v>10</v>
      </c>
      <c r="AC336" s="12">
        <f t="shared" ref="AC336:AC337" si="347">W336-X336</f>
        <v>-7</v>
      </c>
      <c r="AD336" s="12">
        <f t="shared" ref="AD336:AD337" si="348">SQRT(((AA336-1)*Y336^2+(AB336-1)*Z336^2)/(AA336+AB336-2))</f>
        <v>22.022715545545239</v>
      </c>
      <c r="AE336" s="12">
        <f t="shared" ref="AE336:AE337" si="349">AC336/AD336</f>
        <v>-0.31785362643054987</v>
      </c>
      <c r="AF336" s="12">
        <f t="shared" ref="AF336:AF337" si="350">SQRT(((AA336+AB336)/(AA336*AB336)+(AE336^2/(2*(AA336+AB336)))))</f>
        <v>0.45002863597317483</v>
      </c>
      <c r="AG336" s="12" t="s">
        <v>193</v>
      </c>
      <c r="AH336" s="12" t="s">
        <v>193</v>
      </c>
      <c r="AI336" s="12" t="s">
        <v>780</v>
      </c>
      <c r="AJ336" s="12" t="s">
        <v>328</v>
      </c>
      <c r="AK336" s="12"/>
      <c r="AL336" s="12"/>
      <c r="AM336" s="10" t="s">
        <v>748</v>
      </c>
      <c r="AN336" s="10" t="s">
        <v>157</v>
      </c>
    </row>
    <row r="337" spans="1:40" s="10" customFormat="1" hidden="1" x14ac:dyDescent="0.2">
      <c r="A337" s="4">
        <v>1993</v>
      </c>
      <c r="B337" s="6">
        <v>8335427</v>
      </c>
      <c r="C337" s="4" t="s">
        <v>102</v>
      </c>
      <c r="D337" s="4"/>
      <c r="E337" s="4" t="s">
        <v>157</v>
      </c>
      <c r="F337" s="4" t="s">
        <v>94</v>
      </c>
      <c r="G337" s="4" t="s">
        <v>95</v>
      </c>
      <c r="H337" s="4" t="s">
        <v>95</v>
      </c>
      <c r="I337" s="4">
        <v>21.4</v>
      </c>
      <c r="J337" s="4" t="s">
        <v>86</v>
      </c>
      <c r="K337" s="4" t="s">
        <v>86</v>
      </c>
      <c r="L337" s="10" t="s">
        <v>156</v>
      </c>
      <c r="M337" s="10" t="s">
        <v>903</v>
      </c>
      <c r="N337" s="10" t="s">
        <v>766</v>
      </c>
      <c r="O337" s="4"/>
      <c r="P337" s="4" t="s">
        <v>809</v>
      </c>
      <c r="Q337" s="4">
        <v>2</v>
      </c>
      <c r="R337" s="4">
        <v>10</v>
      </c>
      <c r="S337" s="4"/>
      <c r="T337" s="32"/>
      <c r="U337" s="4" t="s">
        <v>641</v>
      </c>
      <c r="V337" s="10" t="s">
        <v>642</v>
      </c>
      <c r="W337" s="4">
        <v>83</v>
      </c>
      <c r="X337" s="7">
        <v>86</v>
      </c>
      <c r="Y337" s="7">
        <v>16</v>
      </c>
      <c r="Z337" s="7">
        <v>9</v>
      </c>
      <c r="AA337" s="15">
        <v>10</v>
      </c>
      <c r="AB337" s="15">
        <v>10</v>
      </c>
      <c r="AC337" s="12">
        <f t="shared" si="347"/>
        <v>-3</v>
      </c>
      <c r="AD337" s="12">
        <f t="shared" si="348"/>
        <v>12.98075498574717</v>
      </c>
      <c r="AE337" s="12">
        <f t="shared" si="349"/>
        <v>-0.23111136473140359</v>
      </c>
      <c r="AF337" s="12">
        <f t="shared" si="350"/>
        <v>0.44870403561000022</v>
      </c>
      <c r="AG337" s="12" t="s">
        <v>193</v>
      </c>
      <c r="AH337" s="12"/>
      <c r="AI337" s="12" t="s">
        <v>780</v>
      </c>
      <c r="AJ337" s="12" t="s">
        <v>328</v>
      </c>
      <c r="AK337" s="12"/>
      <c r="AL337" s="12"/>
      <c r="AM337" s="10" t="s">
        <v>748</v>
      </c>
      <c r="AN337" s="10" t="s">
        <v>157</v>
      </c>
    </row>
    <row r="338" spans="1:40" s="10" customFormat="1" hidden="1" x14ac:dyDescent="0.2">
      <c r="A338" s="10">
        <v>1993</v>
      </c>
      <c r="B338" s="10">
        <v>8448068</v>
      </c>
      <c r="C338" s="10" t="s">
        <v>100</v>
      </c>
      <c r="E338" s="10" t="s">
        <v>157</v>
      </c>
      <c r="F338" s="10" t="s">
        <v>97</v>
      </c>
      <c r="G338" s="4" t="s">
        <v>1100</v>
      </c>
      <c r="H338" s="4" t="s">
        <v>1100</v>
      </c>
      <c r="I338" s="10">
        <v>12</v>
      </c>
      <c r="J338" s="10" t="s">
        <v>86</v>
      </c>
      <c r="K338" s="10" t="s">
        <v>86</v>
      </c>
      <c r="L338" s="10" t="s">
        <v>156</v>
      </c>
      <c r="M338" s="10" t="s">
        <v>903</v>
      </c>
      <c r="N338" s="10" t="s">
        <v>766</v>
      </c>
      <c r="P338" s="10" t="s">
        <v>809</v>
      </c>
      <c r="Q338" s="10">
        <v>2</v>
      </c>
      <c r="R338" s="10">
        <v>18</v>
      </c>
      <c r="S338" s="10">
        <v>55</v>
      </c>
      <c r="T338" s="13">
        <v>44</v>
      </c>
      <c r="U338" s="10" t="s">
        <v>640</v>
      </c>
      <c r="V338" s="10" t="s">
        <v>642</v>
      </c>
      <c r="W338" s="12">
        <v>131.6</v>
      </c>
      <c r="X338" s="12">
        <v>132.4</v>
      </c>
      <c r="Y338" s="12">
        <f>2.5*SQRT(18)</f>
        <v>10.606601717798211</v>
      </c>
      <c r="Z338" s="12">
        <f>2.6*SQRT(18)</f>
        <v>11.030865786510141</v>
      </c>
      <c r="AA338" s="15">
        <v>18</v>
      </c>
      <c r="AB338" s="15">
        <v>18</v>
      </c>
      <c r="AC338" s="12">
        <f t="shared" ref="AC338:AC343" si="351">W338-X338</f>
        <v>-0.80000000000001137</v>
      </c>
      <c r="AD338" s="12">
        <f t="shared" ref="AD338:AD343" si="352">SQRT(((AA338-1)*Y338^2+(AB338-1)*Z338^2)/(AA338+AB338-2))</f>
        <v>10.820813278122859</v>
      </c>
      <c r="AE338" s="12">
        <f t="shared" ref="AE338:AE343" si="353">AC338/AD338</f>
        <v>-7.393159640019141E-2</v>
      </c>
      <c r="AF338" s="12">
        <f t="shared" ref="AF338:AF343" si="354">SQRT(((AA338+AB338)/(AA338*AB338)+(AE338^2/(2*(AA338+AB338)))))</f>
        <v>0.33344718640926319</v>
      </c>
      <c r="AG338" s="12" t="s">
        <v>193</v>
      </c>
      <c r="AH338" s="12"/>
      <c r="AI338" s="12" t="s">
        <v>780</v>
      </c>
      <c r="AJ338" s="12" t="s">
        <v>328</v>
      </c>
      <c r="AK338" s="12"/>
      <c r="AL338" s="12"/>
      <c r="AM338" s="10" t="s">
        <v>747</v>
      </c>
      <c r="AN338" s="10" t="s">
        <v>157</v>
      </c>
    </row>
    <row r="339" spans="1:40" s="10" customFormat="1" hidden="1" x14ac:dyDescent="0.2">
      <c r="A339" s="10">
        <v>1993</v>
      </c>
      <c r="B339" s="10">
        <v>8448068</v>
      </c>
      <c r="C339" s="10" t="s">
        <v>100</v>
      </c>
      <c r="E339" s="10" t="s">
        <v>157</v>
      </c>
      <c r="F339" s="10" t="s">
        <v>97</v>
      </c>
      <c r="G339" s="4" t="s">
        <v>1100</v>
      </c>
      <c r="H339" s="4" t="s">
        <v>1100</v>
      </c>
      <c r="I339" s="10">
        <v>12</v>
      </c>
      <c r="J339" s="10" t="s">
        <v>86</v>
      </c>
      <c r="K339" s="10" t="s">
        <v>86</v>
      </c>
      <c r="L339" s="10" t="s">
        <v>156</v>
      </c>
      <c r="M339" s="10" t="s">
        <v>903</v>
      </c>
      <c r="N339" s="10" t="s">
        <v>766</v>
      </c>
      <c r="P339" s="10" t="s">
        <v>809</v>
      </c>
      <c r="Q339" s="10">
        <v>2</v>
      </c>
      <c r="R339" s="10">
        <v>18</v>
      </c>
      <c r="S339" s="10">
        <v>55</v>
      </c>
      <c r="T339" s="13">
        <v>44</v>
      </c>
      <c r="U339" s="10" t="s">
        <v>641</v>
      </c>
      <c r="V339" s="10" t="s">
        <v>642</v>
      </c>
      <c r="W339" s="12">
        <v>81.099999999999994</v>
      </c>
      <c r="X339" s="12">
        <v>81.599999999999994</v>
      </c>
      <c r="Y339" s="12">
        <f>1.7*SQRT(18)</f>
        <v>7.2124891681027838</v>
      </c>
      <c r="Z339" s="12">
        <f>1.9*SQRT(18)</f>
        <v>8.0610173055266401</v>
      </c>
      <c r="AA339" s="15">
        <v>18</v>
      </c>
      <c r="AB339" s="15">
        <v>18</v>
      </c>
      <c r="AC339" s="12">
        <f t="shared" si="351"/>
        <v>-0.5</v>
      </c>
      <c r="AD339" s="12">
        <f t="shared" si="352"/>
        <v>7.6485292703891767</v>
      </c>
      <c r="AE339" s="12">
        <f t="shared" si="353"/>
        <v>-6.5372045046061353E-2</v>
      </c>
      <c r="AF339" s="12">
        <f t="shared" si="354"/>
        <v>0.33342235278567034</v>
      </c>
      <c r="AG339" s="12" t="s">
        <v>193</v>
      </c>
      <c r="AH339" s="12"/>
      <c r="AI339" s="12" t="s">
        <v>780</v>
      </c>
      <c r="AJ339" s="12" t="s">
        <v>328</v>
      </c>
      <c r="AK339" s="12"/>
      <c r="AL339" s="12"/>
      <c r="AM339" s="10" t="s">
        <v>747</v>
      </c>
      <c r="AN339" s="10" t="s">
        <v>157</v>
      </c>
    </row>
    <row r="340" spans="1:40" s="10" customFormat="1" hidden="1" x14ac:dyDescent="0.2">
      <c r="A340" s="10">
        <v>1993</v>
      </c>
      <c r="B340" s="10">
        <v>8448068</v>
      </c>
      <c r="C340" s="10" t="s">
        <v>100</v>
      </c>
      <c r="E340" s="10" t="s">
        <v>157</v>
      </c>
      <c r="F340" s="10" t="s">
        <v>97</v>
      </c>
      <c r="G340" s="4" t="s">
        <v>1100</v>
      </c>
      <c r="H340" s="4" t="s">
        <v>1100</v>
      </c>
      <c r="I340" s="10">
        <v>12</v>
      </c>
      <c r="J340" s="10" t="s">
        <v>86</v>
      </c>
      <c r="K340" s="10" t="s">
        <v>86</v>
      </c>
      <c r="L340" s="10" t="s">
        <v>156</v>
      </c>
      <c r="M340" s="10" t="s">
        <v>903</v>
      </c>
      <c r="N340" s="10" t="s">
        <v>766</v>
      </c>
      <c r="P340" s="10" t="s">
        <v>809</v>
      </c>
      <c r="Q340" s="10">
        <v>2</v>
      </c>
      <c r="R340" s="10">
        <v>18</v>
      </c>
      <c r="S340" s="10">
        <v>55</v>
      </c>
      <c r="T340" s="13">
        <v>44</v>
      </c>
      <c r="U340" s="10" t="s">
        <v>644</v>
      </c>
      <c r="V340" s="10" t="s">
        <v>642</v>
      </c>
      <c r="W340" s="12">
        <v>134.6</v>
      </c>
      <c r="X340" s="12">
        <v>136.4</v>
      </c>
      <c r="Y340" s="12">
        <f>2.4*SQRT(18)</f>
        <v>10.182337649086284</v>
      </c>
      <c r="Z340" s="12">
        <f>2.7*SQRT(18)</f>
        <v>11.45512985522207</v>
      </c>
      <c r="AA340" s="15">
        <v>18</v>
      </c>
      <c r="AB340" s="15">
        <v>18</v>
      </c>
      <c r="AC340" s="12">
        <f t="shared" si="351"/>
        <v>-1.8000000000000114</v>
      </c>
      <c r="AD340" s="12">
        <f t="shared" si="352"/>
        <v>10.837435120913065</v>
      </c>
      <c r="AE340" s="12">
        <f t="shared" si="353"/>
        <v>-0.166090959707481</v>
      </c>
      <c r="AF340" s="12">
        <f t="shared" si="354"/>
        <v>0.33390755138745098</v>
      </c>
      <c r="AG340" s="12" t="s">
        <v>193</v>
      </c>
      <c r="AH340" s="12" t="s">
        <v>193</v>
      </c>
      <c r="AI340" s="12" t="s">
        <v>780</v>
      </c>
      <c r="AJ340" s="12" t="s">
        <v>328</v>
      </c>
      <c r="AK340" s="12"/>
      <c r="AL340" s="12"/>
      <c r="AM340" s="10" t="s">
        <v>747</v>
      </c>
      <c r="AN340" s="10" t="s">
        <v>157</v>
      </c>
    </row>
    <row r="341" spans="1:40" s="10" customFormat="1" hidden="1" x14ac:dyDescent="0.2">
      <c r="A341" s="10">
        <v>1993</v>
      </c>
      <c r="B341" s="10">
        <v>8448068</v>
      </c>
      <c r="C341" s="10" t="s">
        <v>100</v>
      </c>
      <c r="E341" s="10" t="s">
        <v>157</v>
      </c>
      <c r="F341" s="10" t="s">
        <v>97</v>
      </c>
      <c r="G341" s="4" t="s">
        <v>1100</v>
      </c>
      <c r="H341" s="4" t="s">
        <v>1100</v>
      </c>
      <c r="I341" s="10">
        <v>12</v>
      </c>
      <c r="J341" s="10" t="s">
        <v>86</v>
      </c>
      <c r="K341" s="10" t="s">
        <v>86</v>
      </c>
      <c r="L341" s="10" t="s">
        <v>156</v>
      </c>
      <c r="M341" s="10" t="s">
        <v>903</v>
      </c>
      <c r="N341" s="10" t="s">
        <v>766</v>
      </c>
      <c r="P341" s="10" t="s">
        <v>809</v>
      </c>
      <c r="Q341" s="10">
        <v>2</v>
      </c>
      <c r="R341" s="10">
        <v>18</v>
      </c>
      <c r="S341" s="10">
        <v>55</v>
      </c>
      <c r="T341" s="13">
        <v>44</v>
      </c>
      <c r="U341" s="10" t="s">
        <v>645</v>
      </c>
      <c r="V341" s="10" t="s">
        <v>642</v>
      </c>
      <c r="W341" s="12">
        <v>83.9</v>
      </c>
      <c r="X341" s="12">
        <v>84.9</v>
      </c>
      <c r="Y341" s="12">
        <f>1.8*SQRT(18)</f>
        <v>7.6367532368147124</v>
      </c>
      <c r="Z341" s="12">
        <f>2.1*SQRT(18)</f>
        <v>8.909545442950499</v>
      </c>
      <c r="AA341" s="15">
        <v>18</v>
      </c>
      <c r="AB341" s="15">
        <v>18</v>
      </c>
      <c r="AC341" s="12">
        <f t="shared" si="351"/>
        <v>-1</v>
      </c>
      <c r="AD341" s="12">
        <f t="shared" si="352"/>
        <v>8.2975900115635994</v>
      </c>
      <c r="AE341" s="12">
        <f t="shared" si="353"/>
        <v>-0.12051692101036453</v>
      </c>
      <c r="AF341" s="12">
        <f t="shared" si="354"/>
        <v>0.33363578628851942</v>
      </c>
      <c r="AG341" s="12" t="s">
        <v>193</v>
      </c>
      <c r="AH341" s="12"/>
      <c r="AI341" s="12" t="s">
        <v>780</v>
      </c>
      <c r="AJ341" s="12" t="s">
        <v>328</v>
      </c>
      <c r="AK341" s="12"/>
      <c r="AL341" s="12"/>
      <c r="AM341" s="10" t="s">
        <v>747</v>
      </c>
      <c r="AN341" s="10" t="s">
        <v>157</v>
      </c>
    </row>
    <row r="342" spans="1:40" s="10" customFormat="1" hidden="1" x14ac:dyDescent="0.2">
      <c r="A342" s="10">
        <v>1993</v>
      </c>
      <c r="B342" s="10">
        <v>8448068</v>
      </c>
      <c r="C342" s="10" t="s">
        <v>100</v>
      </c>
      <c r="E342" s="10" t="s">
        <v>157</v>
      </c>
      <c r="F342" s="10" t="s">
        <v>97</v>
      </c>
      <c r="G342" s="4" t="s">
        <v>1100</v>
      </c>
      <c r="H342" s="4" t="s">
        <v>1100</v>
      </c>
      <c r="I342" s="10">
        <v>12</v>
      </c>
      <c r="J342" s="10" t="s">
        <v>86</v>
      </c>
      <c r="K342" s="10" t="s">
        <v>86</v>
      </c>
      <c r="L342" s="10" t="s">
        <v>156</v>
      </c>
      <c r="M342" s="10" t="s">
        <v>903</v>
      </c>
      <c r="N342" s="10" t="s">
        <v>766</v>
      </c>
      <c r="P342" s="10" t="s">
        <v>809</v>
      </c>
      <c r="Q342" s="10">
        <v>2</v>
      </c>
      <c r="R342" s="10">
        <v>18</v>
      </c>
      <c r="S342" s="10">
        <v>55</v>
      </c>
      <c r="T342" s="13">
        <v>44</v>
      </c>
      <c r="U342" s="10" t="s">
        <v>637</v>
      </c>
      <c r="V342" s="10" t="s">
        <v>642</v>
      </c>
      <c r="W342" s="12">
        <v>126.5</v>
      </c>
      <c r="X342" s="12">
        <v>125.8</v>
      </c>
      <c r="Y342" s="12">
        <f>3.1*SQRT(18)</f>
        <v>13.152186130069783</v>
      </c>
      <c r="Z342" s="12">
        <f>2.8*SQRT(18)</f>
        <v>11.879393923933996</v>
      </c>
      <c r="AA342" s="15">
        <v>18</v>
      </c>
      <c r="AB342" s="15">
        <v>18</v>
      </c>
      <c r="AC342" s="12">
        <f t="shared" si="351"/>
        <v>0.70000000000000284</v>
      </c>
      <c r="AD342" s="12">
        <f t="shared" si="352"/>
        <v>12.531959144523253</v>
      </c>
      <c r="AE342" s="12">
        <f t="shared" si="353"/>
        <v>5.5857188164064403E-2</v>
      </c>
      <c r="AF342" s="12">
        <f t="shared" si="354"/>
        <v>0.33339832752758197</v>
      </c>
      <c r="AG342" s="12" t="s">
        <v>193</v>
      </c>
      <c r="AH342" s="12"/>
      <c r="AI342" s="12" t="s">
        <v>780</v>
      </c>
      <c r="AJ342" s="12" t="s">
        <v>348</v>
      </c>
      <c r="AK342" s="12"/>
      <c r="AL342" s="12"/>
      <c r="AM342" s="10" t="s">
        <v>747</v>
      </c>
      <c r="AN342" s="10" t="s">
        <v>157</v>
      </c>
    </row>
    <row r="343" spans="1:40" s="10" customFormat="1" hidden="1" x14ac:dyDescent="0.2">
      <c r="A343" s="10">
        <v>1993</v>
      </c>
      <c r="B343" s="10">
        <v>8448068</v>
      </c>
      <c r="C343" s="10" t="s">
        <v>100</v>
      </c>
      <c r="E343" s="10" t="s">
        <v>157</v>
      </c>
      <c r="F343" s="10" t="s">
        <v>97</v>
      </c>
      <c r="G343" s="4" t="s">
        <v>1100</v>
      </c>
      <c r="H343" s="4" t="s">
        <v>1100</v>
      </c>
      <c r="I343" s="10">
        <v>12</v>
      </c>
      <c r="J343" s="10" t="s">
        <v>86</v>
      </c>
      <c r="K343" s="10" t="s">
        <v>86</v>
      </c>
      <c r="L343" s="10" t="s">
        <v>156</v>
      </c>
      <c r="M343" s="10" t="s">
        <v>903</v>
      </c>
      <c r="N343" s="10" t="s">
        <v>766</v>
      </c>
      <c r="P343" s="10" t="s">
        <v>809</v>
      </c>
      <c r="Q343" s="10">
        <v>2</v>
      </c>
      <c r="R343" s="10">
        <v>18</v>
      </c>
      <c r="S343" s="10">
        <v>55</v>
      </c>
      <c r="T343" s="13">
        <v>44</v>
      </c>
      <c r="U343" s="10" t="s">
        <v>638</v>
      </c>
      <c r="V343" s="10" t="s">
        <v>642</v>
      </c>
      <c r="W343" s="12">
        <v>76.3</v>
      </c>
      <c r="X343" s="12">
        <v>76</v>
      </c>
      <c r="Y343" s="12">
        <f>1.7*SQRT(18)</f>
        <v>7.2124891681027838</v>
      </c>
      <c r="Z343" s="12">
        <f>1.7*SQRT(18)</f>
        <v>7.2124891681027838</v>
      </c>
      <c r="AA343" s="15">
        <v>18</v>
      </c>
      <c r="AB343" s="15">
        <v>18</v>
      </c>
      <c r="AC343" s="12">
        <f t="shared" si="351"/>
        <v>0.29999999999999716</v>
      </c>
      <c r="AD343" s="12">
        <f t="shared" si="352"/>
        <v>7.2124891681027838</v>
      </c>
      <c r="AE343" s="12">
        <f t="shared" si="353"/>
        <v>4.1594516540384763E-2</v>
      </c>
      <c r="AF343" s="12">
        <f t="shared" si="354"/>
        <v>0.33336937521410398</v>
      </c>
      <c r="AG343" s="12" t="s">
        <v>193</v>
      </c>
      <c r="AH343" s="12"/>
      <c r="AI343" s="12" t="s">
        <v>780</v>
      </c>
      <c r="AJ343" s="12" t="s">
        <v>348</v>
      </c>
      <c r="AK343" s="12"/>
      <c r="AL343" s="12"/>
      <c r="AM343" s="10" t="s">
        <v>747</v>
      </c>
      <c r="AN343" s="10" t="s">
        <v>157</v>
      </c>
    </row>
    <row r="344" spans="1:40" s="10" customFormat="1" hidden="1" x14ac:dyDescent="0.2">
      <c r="A344" s="10">
        <v>1992</v>
      </c>
      <c r="B344" s="6">
        <v>1799931</v>
      </c>
      <c r="C344" s="10" t="s">
        <v>90</v>
      </c>
      <c r="E344" s="10" t="s">
        <v>157</v>
      </c>
      <c r="F344" s="10" t="s">
        <v>91</v>
      </c>
      <c r="G344" s="10" t="s">
        <v>752</v>
      </c>
      <c r="H344" s="10" t="s">
        <v>752</v>
      </c>
      <c r="I344" s="10">
        <v>2</v>
      </c>
      <c r="J344" s="10" t="s">
        <v>876</v>
      </c>
      <c r="K344" s="10" t="s">
        <v>86</v>
      </c>
      <c r="L344" s="10" t="s">
        <v>156</v>
      </c>
      <c r="M344" s="10" t="s">
        <v>903</v>
      </c>
      <c r="N344" s="10" t="s">
        <v>766</v>
      </c>
      <c r="P344" s="10" t="s">
        <v>911</v>
      </c>
      <c r="Q344" s="10">
        <v>2</v>
      </c>
      <c r="R344" s="10">
        <v>13</v>
      </c>
      <c r="S344" s="10">
        <v>54</v>
      </c>
      <c r="T344" s="13">
        <v>0</v>
      </c>
      <c r="U344" s="10" t="s">
        <v>640</v>
      </c>
      <c r="V344" s="10" t="s">
        <v>642</v>
      </c>
      <c r="W344" s="12">
        <v>137</v>
      </c>
      <c r="X344" s="12">
        <v>139</v>
      </c>
      <c r="Y344" s="12">
        <v>19</v>
      </c>
      <c r="Z344" s="12">
        <v>22</v>
      </c>
      <c r="AA344" s="15">
        <v>13</v>
      </c>
      <c r="AB344" s="15">
        <v>13</v>
      </c>
      <c r="AC344" s="12">
        <f t="shared" ref="AC344:AC352" si="355">W344-X344</f>
        <v>-2</v>
      </c>
      <c r="AD344" s="12">
        <f t="shared" ref="AD344:AD352" si="356">SQRT(((AA344-1)*Y344^2+(AB344-1)*Z344^2)/(AA344+AB344-2))</f>
        <v>20.554804791094465</v>
      </c>
      <c r="AE344" s="12">
        <f t="shared" ref="AE344:AE352" si="357">AC344/AD344</f>
        <v>-9.7300851082103984E-2</v>
      </c>
      <c r="AF344" s="12">
        <f t="shared" ref="AF344:AF352" si="358">SQRT(((AA344+AB344)/(AA344*AB344)+(AE344^2/(2*(AA344+AB344)))))</f>
        <v>0.39246429175201364</v>
      </c>
      <c r="AG344" s="12" t="s">
        <v>193</v>
      </c>
      <c r="AH344" s="12"/>
      <c r="AI344" s="12" t="s">
        <v>780</v>
      </c>
      <c r="AJ344" s="12" t="s">
        <v>328</v>
      </c>
      <c r="AK344" s="12"/>
      <c r="AL344" s="12"/>
      <c r="AM344" s="10" t="s">
        <v>753</v>
      </c>
      <c r="AN344" s="10" t="s">
        <v>157</v>
      </c>
    </row>
    <row r="345" spans="1:40" s="10" customFormat="1" hidden="1" x14ac:dyDescent="0.2">
      <c r="A345" s="10">
        <v>1992</v>
      </c>
      <c r="B345" s="6">
        <v>1799931</v>
      </c>
      <c r="C345" s="10" t="s">
        <v>90</v>
      </c>
      <c r="E345" s="10" t="s">
        <v>157</v>
      </c>
      <c r="F345" s="10" t="s">
        <v>91</v>
      </c>
      <c r="G345" s="10" t="s">
        <v>752</v>
      </c>
      <c r="H345" s="10" t="s">
        <v>752</v>
      </c>
      <c r="I345" s="10">
        <v>2</v>
      </c>
      <c r="J345" s="10" t="s">
        <v>876</v>
      </c>
      <c r="K345" s="10" t="s">
        <v>86</v>
      </c>
      <c r="L345" s="10" t="s">
        <v>156</v>
      </c>
      <c r="M345" s="10" t="s">
        <v>903</v>
      </c>
      <c r="N345" s="10" t="s">
        <v>766</v>
      </c>
      <c r="P345" s="10" t="s">
        <v>911</v>
      </c>
      <c r="Q345" s="10">
        <v>2</v>
      </c>
      <c r="R345" s="10">
        <v>13</v>
      </c>
      <c r="S345" s="10">
        <v>54</v>
      </c>
      <c r="T345" s="13">
        <v>0</v>
      </c>
      <c r="U345" s="10" t="s">
        <v>641</v>
      </c>
      <c r="V345" s="10" t="s">
        <v>642</v>
      </c>
      <c r="W345" s="12">
        <v>86</v>
      </c>
      <c r="X345" s="12">
        <v>88</v>
      </c>
      <c r="Y345" s="12">
        <v>15</v>
      </c>
      <c r="Z345" s="12">
        <v>17</v>
      </c>
      <c r="AA345" s="15">
        <v>13</v>
      </c>
      <c r="AB345" s="15">
        <v>13</v>
      </c>
      <c r="AC345" s="12">
        <f t="shared" si="355"/>
        <v>-2</v>
      </c>
      <c r="AD345" s="12">
        <f t="shared" si="356"/>
        <v>16.031219541881399</v>
      </c>
      <c r="AE345" s="12">
        <f t="shared" si="357"/>
        <v>-0.12475657231036107</v>
      </c>
      <c r="AF345" s="12">
        <f t="shared" si="358"/>
        <v>0.39261363377946024</v>
      </c>
      <c r="AG345" s="12" t="s">
        <v>193</v>
      </c>
      <c r="AH345" s="12"/>
      <c r="AI345" s="12" t="s">
        <v>780</v>
      </c>
      <c r="AJ345" s="12" t="s">
        <v>328</v>
      </c>
      <c r="AK345" s="12"/>
      <c r="AL345" s="12"/>
      <c r="AM345" s="10" t="s">
        <v>753</v>
      </c>
      <c r="AN345" s="10" t="s">
        <v>157</v>
      </c>
    </row>
    <row r="346" spans="1:40" s="10" customFormat="1" hidden="1" x14ac:dyDescent="0.2">
      <c r="A346" s="10">
        <v>1992</v>
      </c>
      <c r="B346" s="6">
        <v>1799931</v>
      </c>
      <c r="C346" s="10" t="s">
        <v>90</v>
      </c>
      <c r="E346" s="10" t="s">
        <v>157</v>
      </c>
      <c r="F346" s="10" t="s">
        <v>91</v>
      </c>
      <c r="G346" s="10" t="s">
        <v>752</v>
      </c>
      <c r="H346" s="10" t="s">
        <v>752</v>
      </c>
      <c r="I346" s="10">
        <v>2</v>
      </c>
      <c r="J346" s="10" t="s">
        <v>876</v>
      </c>
      <c r="K346" s="10" t="s">
        <v>86</v>
      </c>
      <c r="L346" s="10" t="s">
        <v>156</v>
      </c>
      <c r="M346" s="10" t="s">
        <v>903</v>
      </c>
      <c r="N346" s="10" t="s">
        <v>766</v>
      </c>
      <c r="P346" s="10" t="s">
        <v>911</v>
      </c>
      <c r="Q346" s="10">
        <v>2</v>
      </c>
      <c r="R346" s="10">
        <v>13</v>
      </c>
      <c r="S346" s="10">
        <v>54</v>
      </c>
      <c r="T346" s="13">
        <v>0</v>
      </c>
      <c r="U346" s="10" t="s">
        <v>644</v>
      </c>
      <c r="V346" s="10" t="s">
        <v>635</v>
      </c>
      <c r="W346" s="12">
        <v>136</v>
      </c>
      <c r="X346" s="12">
        <v>147</v>
      </c>
      <c r="Y346" s="12">
        <v>17</v>
      </c>
      <c r="Z346" s="12">
        <v>20</v>
      </c>
      <c r="AA346" s="15">
        <v>13</v>
      </c>
      <c r="AB346" s="15">
        <v>13</v>
      </c>
      <c r="AC346" s="12">
        <f t="shared" si="355"/>
        <v>-11</v>
      </c>
      <c r="AD346" s="12">
        <f t="shared" si="356"/>
        <v>18.560711193270585</v>
      </c>
      <c r="AE346" s="12">
        <f t="shared" si="357"/>
        <v>-0.59264970428440189</v>
      </c>
      <c r="AF346" s="12">
        <f t="shared" si="358"/>
        <v>0.40075010609884842</v>
      </c>
      <c r="AG346" s="12" t="s">
        <v>193</v>
      </c>
      <c r="AH346" s="12" t="s">
        <v>193</v>
      </c>
      <c r="AI346" s="12" t="s">
        <v>780</v>
      </c>
      <c r="AJ346" s="12" t="s">
        <v>328</v>
      </c>
      <c r="AK346" s="12"/>
      <c r="AL346" s="12"/>
      <c r="AM346" s="10" t="s">
        <v>753</v>
      </c>
      <c r="AN346" s="10" t="s">
        <v>157</v>
      </c>
    </row>
    <row r="347" spans="1:40" s="10" customFormat="1" hidden="1" x14ac:dyDescent="0.2">
      <c r="A347" s="10">
        <v>1992</v>
      </c>
      <c r="B347" s="6">
        <v>1799931</v>
      </c>
      <c r="C347" s="10" t="s">
        <v>90</v>
      </c>
      <c r="E347" s="10" t="s">
        <v>157</v>
      </c>
      <c r="F347" s="10" t="s">
        <v>91</v>
      </c>
      <c r="G347" s="10" t="s">
        <v>752</v>
      </c>
      <c r="H347" s="10" t="s">
        <v>752</v>
      </c>
      <c r="I347" s="10">
        <v>2</v>
      </c>
      <c r="J347" s="10" t="s">
        <v>876</v>
      </c>
      <c r="K347" s="10" t="s">
        <v>86</v>
      </c>
      <c r="L347" s="10" t="s">
        <v>156</v>
      </c>
      <c r="M347" s="10" t="s">
        <v>903</v>
      </c>
      <c r="N347" s="10" t="s">
        <v>766</v>
      </c>
      <c r="P347" s="10" t="s">
        <v>911</v>
      </c>
      <c r="Q347" s="10">
        <v>2</v>
      </c>
      <c r="R347" s="10">
        <v>13</v>
      </c>
      <c r="S347" s="10">
        <v>54</v>
      </c>
      <c r="T347" s="13">
        <v>0</v>
      </c>
      <c r="U347" s="10" t="s">
        <v>645</v>
      </c>
      <c r="V347" s="10" t="s">
        <v>635</v>
      </c>
      <c r="W347" s="12">
        <v>88</v>
      </c>
      <c r="X347" s="12">
        <v>94</v>
      </c>
      <c r="Y347" s="12">
        <v>15</v>
      </c>
      <c r="Z347" s="12">
        <v>15</v>
      </c>
      <c r="AA347" s="15">
        <v>13</v>
      </c>
      <c r="AB347" s="15">
        <v>13</v>
      </c>
      <c r="AC347" s="12">
        <f t="shared" si="355"/>
        <v>-6</v>
      </c>
      <c r="AD347" s="12">
        <f t="shared" si="356"/>
        <v>15</v>
      </c>
      <c r="AE347" s="12">
        <f t="shared" si="357"/>
        <v>-0.4</v>
      </c>
      <c r="AF347" s="12">
        <f t="shared" si="358"/>
        <v>0.39613517506411489</v>
      </c>
      <c r="AG347" s="12" t="s">
        <v>193</v>
      </c>
      <c r="AH347" s="12"/>
      <c r="AI347" s="12" t="s">
        <v>780</v>
      </c>
      <c r="AJ347" s="12" t="s">
        <v>328</v>
      </c>
      <c r="AK347" s="12"/>
      <c r="AL347" s="12"/>
      <c r="AM347" s="10" t="s">
        <v>753</v>
      </c>
      <c r="AN347" s="10" t="s">
        <v>157</v>
      </c>
    </row>
    <row r="348" spans="1:40" s="10" customFormat="1" hidden="1" x14ac:dyDescent="0.2">
      <c r="A348" s="10">
        <v>1992</v>
      </c>
      <c r="B348" s="6">
        <v>1799931</v>
      </c>
      <c r="C348" s="10" t="s">
        <v>90</v>
      </c>
      <c r="E348" s="10" t="s">
        <v>157</v>
      </c>
      <c r="F348" s="10" t="s">
        <v>91</v>
      </c>
      <c r="G348" s="10" t="s">
        <v>752</v>
      </c>
      <c r="H348" s="10" t="s">
        <v>752</v>
      </c>
      <c r="I348" s="10">
        <v>2</v>
      </c>
      <c r="J348" s="10" t="s">
        <v>876</v>
      </c>
      <c r="K348" s="10" t="s">
        <v>86</v>
      </c>
      <c r="L348" s="10" t="s">
        <v>156</v>
      </c>
      <c r="M348" s="10" t="s">
        <v>903</v>
      </c>
      <c r="N348" s="10" t="s">
        <v>766</v>
      </c>
      <c r="P348" s="10" t="s">
        <v>911</v>
      </c>
      <c r="Q348" s="10">
        <v>2</v>
      </c>
      <c r="R348" s="10">
        <v>13</v>
      </c>
      <c r="S348" s="10">
        <v>54</v>
      </c>
      <c r="T348" s="13">
        <v>0</v>
      </c>
      <c r="U348" s="10" t="s">
        <v>637</v>
      </c>
      <c r="V348" s="10" t="s">
        <v>642</v>
      </c>
      <c r="W348" s="12">
        <v>127</v>
      </c>
      <c r="X348" s="12">
        <v>126</v>
      </c>
      <c r="Y348" s="12">
        <v>15</v>
      </c>
      <c r="Z348" s="12">
        <v>17</v>
      </c>
      <c r="AA348" s="15">
        <v>13</v>
      </c>
      <c r="AB348" s="15">
        <v>13</v>
      </c>
      <c r="AC348" s="12">
        <f t="shared" si="355"/>
        <v>1</v>
      </c>
      <c r="AD348" s="12">
        <f t="shared" si="356"/>
        <v>16.031219541881399</v>
      </c>
      <c r="AE348" s="12">
        <f t="shared" si="357"/>
        <v>6.2378286155180533E-2</v>
      </c>
      <c r="AF348" s="12">
        <f t="shared" si="358"/>
        <v>0.39232764590580843</v>
      </c>
      <c r="AG348" s="12" t="s">
        <v>193</v>
      </c>
      <c r="AH348" s="12"/>
      <c r="AI348" s="12" t="s">
        <v>780</v>
      </c>
      <c r="AJ348" s="12" t="s">
        <v>348</v>
      </c>
      <c r="AK348" s="12"/>
      <c r="AL348" s="12"/>
      <c r="AM348" s="10" t="s">
        <v>753</v>
      </c>
      <c r="AN348" s="10" t="s">
        <v>157</v>
      </c>
    </row>
    <row r="349" spans="1:40" s="10" customFormat="1" hidden="1" x14ac:dyDescent="0.2">
      <c r="A349" s="10">
        <v>1992</v>
      </c>
      <c r="B349" s="6">
        <v>1799931</v>
      </c>
      <c r="C349" s="10" t="s">
        <v>90</v>
      </c>
      <c r="E349" s="10" t="s">
        <v>157</v>
      </c>
      <c r="F349" s="10" t="s">
        <v>91</v>
      </c>
      <c r="G349" s="10" t="s">
        <v>752</v>
      </c>
      <c r="H349" s="10" t="s">
        <v>752</v>
      </c>
      <c r="I349" s="10">
        <v>2</v>
      </c>
      <c r="J349" s="10" t="s">
        <v>876</v>
      </c>
      <c r="K349" s="10" t="s">
        <v>86</v>
      </c>
      <c r="L349" s="10" t="s">
        <v>156</v>
      </c>
      <c r="M349" s="10" t="s">
        <v>903</v>
      </c>
      <c r="N349" s="10" t="s">
        <v>766</v>
      </c>
      <c r="P349" s="10" t="s">
        <v>911</v>
      </c>
      <c r="Q349" s="10">
        <v>2</v>
      </c>
      <c r="R349" s="10">
        <v>13</v>
      </c>
      <c r="S349" s="10">
        <v>54</v>
      </c>
      <c r="T349" s="13">
        <v>0</v>
      </c>
      <c r="U349" s="10" t="s">
        <v>638</v>
      </c>
      <c r="V349" s="10" t="s">
        <v>642</v>
      </c>
      <c r="W349" s="12">
        <v>79</v>
      </c>
      <c r="X349" s="12">
        <v>78</v>
      </c>
      <c r="Y349" s="12">
        <v>15</v>
      </c>
      <c r="Z349" s="12">
        <v>15</v>
      </c>
      <c r="AA349" s="15">
        <v>13</v>
      </c>
      <c r="AB349" s="15">
        <v>13</v>
      </c>
      <c r="AC349" s="12">
        <f t="shared" si="355"/>
        <v>1</v>
      </c>
      <c r="AD349" s="12">
        <f t="shared" si="356"/>
        <v>15</v>
      </c>
      <c r="AE349" s="12">
        <f t="shared" si="357"/>
        <v>6.6666666666666666E-2</v>
      </c>
      <c r="AF349" s="12">
        <f t="shared" si="358"/>
        <v>0.39234120855656235</v>
      </c>
      <c r="AG349" s="12" t="s">
        <v>193</v>
      </c>
      <c r="AH349" s="12"/>
      <c r="AI349" s="12" t="s">
        <v>780</v>
      </c>
      <c r="AJ349" s="12" t="s">
        <v>348</v>
      </c>
      <c r="AK349" s="12"/>
      <c r="AL349" s="12"/>
      <c r="AM349" s="10" t="s">
        <v>753</v>
      </c>
      <c r="AN349" s="10" t="s">
        <v>157</v>
      </c>
    </row>
    <row r="350" spans="1:40" s="10" customFormat="1" hidden="1" x14ac:dyDescent="0.2">
      <c r="A350" s="10">
        <v>1992</v>
      </c>
      <c r="B350" s="6">
        <v>1799931</v>
      </c>
      <c r="C350" s="10" t="s">
        <v>90</v>
      </c>
      <c r="E350" s="10" t="s">
        <v>157</v>
      </c>
      <c r="F350" s="10" t="s">
        <v>91</v>
      </c>
      <c r="G350" s="10" t="s">
        <v>752</v>
      </c>
      <c r="H350" s="10" t="s">
        <v>752</v>
      </c>
      <c r="I350" s="10">
        <v>2</v>
      </c>
      <c r="J350" s="10" t="s">
        <v>876</v>
      </c>
      <c r="K350" s="10" t="s">
        <v>86</v>
      </c>
      <c r="L350" s="10" t="s">
        <v>156</v>
      </c>
      <c r="M350" s="10" t="s">
        <v>903</v>
      </c>
      <c r="N350" s="10" t="s">
        <v>766</v>
      </c>
      <c r="P350" s="10" t="s">
        <v>911</v>
      </c>
      <c r="Q350" s="10">
        <v>2</v>
      </c>
      <c r="R350" s="10">
        <v>13</v>
      </c>
      <c r="S350" s="10">
        <v>54</v>
      </c>
      <c r="T350" s="13">
        <v>0</v>
      </c>
      <c r="U350" s="10" t="s">
        <v>877</v>
      </c>
      <c r="V350" s="10" t="s">
        <v>642</v>
      </c>
      <c r="W350" s="12">
        <v>97</v>
      </c>
      <c r="X350" s="12">
        <v>99</v>
      </c>
      <c r="Y350" s="12">
        <v>16</v>
      </c>
      <c r="Z350" s="12">
        <v>19</v>
      </c>
      <c r="AA350" s="15">
        <v>13</v>
      </c>
      <c r="AB350" s="15">
        <v>13</v>
      </c>
      <c r="AC350" s="12">
        <f t="shared" si="355"/>
        <v>-2</v>
      </c>
      <c r="AD350" s="12">
        <f t="shared" si="356"/>
        <v>17.564168070250297</v>
      </c>
      <c r="AE350" s="12">
        <f t="shared" si="357"/>
        <v>-0.11386818846191439</v>
      </c>
      <c r="AF350" s="12">
        <f t="shared" si="358"/>
        <v>0.39254999594230028</v>
      </c>
      <c r="AG350" s="12" t="s">
        <v>193</v>
      </c>
      <c r="AH350" s="12"/>
      <c r="AI350" s="12" t="s">
        <v>780</v>
      </c>
      <c r="AJ350" s="12" t="s">
        <v>328</v>
      </c>
      <c r="AK350" s="12"/>
      <c r="AL350" s="12"/>
      <c r="AM350" s="10" t="s">
        <v>753</v>
      </c>
      <c r="AN350" s="10" t="s">
        <v>157</v>
      </c>
    </row>
    <row r="351" spans="1:40" s="10" customFormat="1" hidden="1" x14ac:dyDescent="0.2">
      <c r="A351" s="10">
        <v>1992</v>
      </c>
      <c r="B351" s="6">
        <v>1799931</v>
      </c>
      <c r="C351" s="10" t="s">
        <v>90</v>
      </c>
      <c r="E351" s="10" t="s">
        <v>157</v>
      </c>
      <c r="F351" s="10" t="s">
        <v>91</v>
      </c>
      <c r="G351" s="10" t="s">
        <v>752</v>
      </c>
      <c r="H351" s="10" t="s">
        <v>752</v>
      </c>
      <c r="I351" s="10">
        <v>2</v>
      </c>
      <c r="J351" s="10" t="s">
        <v>876</v>
      </c>
      <c r="K351" s="10" t="s">
        <v>86</v>
      </c>
      <c r="L351" s="10" t="s">
        <v>156</v>
      </c>
      <c r="M351" s="10" t="s">
        <v>903</v>
      </c>
      <c r="N351" s="10" t="s">
        <v>766</v>
      </c>
      <c r="P351" s="10" t="s">
        <v>911</v>
      </c>
      <c r="Q351" s="10">
        <v>2</v>
      </c>
      <c r="R351" s="10">
        <v>13</v>
      </c>
      <c r="S351" s="10">
        <v>54</v>
      </c>
      <c r="T351" s="13">
        <v>0</v>
      </c>
      <c r="U351" s="10" t="s">
        <v>769</v>
      </c>
      <c r="V351" s="10" t="s">
        <v>635</v>
      </c>
      <c r="W351" s="12">
        <v>100</v>
      </c>
      <c r="X351" s="12">
        <v>104</v>
      </c>
      <c r="Y351" s="12">
        <v>16</v>
      </c>
      <c r="Z351" s="12">
        <v>17</v>
      </c>
      <c r="AA351" s="15">
        <v>13</v>
      </c>
      <c r="AB351" s="15">
        <v>13</v>
      </c>
      <c r="AC351" s="12">
        <f t="shared" si="355"/>
        <v>-4</v>
      </c>
      <c r="AD351" s="12">
        <f t="shared" si="356"/>
        <v>16.507574019219177</v>
      </c>
      <c r="AE351" s="12">
        <f t="shared" si="357"/>
        <v>-0.24231301312615308</v>
      </c>
      <c r="AF351" s="12">
        <f t="shared" si="358"/>
        <v>0.39366902332978698</v>
      </c>
      <c r="AG351" s="12" t="s">
        <v>193</v>
      </c>
      <c r="AH351" s="12"/>
      <c r="AI351" s="12" t="s">
        <v>780</v>
      </c>
      <c r="AJ351" s="12" t="s">
        <v>328</v>
      </c>
      <c r="AK351" s="12"/>
      <c r="AL351" s="12"/>
      <c r="AM351" s="10" t="s">
        <v>753</v>
      </c>
      <c r="AN351" s="10" t="s">
        <v>157</v>
      </c>
    </row>
    <row r="352" spans="1:40" s="10" customFormat="1" hidden="1" x14ac:dyDescent="0.2">
      <c r="A352" s="10">
        <v>1992</v>
      </c>
      <c r="B352" s="6">
        <v>1799931</v>
      </c>
      <c r="C352" s="10" t="s">
        <v>90</v>
      </c>
      <c r="E352" s="10" t="s">
        <v>157</v>
      </c>
      <c r="F352" s="10" t="s">
        <v>91</v>
      </c>
      <c r="G352" s="10" t="s">
        <v>752</v>
      </c>
      <c r="H352" s="10" t="s">
        <v>752</v>
      </c>
      <c r="I352" s="10">
        <v>2</v>
      </c>
      <c r="J352" s="10" t="s">
        <v>876</v>
      </c>
      <c r="K352" s="10" t="s">
        <v>86</v>
      </c>
      <c r="L352" s="10" t="s">
        <v>156</v>
      </c>
      <c r="M352" s="10" t="s">
        <v>903</v>
      </c>
      <c r="N352" s="10" t="s">
        <v>766</v>
      </c>
      <c r="P352" s="10" t="s">
        <v>911</v>
      </c>
      <c r="Q352" s="10">
        <v>2</v>
      </c>
      <c r="R352" s="10">
        <v>13</v>
      </c>
      <c r="S352" s="10">
        <v>54</v>
      </c>
      <c r="T352" s="13">
        <v>0</v>
      </c>
      <c r="U352" s="10" t="s">
        <v>639</v>
      </c>
      <c r="V352" s="10" t="s">
        <v>642</v>
      </c>
      <c r="W352" s="12">
        <v>90</v>
      </c>
      <c r="X352" s="12">
        <v>89</v>
      </c>
      <c r="Y352" s="12">
        <v>16</v>
      </c>
      <c r="Z352" s="12">
        <v>16</v>
      </c>
      <c r="AA352" s="15">
        <v>13</v>
      </c>
      <c r="AB352" s="15">
        <v>13</v>
      </c>
      <c r="AC352" s="12">
        <f t="shared" si="355"/>
        <v>1</v>
      </c>
      <c r="AD352" s="12">
        <f t="shared" si="356"/>
        <v>16</v>
      </c>
      <c r="AE352" s="12">
        <f t="shared" si="357"/>
        <v>6.25E-2</v>
      </c>
      <c r="AF352" s="12">
        <f t="shared" si="358"/>
        <v>0.39232801842139892</v>
      </c>
      <c r="AG352" s="12" t="s">
        <v>193</v>
      </c>
      <c r="AH352" s="12"/>
      <c r="AI352" s="12" t="s">
        <v>780</v>
      </c>
      <c r="AJ352" s="12" t="s">
        <v>348</v>
      </c>
      <c r="AK352" s="12"/>
      <c r="AL352" s="12"/>
      <c r="AM352" s="10" t="s">
        <v>753</v>
      </c>
      <c r="AN352" s="10" t="s">
        <v>157</v>
      </c>
    </row>
    <row r="353" spans="1:40" s="10" customFormat="1" hidden="1" x14ac:dyDescent="0.2">
      <c r="A353" s="4">
        <v>1988</v>
      </c>
      <c r="B353" s="6">
        <v>3366165</v>
      </c>
      <c r="C353" s="4" t="s">
        <v>83</v>
      </c>
      <c r="D353" s="4"/>
      <c r="E353" s="4" t="s">
        <v>157</v>
      </c>
      <c r="F353" s="4" t="s">
        <v>84</v>
      </c>
      <c r="G353" s="4" t="s">
        <v>85</v>
      </c>
      <c r="H353" s="4" t="s">
        <v>85</v>
      </c>
      <c r="I353" s="10">
        <v>4</v>
      </c>
      <c r="J353" s="4" t="s">
        <v>811</v>
      </c>
      <c r="K353" s="4" t="s">
        <v>86</v>
      </c>
      <c r="L353" s="10" t="s">
        <v>156</v>
      </c>
      <c r="M353" s="10" t="s">
        <v>903</v>
      </c>
      <c r="N353" s="10" t="s">
        <v>766</v>
      </c>
      <c r="R353" s="10">
        <v>4</v>
      </c>
      <c r="T353" s="13"/>
      <c r="U353" s="10" t="s">
        <v>757</v>
      </c>
      <c r="V353" s="10" t="s">
        <v>635</v>
      </c>
      <c r="W353" s="12">
        <v>14.6</v>
      </c>
      <c r="X353" s="12">
        <v>8.3000000000000007</v>
      </c>
      <c r="Y353" s="12">
        <f>1.7*SQRT(4)</f>
        <v>3.4</v>
      </c>
      <c r="Z353" s="12">
        <f>3.2*SQRT(4)</f>
        <v>6.4</v>
      </c>
      <c r="AA353" s="15">
        <v>4</v>
      </c>
      <c r="AB353" s="15">
        <v>4</v>
      </c>
      <c r="AC353" s="12">
        <f t="shared" ref="AC353:AC361" si="359">W353-X353</f>
        <v>6.2999999999999989</v>
      </c>
      <c r="AD353" s="12">
        <f t="shared" ref="AD353" si="360">SQRT(((AA353-1)*Y353^2+(AB353-1)*Z353^2)/(AA353+AB353-2))</f>
        <v>5.1244511901275827</v>
      </c>
      <c r="AE353" s="12">
        <f t="shared" ref="AE353" si="361">AC353/AD353</f>
        <v>1.2293999427952691</v>
      </c>
      <c r="AF353" s="12">
        <f t="shared" ref="AF353" si="362">SQRT(((AA353+AB353)/(AA353*AB353)+(AE353^2/(2*(AA353+AB353)))))</f>
        <v>0.77101492443989905</v>
      </c>
      <c r="AG353" s="12" t="s">
        <v>157</v>
      </c>
      <c r="AH353" s="12"/>
      <c r="AI353" s="12" t="s">
        <v>780</v>
      </c>
      <c r="AJ353" s="12" t="s">
        <v>328</v>
      </c>
      <c r="AK353" s="12"/>
      <c r="AL353" s="12"/>
      <c r="AM353" s="10" t="s">
        <v>758</v>
      </c>
      <c r="AN353" s="10" t="s">
        <v>157</v>
      </c>
    </row>
    <row r="354" spans="1:40" s="10" customFormat="1" x14ac:dyDescent="0.2">
      <c r="A354" s="10">
        <v>2013</v>
      </c>
      <c r="B354" s="43">
        <v>23998970</v>
      </c>
      <c r="C354" s="10" t="s">
        <v>82</v>
      </c>
      <c r="F354" s="10" t="s">
        <v>78</v>
      </c>
      <c r="G354" s="10" t="s">
        <v>78</v>
      </c>
      <c r="H354" s="10" t="s">
        <v>78</v>
      </c>
      <c r="I354" s="10">
        <v>22</v>
      </c>
      <c r="J354" s="10" t="s">
        <v>79</v>
      </c>
      <c r="K354" s="10" t="s">
        <v>79</v>
      </c>
      <c r="L354" s="10" t="s">
        <v>156</v>
      </c>
      <c r="M354" s="10" t="s">
        <v>902</v>
      </c>
      <c r="N354" s="10" t="s">
        <v>766</v>
      </c>
      <c r="O354" s="4"/>
      <c r="P354" s="4"/>
      <c r="Q354" s="4"/>
      <c r="R354" s="4">
        <v>122</v>
      </c>
      <c r="S354" s="4"/>
      <c r="T354" s="32"/>
      <c r="U354" s="4" t="s">
        <v>855</v>
      </c>
      <c r="V354" s="4" t="s">
        <v>642</v>
      </c>
      <c r="W354" s="7">
        <v>98.9</v>
      </c>
      <c r="X354" s="7">
        <v>98.3</v>
      </c>
      <c r="Y354" s="7">
        <v>23.7</v>
      </c>
      <c r="Z354" s="7">
        <v>21.6</v>
      </c>
      <c r="AA354" s="15">
        <v>61</v>
      </c>
      <c r="AB354" s="15">
        <v>61</v>
      </c>
      <c r="AC354" s="12">
        <f t="shared" si="359"/>
        <v>0.60000000000000853</v>
      </c>
      <c r="AD354" s="12">
        <f t="shared" ref="AD354:AD361" si="363">SQRT(((AA354-1)*Y354^2+(AB354-1)*Z354^2)/(AA354+AB354-2))</f>
        <v>22.674324686746463</v>
      </c>
      <c r="AE354" s="12">
        <f t="shared" ref="AE354:AE361" si="364">AC354/AD354</f>
        <v>2.6461648066225273E-2</v>
      </c>
      <c r="AF354" s="12">
        <f t="shared" ref="AF354:AF361" si="365">SQRT(((AA354+AB354)/(AA354*AB354)+(AE354^2/(2*(AA354+AB354)))))</f>
        <v>0.18107941626578461</v>
      </c>
      <c r="AG354" s="12" t="s">
        <v>193</v>
      </c>
      <c r="AH354" s="12"/>
      <c r="AI354" s="12" t="s">
        <v>785</v>
      </c>
      <c r="AJ354" s="12" t="s">
        <v>348</v>
      </c>
      <c r="AM354" s="10" t="s">
        <v>762</v>
      </c>
      <c r="AN354" s="10" t="s">
        <v>157</v>
      </c>
    </row>
    <row r="355" spans="1:40" s="10" customFormat="1" x14ac:dyDescent="0.2">
      <c r="A355" s="10">
        <v>2013</v>
      </c>
      <c r="B355" s="10">
        <v>23998970</v>
      </c>
      <c r="C355" s="10" t="s">
        <v>82</v>
      </c>
      <c r="F355" s="10" t="s">
        <v>78</v>
      </c>
      <c r="G355" s="10" t="s">
        <v>78</v>
      </c>
      <c r="H355" s="10" t="s">
        <v>78</v>
      </c>
      <c r="I355" s="10">
        <v>22</v>
      </c>
      <c r="J355" s="10" t="s">
        <v>79</v>
      </c>
      <c r="K355" s="10" t="s">
        <v>79</v>
      </c>
      <c r="L355" s="10" t="s">
        <v>156</v>
      </c>
      <c r="M355" s="10" t="s">
        <v>902</v>
      </c>
      <c r="N355" s="10" t="s">
        <v>766</v>
      </c>
      <c r="O355" s="4"/>
      <c r="P355" s="4"/>
      <c r="Q355" s="4"/>
      <c r="R355" s="4">
        <v>122</v>
      </c>
      <c r="S355" s="4"/>
      <c r="T355" s="32"/>
      <c r="U355" s="4" t="s">
        <v>856</v>
      </c>
      <c r="V355" s="4" t="s">
        <v>642</v>
      </c>
      <c r="W355" s="7">
        <v>173.7</v>
      </c>
      <c r="X355" s="7">
        <v>171.9</v>
      </c>
      <c r="Y355" s="7">
        <v>31.1</v>
      </c>
      <c r="Z355" s="7">
        <v>31.1</v>
      </c>
      <c r="AA355" s="15">
        <v>61</v>
      </c>
      <c r="AB355" s="15">
        <v>61</v>
      </c>
      <c r="AC355" s="12">
        <f t="shared" ref="AC355:AC356" si="366">W355-X355</f>
        <v>1.7999999999999829</v>
      </c>
      <c r="AD355" s="12">
        <f t="shared" ref="AD355:AD356" si="367">SQRT(((AA355-1)*Y355^2+(AB355-1)*Z355^2)/(AA355+AB355-2))</f>
        <v>31.1</v>
      </c>
      <c r="AE355" s="12">
        <f t="shared" ref="AE355:AE356" si="368">AC355/AD355</f>
        <v>5.7877813504822601E-2</v>
      </c>
      <c r="AF355" s="12">
        <f t="shared" ref="AF355:AF356" si="369">SQRT(((AA355+AB355)/(AA355*AB355)+(AE355^2/(2*(AA355+AB355)))))</f>
        <v>0.18110939816495591</v>
      </c>
      <c r="AG355" s="12" t="s">
        <v>193</v>
      </c>
      <c r="AH355" s="12"/>
      <c r="AI355" s="12" t="s">
        <v>785</v>
      </c>
      <c r="AJ355" s="12" t="s">
        <v>348</v>
      </c>
      <c r="AM355" s="10" t="s">
        <v>762</v>
      </c>
      <c r="AN355" s="10" t="s">
        <v>157</v>
      </c>
    </row>
    <row r="356" spans="1:40" s="10" customFormat="1" x14ac:dyDescent="0.2">
      <c r="A356" s="10">
        <v>2013</v>
      </c>
      <c r="B356" s="10">
        <v>23998970</v>
      </c>
      <c r="C356" s="10" t="s">
        <v>82</v>
      </c>
      <c r="F356" s="10" t="s">
        <v>78</v>
      </c>
      <c r="G356" s="10" t="s">
        <v>78</v>
      </c>
      <c r="H356" s="10" t="s">
        <v>78</v>
      </c>
      <c r="I356" s="10">
        <v>22</v>
      </c>
      <c r="J356" s="10" t="s">
        <v>79</v>
      </c>
      <c r="K356" s="10" t="s">
        <v>79</v>
      </c>
      <c r="L356" s="10" t="s">
        <v>156</v>
      </c>
      <c r="M356" s="10" t="s">
        <v>902</v>
      </c>
      <c r="N356" s="10" t="s">
        <v>766</v>
      </c>
      <c r="O356" s="4"/>
      <c r="P356" s="4"/>
      <c r="Q356" s="4"/>
      <c r="R356" s="4">
        <v>122</v>
      </c>
      <c r="S356" s="4"/>
      <c r="T356" s="32"/>
      <c r="U356" s="4" t="s">
        <v>857</v>
      </c>
      <c r="V356" s="4" t="s">
        <v>642</v>
      </c>
      <c r="W356" s="7">
        <v>53.2</v>
      </c>
      <c r="X356" s="7">
        <v>55.6</v>
      </c>
      <c r="Y356" s="7">
        <v>10.9</v>
      </c>
      <c r="Z356" s="7">
        <v>12.3</v>
      </c>
      <c r="AA356" s="15">
        <v>61</v>
      </c>
      <c r="AB356" s="15">
        <v>61</v>
      </c>
      <c r="AC356" s="12">
        <f t="shared" si="366"/>
        <v>-2.3999999999999986</v>
      </c>
      <c r="AD356" s="12">
        <f t="shared" si="367"/>
        <v>11.621101496846158</v>
      </c>
      <c r="AE356" s="12">
        <f t="shared" si="368"/>
        <v>-0.20652087073254913</v>
      </c>
      <c r="AF356" s="12">
        <f t="shared" si="369"/>
        <v>0.18155352900354177</v>
      </c>
      <c r="AG356" s="12" t="s">
        <v>193</v>
      </c>
      <c r="AH356" s="12" t="s">
        <v>193</v>
      </c>
      <c r="AI356" s="12" t="s">
        <v>785</v>
      </c>
      <c r="AJ356" s="12" t="s">
        <v>348</v>
      </c>
      <c r="AM356" s="10" t="s">
        <v>762</v>
      </c>
      <c r="AN356" s="10" t="s">
        <v>157</v>
      </c>
    </row>
    <row r="357" spans="1:40" s="10" customFormat="1" x14ac:dyDescent="0.2">
      <c r="A357" s="10">
        <v>2011</v>
      </c>
      <c r="B357" s="43">
        <v>21693699</v>
      </c>
      <c r="C357" s="10" t="s">
        <v>81</v>
      </c>
      <c r="F357" s="10" t="s">
        <v>78</v>
      </c>
      <c r="G357" s="10" t="s">
        <v>78</v>
      </c>
      <c r="H357" s="10" t="s">
        <v>78</v>
      </c>
      <c r="I357" s="10">
        <v>3</v>
      </c>
      <c r="J357" s="10" t="s">
        <v>79</v>
      </c>
      <c r="K357" s="10" t="s">
        <v>79</v>
      </c>
      <c r="L357" s="10" t="s">
        <v>156</v>
      </c>
      <c r="M357" s="10" t="s">
        <v>903</v>
      </c>
      <c r="N357" s="10" t="s">
        <v>766</v>
      </c>
      <c r="R357" s="10">
        <v>155</v>
      </c>
      <c r="T357" s="13"/>
      <c r="U357" s="10" t="s">
        <v>859</v>
      </c>
      <c r="V357" s="10" t="s">
        <v>642</v>
      </c>
      <c r="W357" s="12">
        <v>46.33</v>
      </c>
      <c r="X357" s="12">
        <v>47.95</v>
      </c>
      <c r="Y357" s="12">
        <f t="shared" ref="Y357:Z357" si="370">(1.7-(-4.94))/3.29/(SQRT(((1/155)+(1/154))))</f>
        <v>17.738592263514793</v>
      </c>
      <c r="Z357" s="12">
        <f t="shared" si="370"/>
        <v>17.738592263514793</v>
      </c>
      <c r="AA357" s="15">
        <v>155</v>
      </c>
      <c r="AB357" s="15">
        <v>154</v>
      </c>
      <c r="AC357" s="12">
        <f t="shared" si="359"/>
        <v>-1.6200000000000045</v>
      </c>
      <c r="AD357" s="12">
        <f t="shared" si="363"/>
        <v>17.738592263514793</v>
      </c>
      <c r="AE357" s="12">
        <f t="shared" si="364"/>
        <v>-9.1326300076926825E-2</v>
      </c>
      <c r="AF357" s="12">
        <f t="shared" si="365"/>
        <v>0.11383591410550861</v>
      </c>
      <c r="AG357" s="12" t="s">
        <v>193</v>
      </c>
      <c r="AH357" s="12" t="s">
        <v>193</v>
      </c>
      <c r="AI357" s="12" t="s">
        <v>785</v>
      </c>
      <c r="AJ357" s="12" t="s">
        <v>328</v>
      </c>
      <c r="AK357" s="12" t="s">
        <v>858</v>
      </c>
      <c r="AL357" s="12"/>
      <c r="AM357" s="10" t="s">
        <v>763</v>
      </c>
      <c r="AN357" s="10" t="s">
        <v>157</v>
      </c>
    </row>
    <row r="358" spans="1:40" s="10" customFormat="1" x14ac:dyDescent="0.2">
      <c r="A358" s="10">
        <v>2005</v>
      </c>
      <c r="B358" s="43">
        <v>16303904</v>
      </c>
      <c r="C358" s="10" t="s">
        <v>80</v>
      </c>
      <c r="F358" s="10" t="s">
        <v>78</v>
      </c>
      <c r="G358" s="10" t="s">
        <v>78</v>
      </c>
      <c r="H358" s="10" t="s">
        <v>78</v>
      </c>
      <c r="I358" s="10">
        <v>25</v>
      </c>
      <c r="J358" s="10" t="s">
        <v>79</v>
      </c>
      <c r="K358" s="10" t="s">
        <v>79</v>
      </c>
      <c r="L358" s="10" t="s">
        <v>156</v>
      </c>
      <c r="M358" s="10" t="s">
        <v>736</v>
      </c>
      <c r="N358" s="10" t="s">
        <v>736</v>
      </c>
      <c r="R358" s="10">
        <v>64</v>
      </c>
      <c r="T358" s="13"/>
      <c r="U358" s="4" t="s">
        <v>860</v>
      </c>
      <c r="V358" s="10" t="s">
        <v>642</v>
      </c>
      <c r="W358" s="12">
        <v>210</v>
      </c>
      <c r="X358" s="12">
        <v>215.4</v>
      </c>
      <c r="Y358" s="12">
        <v>19.399999999999999</v>
      </c>
      <c r="Z358" s="12">
        <v>18</v>
      </c>
      <c r="AA358" s="15">
        <v>32</v>
      </c>
      <c r="AB358" s="15">
        <v>32</v>
      </c>
      <c r="AC358" s="12">
        <f t="shared" si="359"/>
        <v>-5.4000000000000057</v>
      </c>
      <c r="AD358" s="12">
        <f t="shared" si="363"/>
        <v>18.71309701786425</v>
      </c>
      <c r="AE358" s="12">
        <f t="shared" si="364"/>
        <v>-0.2885679476168459</v>
      </c>
      <c r="AF358" s="12">
        <f t="shared" si="365"/>
        <v>0.2512977482674903</v>
      </c>
      <c r="AG358" s="12" t="s">
        <v>193</v>
      </c>
      <c r="AH358" s="12"/>
      <c r="AI358" s="12" t="s">
        <v>785</v>
      </c>
      <c r="AJ358" s="12" t="s">
        <v>328</v>
      </c>
      <c r="AK358" s="12"/>
      <c r="AL358" s="12"/>
      <c r="AM358" s="10" t="s">
        <v>764</v>
      </c>
      <c r="AN358" s="10" t="s">
        <v>157</v>
      </c>
    </row>
    <row r="359" spans="1:40" s="10" customFormat="1" x14ac:dyDescent="0.2">
      <c r="A359" s="10">
        <v>2005</v>
      </c>
      <c r="B359" s="10">
        <v>16303904</v>
      </c>
      <c r="C359" s="10" t="s">
        <v>80</v>
      </c>
      <c r="F359" s="10" t="s">
        <v>78</v>
      </c>
      <c r="G359" s="10" t="s">
        <v>78</v>
      </c>
      <c r="H359" s="10" t="s">
        <v>78</v>
      </c>
      <c r="I359" s="10">
        <v>25</v>
      </c>
      <c r="J359" s="10" t="s">
        <v>79</v>
      </c>
      <c r="K359" s="10" t="s">
        <v>79</v>
      </c>
      <c r="L359" s="10" t="s">
        <v>156</v>
      </c>
      <c r="M359" s="10" t="s">
        <v>736</v>
      </c>
      <c r="N359" s="10" t="s">
        <v>736</v>
      </c>
      <c r="R359" s="10">
        <v>64</v>
      </c>
      <c r="T359" s="13"/>
      <c r="U359" s="4" t="s">
        <v>861</v>
      </c>
      <c r="V359" s="10" t="s">
        <v>642</v>
      </c>
      <c r="W359" s="12">
        <v>99</v>
      </c>
      <c r="X359" s="12">
        <v>104.2</v>
      </c>
      <c r="Y359" s="12">
        <v>8.1</v>
      </c>
      <c r="Z359" s="12">
        <v>10.4</v>
      </c>
      <c r="AA359" s="15">
        <v>32</v>
      </c>
      <c r="AB359" s="15">
        <v>32</v>
      </c>
      <c r="AC359" s="12">
        <f t="shared" si="359"/>
        <v>-5.2000000000000028</v>
      </c>
      <c r="AD359" s="12">
        <f t="shared" si="363"/>
        <v>9.3212123674981253</v>
      </c>
      <c r="AE359" s="12">
        <f t="shared" si="364"/>
        <v>-0.55786734546803562</v>
      </c>
      <c r="AF359" s="12">
        <f t="shared" si="365"/>
        <v>0.25481635505943834</v>
      </c>
      <c r="AG359" s="12" t="s">
        <v>193</v>
      </c>
      <c r="AH359" s="12"/>
      <c r="AI359" s="12" t="s">
        <v>785</v>
      </c>
      <c r="AJ359" s="12" t="s">
        <v>328</v>
      </c>
      <c r="AK359" s="12"/>
      <c r="AL359" s="12"/>
      <c r="AM359" s="10" t="s">
        <v>764</v>
      </c>
      <c r="AN359" s="10" t="s">
        <v>157</v>
      </c>
    </row>
    <row r="360" spans="1:40" s="10" customFormat="1" x14ac:dyDescent="0.2">
      <c r="A360" s="10">
        <v>2005</v>
      </c>
      <c r="B360" s="10">
        <v>16303904</v>
      </c>
      <c r="C360" s="10" t="s">
        <v>80</v>
      </c>
      <c r="F360" s="10" t="s">
        <v>78</v>
      </c>
      <c r="G360" s="10" t="s">
        <v>78</v>
      </c>
      <c r="H360" s="10" t="s">
        <v>78</v>
      </c>
      <c r="I360" s="10">
        <v>25</v>
      </c>
      <c r="J360" s="10" t="s">
        <v>79</v>
      </c>
      <c r="K360" s="10" t="s">
        <v>79</v>
      </c>
      <c r="L360" s="10" t="s">
        <v>156</v>
      </c>
      <c r="M360" s="10" t="s">
        <v>736</v>
      </c>
      <c r="N360" s="10" t="s">
        <v>736</v>
      </c>
      <c r="R360" s="10">
        <v>64</v>
      </c>
      <c r="T360" s="13"/>
      <c r="U360" s="4" t="s">
        <v>862</v>
      </c>
      <c r="V360" s="10" t="s">
        <v>642</v>
      </c>
      <c r="W360" s="12">
        <v>49.8</v>
      </c>
      <c r="X360" s="12">
        <v>43.9</v>
      </c>
      <c r="Y360" s="12">
        <v>10.3</v>
      </c>
      <c r="Z360" s="12">
        <v>6.3</v>
      </c>
      <c r="AA360" s="15">
        <v>32</v>
      </c>
      <c r="AB360" s="15">
        <v>32</v>
      </c>
      <c r="AC360" s="12">
        <f t="shared" si="359"/>
        <v>5.8999999999999986</v>
      </c>
      <c r="AD360" s="12">
        <f t="shared" si="363"/>
        <v>8.5375640553965972</v>
      </c>
      <c r="AE360" s="12">
        <f t="shared" si="364"/>
        <v>0.69106362912388419</v>
      </c>
      <c r="AF360" s="12">
        <f t="shared" si="365"/>
        <v>0.25735385627541535</v>
      </c>
      <c r="AG360" s="12" t="s">
        <v>193</v>
      </c>
      <c r="AH360" s="12" t="s">
        <v>193</v>
      </c>
      <c r="AI360" s="12" t="s">
        <v>785</v>
      </c>
      <c r="AJ360" s="12" t="s">
        <v>328</v>
      </c>
      <c r="AK360" s="12"/>
      <c r="AL360" s="12"/>
      <c r="AM360" s="10" t="s">
        <v>764</v>
      </c>
      <c r="AN360" s="10" t="s">
        <v>157</v>
      </c>
    </row>
    <row r="361" spans="1:40" s="10" customFormat="1" x14ac:dyDescent="0.2">
      <c r="A361" s="10">
        <v>2005</v>
      </c>
      <c r="B361" s="10">
        <v>16303904</v>
      </c>
      <c r="C361" s="10" t="s">
        <v>80</v>
      </c>
      <c r="F361" s="10" t="s">
        <v>78</v>
      </c>
      <c r="G361" s="10" t="s">
        <v>78</v>
      </c>
      <c r="H361" s="10" t="s">
        <v>78</v>
      </c>
      <c r="I361" s="10">
        <v>25</v>
      </c>
      <c r="J361" s="10" t="s">
        <v>79</v>
      </c>
      <c r="K361" s="10" t="s">
        <v>79</v>
      </c>
      <c r="L361" s="10" t="s">
        <v>156</v>
      </c>
      <c r="M361" s="10" t="s">
        <v>736</v>
      </c>
      <c r="N361" s="10" t="s">
        <v>736</v>
      </c>
      <c r="R361" s="10">
        <v>64</v>
      </c>
      <c r="T361" s="13"/>
      <c r="U361" s="4" t="s">
        <v>765</v>
      </c>
      <c r="V361" s="10" t="s">
        <v>642</v>
      </c>
      <c r="W361" s="12">
        <v>306</v>
      </c>
      <c r="X361" s="12">
        <v>337</v>
      </c>
      <c r="Y361" s="12">
        <v>59.8</v>
      </c>
      <c r="Z361" s="12">
        <v>61.2</v>
      </c>
      <c r="AA361" s="15">
        <v>32</v>
      </c>
      <c r="AB361" s="15">
        <v>32</v>
      </c>
      <c r="AC361" s="12">
        <f t="shared" si="359"/>
        <v>-31</v>
      </c>
      <c r="AD361" s="12">
        <f t="shared" si="363"/>
        <v>60.504049451255739</v>
      </c>
      <c r="AE361" s="12">
        <f t="shared" si="364"/>
        <v>-0.51236240022206658</v>
      </c>
      <c r="AF361" s="12">
        <f t="shared" si="365"/>
        <v>0.25406869194732118</v>
      </c>
      <c r="AG361" s="12" t="s">
        <v>193</v>
      </c>
      <c r="AH361" s="12"/>
      <c r="AI361" s="12" t="s">
        <v>785</v>
      </c>
      <c r="AJ361" s="12" t="s">
        <v>328</v>
      </c>
      <c r="AK361" s="12"/>
      <c r="AL361" s="12"/>
      <c r="AM361" s="10" t="s">
        <v>764</v>
      </c>
      <c r="AN361" s="10" t="s">
        <v>157</v>
      </c>
    </row>
    <row r="362" spans="1:40" s="10" customFormat="1" x14ac:dyDescent="0.2">
      <c r="A362" s="4">
        <v>2003</v>
      </c>
      <c r="B362" s="25">
        <v>14514937</v>
      </c>
      <c r="C362" s="4" t="s">
        <v>57</v>
      </c>
      <c r="D362" s="4"/>
      <c r="E362" s="4"/>
      <c r="F362" s="4" t="s">
        <v>55</v>
      </c>
      <c r="G362" s="4" t="s">
        <v>56</v>
      </c>
      <c r="H362" s="4" t="s">
        <v>56</v>
      </c>
      <c r="I362" s="4">
        <v>48</v>
      </c>
      <c r="J362" s="4" t="s">
        <v>58</v>
      </c>
      <c r="K362" s="4" t="s">
        <v>58</v>
      </c>
      <c r="L362" s="10" t="s">
        <v>156</v>
      </c>
      <c r="M362" s="4" t="s">
        <v>902</v>
      </c>
      <c r="N362" s="4" t="s">
        <v>766</v>
      </c>
      <c r="O362" s="4"/>
      <c r="P362" s="4"/>
      <c r="Q362" s="4"/>
      <c r="R362" s="4">
        <v>81</v>
      </c>
      <c r="S362" s="4"/>
      <c r="T362" s="32"/>
      <c r="U362" s="4" t="s">
        <v>771</v>
      </c>
      <c r="V362" s="4" t="s">
        <v>642</v>
      </c>
      <c r="W362" s="7">
        <v>1.03</v>
      </c>
      <c r="X362" s="7">
        <v>1.04</v>
      </c>
      <c r="Y362" s="7">
        <f>W362*SQRT(AA362)</f>
        <v>6.3493464230580452</v>
      </c>
      <c r="Z362" s="7">
        <f>X362*SQRT(AB362)</f>
        <v>6.819736065274081</v>
      </c>
      <c r="AA362" s="15">
        <v>38</v>
      </c>
      <c r="AB362" s="15">
        <v>43</v>
      </c>
      <c r="AC362" s="12">
        <f t="shared" ref="AC362:AC363" si="371">W362-X362</f>
        <v>-1.0000000000000009E-2</v>
      </c>
      <c r="AD362" s="12">
        <f t="shared" ref="AD362:AD363" si="372">SQRT(((AA362-1)*Y362^2+(AB362-1)*Z362^2)/(AA362+AB362-2))</f>
        <v>6.6035999004762251</v>
      </c>
      <c r="AE362" s="12">
        <f t="shared" ref="AE362:AE363" si="373">AC362/AD362</f>
        <v>-1.5143255422362656E-3</v>
      </c>
      <c r="AF362" s="12">
        <f t="shared" ref="AF362:AF363" si="374">SQRT(((AA362+AB362)/(AA362*AB362)+(AE362^2/(2*(AA362+AB362)))))</f>
        <v>0.22264684498688969</v>
      </c>
      <c r="AG362" s="12" t="s">
        <v>193</v>
      </c>
      <c r="AH362" s="12"/>
      <c r="AI362" s="12" t="s">
        <v>774</v>
      </c>
      <c r="AJ362" s="12" t="s">
        <v>348</v>
      </c>
      <c r="AK362" s="12"/>
      <c r="AL362" s="12"/>
      <c r="AM362" s="10" t="s">
        <v>773</v>
      </c>
      <c r="AN362" s="10" t="s">
        <v>157</v>
      </c>
    </row>
    <row r="363" spans="1:40" s="10" customFormat="1" x14ac:dyDescent="0.2">
      <c r="A363" s="4">
        <v>2003</v>
      </c>
      <c r="B363" s="6">
        <v>14514937</v>
      </c>
      <c r="C363" s="4" t="s">
        <v>57</v>
      </c>
      <c r="D363" s="4"/>
      <c r="E363" s="4"/>
      <c r="F363" s="4" t="s">
        <v>55</v>
      </c>
      <c r="G363" s="4" t="s">
        <v>56</v>
      </c>
      <c r="H363" s="4" t="s">
        <v>56</v>
      </c>
      <c r="I363" s="4">
        <v>48</v>
      </c>
      <c r="J363" s="4" t="s">
        <v>58</v>
      </c>
      <c r="K363" s="4" t="s">
        <v>58</v>
      </c>
      <c r="L363" s="10" t="s">
        <v>156</v>
      </c>
      <c r="M363" s="4" t="s">
        <v>902</v>
      </c>
      <c r="N363" s="4" t="s">
        <v>766</v>
      </c>
      <c r="O363" s="4"/>
      <c r="P363" s="4"/>
      <c r="Q363" s="4"/>
      <c r="R363" s="10">
        <v>81</v>
      </c>
      <c r="T363" s="13"/>
      <c r="U363" s="4" t="s">
        <v>772</v>
      </c>
      <c r="V363" s="10" t="s">
        <v>642</v>
      </c>
      <c r="W363" s="12">
        <v>1.1100000000000001</v>
      </c>
      <c r="X363" s="12">
        <v>1.06</v>
      </c>
      <c r="Y363" s="7">
        <f>W363*SQRT(AA363)</f>
        <v>6.8424995432955642</v>
      </c>
      <c r="Z363" s="7">
        <f>X363*SQRT(AB363)</f>
        <v>6.9508848357601209</v>
      </c>
      <c r="AA363" s="15">
        <v>38</v>
      </c>
      <c r="AB363" s="15">
        <v>43</v>
      </c>
      <c r="AC363" s="12">
        <f t="shared" si="371"/>
        <v>5.0000000000000044E-2</v>
      </c>
      <c r="AD363" s="12">
        <f t="shared" si="372"/>
        <v>6.900334059057017</v>
      </c>
      <c r="AE363" s="12">
        <f t="shared" si="373"/>
        <v>7.246025999911216E-3</v>
      </c>
      <c r="AF363" s="12">
        <f t="shared" si="374"/>
        <v>0.22264754104065257</v>
      </c>
      <c r="AG363" s="12" t="s">
        <v>193</v>
      </c>
      <c r="AH363" s="12" t="s">
        <v>193</v>
      </c>
      <c r="AI363" s="12" t="s">
        <v>774</v>
      </c>
      <c r="AJ363" s="12" t="s">
        <v>328</v>
      </c>
      <c r="AK363" s="12"/>
      <c r="AL363" s="12"/>
      <c r="AM363" s="10" t="s">
        <v>773</v>
      </c>
      <c r="AN363" s="10" t="s">
        <v>157</v>
      </c>
    </row>
    <row r="364" spans="1:40" hidden="1" x14ac:dyDescent="0.2">
      <c r="A364" s="1">
        <v>1987</v>
      </c>
      <c r="B364" s="6">
        <v>3315272</v>
      </c>
      <c r="C364" s="1" t="s">
        <v>48</v>
      </c>
      <c r="D364" s="1"/>
      <c r="E364" s="1"/>
      <c r="F364" s="1" t="s">
        <v>49</v>
      </c>
      <c r="G364" s="1" t="s">
        <v>1113</v>
      </c>
      <c r="H364" s="1" t="s">
        <v>1113</v>
      </c>
      <c r="I364" s="8">
        <v>24</v>
      </c>
      <c r="J364" s="1" t="s">
        <v>44</v>
      </c>
      <c r="K364" s="1" t="s">
        <v>44</v>
      </c>
      <c r="L364" s="8" t="s">
        <v>294</v>
      </c>
      <c r="M364" s="8" t="s">
        <v>903</v>
      </c>
      <c r="N364" s="8" t="s">
        <v>766</v>
      </c>
      <c r="Q364" s="8">
        <v>3</v>
      </c>
      <c r="R364" s="8">
        <v>8</v>
      </c>
      <c r="U364" s="8" t="s">
        <v>887</v>
      </c>
      <c r="V364" s="8" t="s">
        <v>642</v>
      </c>
      <c r="W364" s="9">
        <v>95.9</v>
      </c>
      <c r="X364" s="9">
        <v>98.7</v>
      </c>
      <c r="Y364" s="9">
        <f>1.5*SQRT(AA364)</f>
        <v>4.2426406871192857</v>
      </c>
      <c r="Z364" s="9">
        <f>1.7*SQRT(AB364)</f>
        <v>4.8083261120685235</v>
      </c>
      <c r="AA364" s="14">
        <v>8</v>
      </c>
      <c r="AB364" s="14">
        <v>8</v>
      </c>
      <c r="AC364" s="9">
        <f t="shared" ref="AC364:AC367" si="375">W364-X364</f>
        <v>-2.7999999999999972</v>
      </c>
      <c r="AD364" s="9">
        <f t="shared" ref="AD364:AD366" si="376">SQRT(((AA364-1)*Y364^2+(AB364-1)*Z364^2)/(AA364+AB364-2))</f>
        <v>4.5343136195018534</v>
      </c>
      <c r="AE364" s="9">
        <f t="shared" ref="AE364:AE366" si="377">AC364/AD364</f>
        <v>-0.61751352794772263</v>
      </c>
      <c r="AF364" s="9">
        <f t="shared" ref="AF364:AF366" si="378">SQRT(((AA364+AB364)/(AA364*AB364)+(AE364^2/(2*(AA364+AB364)))))</f>
        <v>0.51177762984762365</v>
      </c>
      <c r="AG364" s="9" t="s">
        <v>193</v>
      </c>
      <c r="AI364" s="9" t="s">
        <v>774</v>
      </c>
      <c r="AJ364" s="9" t="s">
        <v>348</v>
      </c>
      <c r="AK364" s="9" t="s">
        <v>882</v>
      </c>
      <c r="AM364" s="8" t="s">
        <v>881</v>
      </c>
      <c r="AN364" s="8" t="s">
        <v>157</v>
      </c>
    </row>
    <row r="365" spans="1:40" hidden="1" x14ac:dyDescent="0.2">
      <c r="A365" s="1">
        <v>1987</v>
      </c>
      <c r="B365" s="6">
        <v>3315272</v>
      </c>
      <c r="C365" s="1" t="s">
        <v>48</v>
      </c>
      <c r="D365" s="1"/>
      <c r="E365" s="1"/>
      <c r="F365" s="1" t="s">
        <v>49</v>
      </c>
      <c r="G365" s="1" t="s">
        <v>1113</v>
      </c>
      <c r="H365" s="1" t="s">
        <v>1113</v>
      </c>
      <c r="I365" s="8">
        <v>24</v>
      </c>
      <c r="J365" s="1" t="s">
        <v>44</v>
      </c>
      <c r="K365" s="1" t="s">
        <v>44</v>
      </c>
      <c r="L365" s="8" t="s">
        <v>294</v>
      </c>
      <c r="M365" s="8" t="s">
        <v>903</v>
      </c>
      <c r="N365" s="8" t="s">
        <v>766</v>
      </c>
      <c r="Q365" s="8">
        <v>3</v>
      </c>
      <c r="R365" s="8">
        <v>8</v>
      </c>
      <c r="U365" s="8" t="s">
        <v>888</v>
      </c>
      <c r="V365" s="8" t="s">
        <v>642</v>
      </c>
      <c r="W365" s="9">
        <v>72.099999999999994</v>
      </c>
      <c r="X365" s="9">
        <v>78.3</v>
      </c>
      <c r="Y365" s="9">
        <f>1.9*SQRT(AA365)</f>
        <v>5.3740115370177612</v>
      </c>
      <c r="Z365" s="9">
        <f>1.9*SQRT(AB365)</f>
        <v>5.3740115370177612</v>
      </c>
      <c r="AA365" s="14">
        <v>8</v>
      </c>
      <c r="AB365" s="14">
        <v>8</v>
      </c>
      <c r="AC365" s="9">
        <f t="shared" si="375"/>
        <v>-6.2000000000000028</v>
      </c>
      <c r="AD365" s="9">
        <f t="shared" si="376"/>
        <v>5.3740115370177612</v>
      </c>
      <c r="AE365" s="9">
        <f t="shared" si="377"/>
        <v>-1.1537005377254201</v>
      </c>
      <c r="AF365" s="9">
        <f t="shared" si="378"/>
        <v>0.53999493431501067</v>
      </c>
      <c r="AG365" s="9" t="s">
        <v>193</v>
      </c>
      <c r="AH365" s="9" t="s">
        <v>193</v>
      </c>
      <c r="AI365" s="9" t="s">
        <v>774</v>
      </c>
      <c r="AJ365" s="9" t="s">
        <v>348</v>
      </c>
      <c r="AK365" s="9" t="s">
        <v>882</v>
      </c>
      <c r="AM365" s="8" t="s">
        <v>881</v>
      </c>
      <c r="AN365" s="8" t="s">
        <v>157</v>
      </c>
    </row>
    <row r="366" spans="1:40" hidden="1" x14ac:dyDescent="0.2">
      <c r="A366" s="1">
        <v>1987</v>
      </c>
      <c r="B366" s="6">
        <v>3315272</v>
      </c>
      <c r="C366" s="1" t="s">
        <v>48</v>
      </c>
      <c r="D366" s="1"/>
      <c r="E366" s="1"/>
      <c r="F366" s="1" t="s">
        <v>49</v>
      </c>
      <c r="G366" s="1" t="s">
        <v>1113</v>
      </c>
      <c r="H366" s="1" t="s">
        <v>1113</v>
      </c>
      <c r="I366" s="8">
        <v>24</v>
      </c>
      <c r="J366" s="1" t="s">
        <v>44</v>
      </c>
      <c r="K366" s="1" t="s">
        <v>44</v>
      </c>
      <c r="L366" s="8" t="s">
        <v>294</v>
      </c>
      <c r="M366" s="8" t="s">
        <v>903</v>
      </c>
      <c r="N366" s="8" t="s">
        <v>766</v>
      </c>
      <c r="Q366" s="8">
        <v>3</v>
      </c>
      <c r="R366" s="1">
        <v>8</v>
      </c>
      <c r="S366" s="1"/>
      <c r="T366" s="33"/>
      <c r="U366" s="1" t="s">
        <v>886</v>
      </c>
      <c r="V366" s="1" t="s">
        <v>642</v>
      </c>
      <c r="W366" s="1">
        <v>3.99</v>
      </c>
      <c r="X366" s="1">
        <v>3.43</v>
      </c>
      <c r="Y366" s="2">
        <f>0.18*SQRT(AA366)</f>
        <v>0.50911688245431419</v>
      </c>
      <c r="Z366" s="2">
        <f>0.16*SQRT(AB366)</f>
        <v>0.45254833995939048</v>
      </c>
      <c r="AA366" s="14">
        <v>8</v>
      </c>
      <c r="AB366" s="14">
        <v>8</v>
      </c>
      <c r="AC366" s="9">
        <f t="shared" si="375"/>
        <v>0.56000000000000005</v>
      </c>
      <c r="AD366" s="9">
        <f t="shared" si="376"/>
        <v>0.48166378315169184</v>
      </c>
      <c r="AE366" s="9">
        <f t="shared" si="377"/>
        <v>1.1626367179523596</v>
      </c>
      <c r="AF366" s="9">
        <f t="shared" si="378"/>
        <v>0.5405935435337208</v>
      </c>
      <c r="AG366" s="9" t="s">
        <v>157</v>
      </c>
      <c r="AI366" s="9" t="s">
        <v>774</v>
      </c>
      <c r="AJ366" s="9" t="s">
        <v>328</v>
      </c>
      <c r="AK366" s="9" t="s">
        <v>882</v>
      </c>
      <c r="AM366" s="8" t="s">
        <v>881</v>
      </c>
      <c r="AN366" s="8" t="s">
        <v>157</v>
      </c>
    </row>
    <row r="367" spans="1:40" hidden="1" x14ac:dyDescent="0.2">
      <c r="A367" s="1">
        <v>1987</v>
      </c>
      <c r="B367" s="6">
        <v>3315272</v>
      </c>
      <c r="C367" s="1" t="s">
        <v>48</v>
      </c>
      <c r="D367" s="1"/>
      <c r="E367" s="1"/>
      <c r="F367" s="1" t="s">
        <v>49</v>
      </c>
      <c r="G367" s="1" t="s">
        <v>1113</v>
      </c>
      <c r="H367" s="1" t="s">
        <v>1113</v>
      </c>
      <c r="I367" s="8">
        <v>24</v>
      </c>
      <c r="J367" s="1" t="s">
        <v>44</v>
      </c>
      <c r="K367" s="1" t="s">
        <v>44</v>
      </c>
      <c r="L367" s="8" t="s">
        <v>294</v>
      </c>
      <c r="M367" s="8" t="s">
        <v>903</v>
      </c>
      <c r="N367" s="8" t="s">
        <v>766</v>
      </c>
      <c r="Q367" s="8">
        <v>3</v>
      </c>
      <c r="R367" s="1">
        <v>8</v>
      </c>
      <c r="S367" s="1"/>
      <c r="T367" s="33"/>
      <c r="U367" s="8" t="s">
        <v>889</v>
      </c>
      <c r="V367" s="8" t="s">
        <v>642</v>
      </c>
      <c r="W367" s="9">
        <v>0.12</v>
      </c>
      <c r="X367" s="9">
        <v>0.14000000000000001</v>
      </c>
      <c r="Y367" s="2">
        <f>0.01*SQRT(AA367)</f>
        <v>2.8284271247461905E-2</v>
      </c>
      <c r="Z367" s="2">
        <f>0.01*SQRT(AB367)</f>
        <v>2.8284271247461905E-2</v>
      </c>
      <c r="AA367" s="14">
        <v>8</v>
      </c>
      <c r="AB367" s="14">
        <v>8</v>
      </c>
      <c r="AC367" s="9">
        <f t="shared" si="375"/>
        <v>-2.0000000000000018E-2</v>
      </c>
      <c r="AD367" s="9">
        <f t="shared" ref="AD367" si="379">SQRT(((AA367-1)*Y367^2+(AB367-1)*Z367^2)/(AA367+AB367-2))</f>
        <v>2.8284271247461905E-2</v>
      </c>
      <c r="AE367" s="9">
        <f t="shared" ref="AE367" si="380">AC367/AD367</f>
        <v>-0.70710678118654802</v>
      </c>
      <c r="AF367" s="9">
        <f t="shared" ref="AF367" si="381">SQRT(((AA367+AB367)/(AA367*AB367)+(AE367^2/(2*(AA367+AB367)))))</f>
        <v>0.51538820320220757</v>
      </c>
      <c r="AG367" s="9" t="s">
        <v>157</v>
      </c>
      <c r="AI367" s="9" t="s">
        <v>774</v>
      </c>
      <c r="AJ367" s="9" t="s">
        <v>348</v>
      </c>
      <c r="AK367" s="9" t="s">
        <v>882</v>
      </c>
      <c r="AM367" s="8" t="s">
        <v>881</v>
      </c>
      <c r="AN367" s="8" t="s">
        <v>157</v>
      </c>
    </row>
    <row r="368" spans="1:40" hidden="1" x14ac:dyDescent="0.2">
      <c r="A368" s="1">
        <v>1982</v>
      </c>
      <c r="B368" s="6">
        <v>6279351</v>
      </c>
      <c r="C368" s="1" t="s">
        <v>51</v>
      </c>
      <c r="D368" s="1"/>
      <c r="E368" s="1"/>
      <c r="F368" s="1" t="s">
        <v>45</v>
      </c>
      <c r="G368" s="1" t="s">
        <v>46</v>
      </c>
      <c r="H368" s="1" t="s">
        <v>46</v>
      </c>
      <c r="I368" s="1">
        <v>0.03</v>
      </c>
      <c r="J368" s="1" t="s">
        <v>44</v>
      </c>
      <c r="K368" s="1" t="s">
        <v>44</v>
      </c>
      <c r="L368" s="8" t="s">
        <v>883</v>
      </c>
      <c r="M368" s="8" t="s">
        <v>902</v>
      </c>
      <c r="N368" s="1" t="s">
        <v>766</v>
      </c>
      <c r="O368" s="1"/>
      <c r="P368" s="1"/>
      <c r="Q368" s="1">
        <v>6</v>
      </c>
      <c r="R368" s="1">
        <v>5</v>
      </c>
      <c r="S368" s="1"/>
      <c r="T368" s="33"/>
      <c r="U368" s="1" t="s">
        <v>890</v>
      </c>
      <c r="V368" s="1" t="s">
        <v>642</v>
      </c>
      <c r="W368" s="1">
        <v>305</v>
      </c>
      <c r="X368" s="9">
        <v>347</v>
      </c>
      <c r="Y368" s="9">
        <f>77*SQRT(AA368)</f>
        <v>172.17723426748381</v>
      </c>
      <c r="Z368" s="9">
        <f>75*SQRT(AB368)</f>
        <v>167.70509831248424</v>
      </c>
      <c r="AA368" s="14">
        <v>5</v>
      </c>
      <c r="AB368" s="14">
        <v>5</v>
      </c>
      <c r="AC368" s="9">
        <f t="shared" ref="AC368" si="382">W368-X368</f>
        <v>-42</v>
      </c>
      <c r="AD368" s="9">
        <f t="shared" ref="AD368" si="383">SQRT(((AA368-1)*Y368^2+(AB368-1)*Z368^2)/(AA368+AB368-2))</f>
        <v>169.95587662684687</v>
      </c>
      <c r="AE368" s="9">
        <f t="shared" ref="AE368" si="384">AC368/AD368</f>
        <v>-0.24712296411035381</v>
      </c>
      <c r="AF368" s="9">
        <f t="shared" ref="AF368" si="385">SQRT(((AA368+AB368)/(AA368*AB368)+(AE368^2/(2*(AA368+AB368)))))</f>
        <v>0.63486493679327916</v>
      </c>
      <c r="AG368" s="9" t="s">
        <v>193</v>
      </c>
      <c r="AH368" s="9" t="s">
        <v>193</v>
      </c>
      <c r="AI368" s="9" t="s">
        <v>774</v>
      </c>
      <c r="AJ368" s="9" t="s">
        <v>348</v>
      </c>
      <c r="AK368" s="9" t="s">
        <v>885</v>
      </c>
      <c r="AM368" s="8" t="s">
        <v>884</v>
      </c>
      <c r="AN368" s="8" t="s">
        <v>157</v>
      </c>
    </row>
    <row r="369" spans="1:40" s="10" customFormat="1" x14ac:dyDescent="0.2">
      <c r="A369" s="4">
        <v>2013</v>
      </c>
      <c r="B369" s="25">
        <v>23660686</v>
      </c>
      <c r="C369" s="4" t="s">
        <v>358</v>
      </c>
      <c r="D369" s="4"/>
      <c r="E369" s="4" t="s">
        <v>157</v>
      </c>
      <c r="F369" s="4" t="s">
        <v>192</v>
      </c>
      <c r="G369" s="4" t="s">
        <v>559</v>
      </c>
      <c r="H369" s="4" t="s">
        <v>559</v>
      </c>
      <c r="I369" s="4"/>
      <c r="J369" s="4" t="s">
        <v>930</v>
      </c>
      <c r="K369" s="4" t="s">
        <v>86</v>
      </c>
      <c r="L369" s="4" t="s">
        <v>220</v>
      </c>
      <c r="M369" s="4" t="s">
        <v>902</v>
      </c>
      <c r="N369" s="4" t="s">
        <v>766</v>
      </c>
      <c r="O369" s="4"/>
      <c r="P369" s="4" t="s">
        <v>911</v>
      </c>
      <c r="Q369" s="4">
        <v>2</v>
      </c>
      <c r="R369" s="10">
        <v>60</v>
      </c>
      <c r="S369" s="10">
        <v>50</v>
      </c>
      <c r="T369" s="13">
        <v>33</v>
      </c>
      <c r="U369" s="10" t="s">
        <v>877</v>
      </c>
      <c r="V369" s="10" t="s">
        <v>635</v>
      </c>
      <c r="W369" s="12">
        <v>111.88</v>
      </c>
      <c r="X369" s="12">
        <v>98.97</v>
      </c>
      <c r="Y369" s="12">
        <v>6.05</v>
      </c>
      <c r="Z369" s="12">
        <v>4.8099999999999996</v>
      </c>
      <c r="AA369" s="15">
        <v>30</v>
      </c>
      <c r="AB369" s="15">
        <v>30</v>
      </c>
      <c r="AC369" s="12">
        <f t="shared" ref="AC369:AC374" si="386">W369-X369</f>
        <v>12.909999999999997</v>
      </c>
      <c r="AD369" s="12">
        <f t="shared" ref="AD369:AD380" si="387">SQRT(((AA369-1)*Y369^2+(AB369-1)*Z369^2)/(AA369+AB369-2))</f>
        <v>5.4652813285319537</v>
      </c>
      <c r="AE369" s="12">
        <f t="shared" ref="AE369:AE380" si="388">AC369/AD369</f>
        <v>2.362183979917424</v>
      </c>
      <c r="AF369" s="12">
        <f t="shared" ref="AF369:AF380" si="389">SQRT(((AA369+AB369)/(AA369*AB369)+(AE369^2/(2*(AA369+AB369)))))</f>
        <v>0.33640146099289514</v>
      </c>
      <c r="AG369" s="12" t="s">
        <v>193</v>
      </c>
      <c r="AH369" s="12"/>
      <c r="AI369" s="12" t="s">
        <v>780</v>
      </c>
      <c r="AJ369" s="12"/>
      <c r="AK369" s="12"/>
      <c r="AL369" s="12"/>
      <c r="AM369" s="10" t="s">
        <v>934</v>
      </c>
      <c r="AN369" s="10" t="s">
        <v>157</v>
      </c>
    </row>
    <row r="370" spans="1:40" s="10" customFormat="1" x14ac:dyDescent="0.2">
      <c r="A370" s="4">
        <v>2013</v>
      </c>
      <c r="B370" s="6">
        <v>23660686</v>
      </c>
      <c r="C370" s="4" t="s">
        <v>358</v>
      </c>
      <c r="D370" s="4"/>
      <c r="E370" s="4" t="s">
        <v>157</v>
      </c>
      <c r="F370" s="4" t="s">
        <v>192</v>
      </c>
      <c r="G370" s="4" t="s">
        <v>559</v>
      </c>
      <c r="H370" s="4" t="s">
        <v>559</v>
      </c>
      <c r="I370" s="4"/>
      <c r="J370" s="4" t="s">
        <v>930</v>
      </c>
      <c r="K370" s="4" t="s">
        <v>86</v>
      </c>
      <c r="L370" s="4" t="s">
        <v>220</v>
      </c>
      <c r="M370" s="4" t="s">
        <v>902</v>
      </c>
      <c r="N370" s="4" t="s">
        <v>766</v>
      </c>
      <c r="P370" s="10" t="s">
        <v>911</v>
      </c>
      <c r="Q370" s="4">
        <v>2</v>
      </c>
      <c r="R370" s="10">
        <v>60</v>
      </c>
      <c r="S370" s="10">
        <v>50</v>
      </c>
      <c r="T370" s="13">
        <v>33</v>
      </c>
      <c r="U370" s="10" t="s">
        <v>644</v>
      </c>
      <c r="V370" s="10" t="s">
        <v>635</v>
      </c>
      <c r="W370" s="12">
        <v>152.93</v>
      </c>
      <c r="X370" s="12">
        <v>135.18</v>
      </c>
      <c r="Y370" s="12">
        <v>15.18</v>
      </c>
      <c r="Z370" s="12">
        <v>10.24</v>
      </c>
      <c r="AA370" s="15">
        <v>30</v>
      </c>
      <c r="AB370" s="15">
        <v>30</v>
      </c>
      <c r="AC370" s="12">
        <f t="shared" si="386"/>
        <v>17.75</v>
      </c>
      <c r="AD370" s="12">
        <f t="shared" si="387"/>
        <v>12.947779732448341</v>
      </c>
      <c r="AE370" s="12">
        <f t="shared" si="388"/>
        <v>1.3708914089352979</v>
      </c>
      <c r="AF370" s="12">
        <f t="shared" si="389"/>
        <v>0.28692831937455221</v>
      </c>
      <c r="AG370" s="12" t="s">
        <v>193</v>
      </c>
      <c r="AH370" s="12"/>
      <c r="AI370" s="12" t="s">
        <v>780</v>
      </c>
      <c r="AJ370" s="12" t="s">
        <v>348</v>
      </c>
      <c r="AK370" s="12"/>
      <c r="AL370" s="12"/>
      <c r="AM370" s="10" t="s">
        <v>934</v>
      </c>
      <c r="AN370" s="10" t="s">
        <v>157</v>
      </c>
    </row>
    <row r="371" spans="1:40" s="10" customFormat="1" x14ac:dyDescent="0.2">
      <c r="A371" s="4">
        <v>2013</v>
      </c>
      <c r="B371" s="6">
        <v>23660686</v>
      </c>
      <c r="C371" s="4" t="s">
        <v>358</v>
      </c>
      <c r="D371" s="4"/>
      <c r="E371" s="4" t="s">
        <v>157</v>
      </c>
      <c r="F371" s="4" t="s">
        <v>192</v>
      </c>
      <c r="G371" s="4" t="s">
        <v>559</v>
      </c>
      <c r="H371" s="4" t="s">
        <v>559</v>
      </c>
      <c r="I371" s="4"/>
      <c r="J371" s="4" t="s">
        <v>930</v>
      </c>
      <c r="K371" s="4" t="s">
        <v>86</v>
      </c>
      <c r="L371" s="4" t="s">
        <v>220</v>
      </c>
      <c r="M371" s="4" t="s">
        <v>902</v>
      </c>
      <c r="N371" s="4" t="s">
        <v>766</v>
      </c>
      <c r="P371" s="10" t="s">
        <v>911</v>
      </c>
      <c r="Q371" s="4">
        <v>2</v>
      </c>
      <c r="R371" s="10">
        <v>60</v>
      </c>
      <c r="S371" s="10">
        <v>50</v>
      </c>
      <c r="T371" s="13">
        <v>33</v>
      </c>
      <c r="U371" s="10" t="s">
        <v>645</v>
      </c>
      <c r="V371" s="10" t="s">
        <v>635</v>
      </c>
      <c r="W371" s="12">
        <v>91.35</v>
      </c>
      <c r="X371" s="12">
        <v>80.87</v>
      </c>
      <c r="Y371" s="12">
        <v>7.95</v>
      </c>
      <c r="Z371" s="12">
        <v>6.29</v>
      </c>
      <c r="AA371" s="15">
        <v>30</v>
      </c>
      <c r="AB371" s="15">
        <v>30</v>
      </c>
      <c r="AC371" s="12">
        <f t="shared" si="386"/>
        <v>10.47999999999999</v>
      </c>
      <c r="AD371" s="12">
        <f t="shared" si="387"/>
        <v>7.1682145615208812</v>
      </c>
      <c r="AE371" s="12">
        <f t="shared" si="388"/>
        <v>1.4620098087265465</v>
      </c>
      <c r="AF371" s="12">
        <f t="shared" si="389"/>
        <v>0.29065260880778609</v>
      </c>
      <c r="AG371" s="12" t="s">
        <v>193</v>
      </c>
      <c r="AH371" s="12"/>
      <c r="AI371" s="12" t="s">
        <v>780</v>
      </c>
      <c r="AJ371" s="12" t="s">
        <v>348</v>
      </c>
      <c r="AK371" s="12"/>
      <c r="AL371" s="12"/>
      <c r="AM371" s="10" t="s">
        <v>934</v>
      </c>
      <c r="AN371" s="10" t="s">
        <v>157</v>
      </c>
    </row>
    <row r="372" spans="1:40" s="10" customFormat="1" x14ac:dyDescent="0.2">
      <c r="A372" s="4">
        <v>2013</v>
      </c>
      <c r="B372" s="6">
        <v>23660686</v>
      </c>
      <c r="C372" s="4" t="s">
        <v>358</v>
      </c>
      <c r="D372" s="4"/>
      <c r="E372" s="4" t="s">
        <v>157</v>
      </c>
      <c r="F372" s="4" t="s">
        <v>192</v>
      </c>
      <c r="G372" s="4" t="s">
        <v>559</v>
      </c>
      <c r="H372" s="4" t="s">
        <v>559</v>
      </c>
      <c r="I372" s="4"/>
      <c r="J372" s="4" t="s">
        <v>930</v>
      </c>
      <c r="K372" s="4" t="s">
        <v>86</v>
      </c>
      <c r="L372" s="4" t="s">
        <v>220</v>
      </c>
      <c r="M372" s="4" t="s">
        <v>902</v>
      </c>
      <c r="N372" s="4" t="s">
        <v>766</v>
      </c>
      <c r="P372" s="10" t="s">
        <v>911</v>
      </c>
      <c r="Q372" s="4">
        <v>2</v>
      </c>
      <c r="R372" s="10">
        <v>60</v>
      </c>
      <c r="S372" s="10">
        <v>50</v>
      </c>
      <c r="T372" s="13">
        <v>33</v>
      </c>
      <c r="U372" s="10" t="s">
        <v>637</v>
      </c>
      <c r="V372" s="10" t="s">
        <v>635</v>
      </c>
      <c r="W372" s="12">
        <v>139</v>
      </c>
      <c r="X372" s="12">
        <v>125</v>
      </c>
      <c r="Y372" s="12">
        <v>2.5</v>
      </c>
      <c r="Z372" s="12">
        <v>1.5</v>
      </c>
      <c r="AA372" s="15">
        <v>30</v>
      </c>
      <c r="AB372" s="15">
        <v>30</v>
      </c>
      <c r="AC372" s="12">
        <f t="shared" si="386"/>
        <v>14</v>
      </c>
      <c r="AD372" s="12">
        <f t="shared" si="387"/>
        <v>2.0615528128088303</v>
      </c>
      <c r="AE372" s="12">
        <f t="shared" si="388"/>
        <v>6.7909975010173236</v>
      </c>
      <c r="AF372" s="12">
        <f t="shared" si="389"/>
        <v>0.67155073684485134</v>
      </c>
      <c r="AG372" s="12" t="s">
        <v>193</v>
      </c>
      <c r="AH372" s="12" t="s">
        <v>193</v>
      </c>
      <c r="AI372" s="12" t="s">
        <v>780</v>
      </c>
      <c r="AJ372" s="12" t="s">
        <v>348</v>
      </c>
      <c r="AK372" s="12"/>
      <c r="AL372" s="12"/>
      <c r="AM372" s="10" t="s">
        <v>934</v>
      </c>
      <c r="AN372" s="10" t="s">
        <v>157</v>
      </c>
    </row>
    <row r="373" spans="1:40" s="10" customFormat="1" x14ac:dyDescent="0.2">
      <c r="A373" s="4">
        <v>2013</v>
      </c>
      <c r="B373" s="6">
        <v>23660686</v>
      </c>
      <c r="C373" s="4" t="s">
        <v>358</v>
      </c>
      <c r="D373" s="4"/>
      <c r="E373" s="4" t="s">
        <v>157</v>
      </c>
      <c r="F373" s="4" t="s">
        <v>192</v>
      </c>
      <c r="G373" s="4" t="s">
        <v>559</v>
      </c>
      <c r="H373" s="4" t="s">
        <v>559</v>
      </c>
      <c r="I373" s="4"/>
      <c r="J373" s="4" t="s">
        <v>930</v>
      </c>
      <c r="K373" s="4" t="s">
        <v>86</v>
      </c>
      <c r="L373" s="4" t="s">
        <v>220</v>
      </c>
      <c r="M373" s="4" t="s">
        <v>902</v>
      </c>
      <c r="N373" s="4" t="s">
        <v>766</v>
      </c>
      <c r="P373" s="10" t="s">
        <v>911</v>
      </c>
      <c r="Q373" s="4">
        <v>2</v>
      </c>
      <c r="R373" s="10">
        <v>60</v>
      </c>
      <c r="S373" s="10">
        <v>50</v>
      </c>
      <c r="T373" s="13">
        <v>33</v>
      </c>
      <c r="U373" s="10" t="s">
        <v>638</v>
      </c>
      <c r="V373" s="10" t="s">
        <v>635</v>
      </c>
      <c r="W373" s="12">
        <v>87.1</v>
      </c>
      <c r="X373" s="12">
        <v>79.819999999999993</v>
      </c>
      <c r="Y373" s="12">
        <v>3</v>
      </c>
      <c r="Z373" s="12">
        <v>6.24</v>
      </c>
      <c r="AA373" s="15">
        <v>30</v>
      </c>
      <c r="AB373" s="15">
        <v>30</v>
      </c>
      <c r="AC373" s="12">
        <f t="shared" si="386"/>
        <v>7.2800000000000011</v>
      </c>
      <c r="AD373" s="12">
        <f t="shared" si="387"/>
        <v>4.8957941133180833</v>
      </c>
      <c r="AE373" s="12">
        <f t="shared" si="388"/>
        <v>1.4869906355326781</v>
      </c>
      <c r="AF373" s="12">
        <f t="shared" si="389"/>
        <v>0.29170677557783198</v>
      </c>
      <c r="AG373" s="12" t="s">
        <v>193</v>
      </c>
      <c r="AH373" s="12"/>
      <c r="AI373" s="12" t="s">
        <v>780</v>
      </c>
      <c r="AJ373" s="12" t="s">
        <v>348</v>
      </c>
      <c r="AK373" s="12"/>
      <c r="AL373" s="12"/>
      <c r="AM373" s="10" t="s">
        <v>934</v>
      </c>
      <c r="AN373" s="10" t="s">
        <v>157</v>
      </c>
    </row>
    <row r="374" spans="1:40" s="10" customFormat="1" x14ac:dyDescent="0.2">
      <c r="A374" s="4">
        <v>2014</v>
      </c>
      <c r="B374" s="25">
        <v>25259747</v>
      </c>
      <c r="C374" s="4" t="s">
        <v>358</v>
      </c>
      <c r="D374" s="4"/>
      <c r="F374" s="4" t="s">
        <v>559</v>
      </c>
      <c r="G374" s="4" t="s">
        <v>559</v>
      </c>
      <c r="H374" s="4" t="s">
        <v>559</v>
      </c>
      <c r="I374" s="4"/>
      <c r="J374" s="4" t="s">
        <v>1025</v>
      </c>
      <c r="K374" s="4" t="s">
        <v>86</v>
      </c>
      <c r="L374" s="4" t="s">
        <v>220</v>
      </c>
      <c r="M374" s="4" t="s">
        <v>903</v>
      </c>
      <c r="N374" s="4" t="s">
        <v>766</v>
      </c>
      <c r="O374" s="4" t="s">
        <v>1029</v>
      </c>
      <c r="P374" s="4" t="s">
        <v>911</v>
      </c>
      <c r="Q374" s="4">
        <v>2</v>
      </c>
      <c r="R374" s="4">
        <v>41</v>
      </c>
      <c r="S374" s="10">
        <v>65.400000000000006</v>
      </c>
      <c r="T374" s="13">
        <v>27</v>
      </c>
      <c r="U374" s="10" t="s">
        <v>640</v>
      </c>
      <c r="V374" s="10" t="s">
        <v>635</v>
      </c>
      <c r="W374" s="12">
        <v>131.69999999999999</v>
      </c>
      <c r="X374" s="12">
        <v>128.69999999999999</v>
      </c>
      <c r="Y374" s="12">
        <v>8.6999999999999993</v>
      </c>
      <c r="Z374" s="12">
        <v>10.9</v>
      </c>
      <c r="AA374" s="15">
        <v>41</v>
      </c>
      <c r="AB374" s="15">
        <v>41</v>
      </c>
      <c r="AC374" s="12">
        <f t="shared" si="386"/>
        <v>3</v>
      </c>
      <c r="AD374" s="12">
        <f t="shared" si="387"/>
        <v>9.8615414616580086</v>
      </c>
      <c r="AE374" s="12">
        <f t="shared" si="388"/>
        <v>0.30421207593803634</v>
      </c>
      <c r="AF374" s="12">
        <f t="shared" si="389"/>
        <v>0.22213686435841989</v>
      </c>
      <c r="AG374" s="12" t="s">
        <v>193</v>
      </c>
      <c r="AH374" s="12"/>
      <c r="AI374" s="12" t="s">
        <v>780</v>
      </c>
      <c r="AJ374" s="12" t="s">
        <v>348</v>
      </c>
      <c r="AK374" s="12" t="s">
        <v>960</v>
      </c>
      <c r="AL374" s="12"/>
      <c r="AM374" s="10" t="s">
        <v>1028</v>
      </c>
      <c r="AN374" s="10" t="s">
        <v>157</v>
      </c>
    </row>
    <row r="375" spans="1:40" s="10" customFormat="1" x14ac:dyDescent="0.2">
      <c r="A375" s="4">
        <v>2014</v>
      </c>
      <c r="B375" s="6">
        <v>25259747</v>
      </c>
      <c r="C375" s="4" t="s">
        <v>358</v>
      </c>
      <c r="D375" s="4"/>
      <c r="F375" s="4" t="s">
        <v>559</v>
      </c>
      <c r="G375" s="4" t="s">
        <v>559</v>
      </c>
      <c r="H375" s="4" t="s">
        <v>559</v>
      </c>
      <c r="I375" s="4"/>
      <c r="J375" s="4" t="s">
        <v>1025</v>
      </c>
      <c r="K375" s="4" t="s">
        <v>86</v>
      </c>
      <c r="L375" s="4" t="s">
        <v>220</v>
      </c>
      <c r="M375" s="4" t="s">
        <v>903</v>
      </c>
      <c r="N375" s="4" t="s">
        <v>766</v>
      </c>
      <c r="O375" s="4" t="s">
        <v>1029</v>
      </c>
      <c r="P375" s="4" t="s">
        <v>911</v>
      </c>
      <c r="Q375" s="4">
        <v>2</v>
      </c>
      <c r="R375" s="4">
        <v>41</v>
      </c>
      <c r="S375" s="10">
        <v>65.400000000000006</v>
      </c>
      <c r="T375" s="13">
        <v>27</v>
      </c>
      <c r="U375" s="10" t="s">
        <v>641</v>
      </c>
      <c r="V375" s="10" t="s">
        <v>635</v>
      </c>
      <c r="W375" s="12">
        <v>74.5</v>
      </c>
      <c r="X375" s="12">
        <v>73.099999999999994</v>
      </c>
      <c r="Y375" s="12">
        <v>8</v>
      </c>
      <c r="Z375" s="12">
        <v>6.7</v>
      </c>
      <c r="AA375" s="15">
        <v>41</v>
      </c>
      <c r="AB375" s="15">
        <v>41</v>
      </c>
      <c r="AC375" s="12">
        <f t="shared" ref="AC375:AC379" si="390">W375-X375</f>
        <v>1.4000000000000057</v>
      </c>
      <c r="AD375" s="12">
        <f t="shared" ref="AD375:AD379" si="391">SQRT(((AA375-1)*Y375^2+(AB375-1)*Z375^2)/(AA375+AB375-2))</f>
        <v>7.3786855197928043</v>
      </c>
      <c r="AE375" s="12">
        <f t="shared" ref="AE375:AE379" si="392">AC375/AD375</f>
        <v>0.18973569157333028</v>
      </c>
      <c r="AF375" s="12">
        <f t="shared" ref="AF375:AF379" si="393">SQRT(((AA375+AB375)/(AA375*AB375)+(AE375^2/(2*(AA375+AB375)))))</f>
        <v>0.22135943115237375</v>
      </c>
      <c r="AG375" s="12" t="s">
        <v>193</v>
      </c>
      <c r="AH375" s="12"/>
      <c r="AI375" s="12" t="s">
        <v>780</v>
      </c>
      <c r="AJ375" s="12" t="s">
        <v>348</v>
      </c>
      <c r="AK375" s="12" t="s">
        <v>960</v>
      </c>
      <c r="AL375" s="12"/>
      <c r="AM375" s="10" t="s">
        <v>1028</v>
      </c>
      <c r="AN375" s="10" t="s">
        <v>157</v>
      </c>
    </row>
    <row r="376" spans="1:40" s="10" customFormat="1" x14ac:dyDescent="0.2">
      <c r="A376" s="4">
        <v>2014</v>
      </c>
      <c r="B376" s="6">
        <v>25259747</v>
      </c>
      <c r="C376" s="4" t="s">
        <v>358</v>
      </c>
      <c r="D376" s="4"/>
      <c r="F376" s="4" t="s">
        <v>559</v>
      </c>
      <c r="G376" s="4" t="s">
        <v>559</v>
      </c>
      <c r="H376" s="4" t="s">
        <v>559</v>
      </c>
      <c r="I376" s="4"/>
      <c r="J376" s="4" t="s">
        <v>1025</v>
      </c>
      <c r="K376" s="4" t="s">
        <v>86</v>
      </c>
      <c r="L376" s="4" t="s">
        <v>220</v>
      </c>
      <c r="M376" s="4" t="s">
        <v>903</v>
      </c>
      <c r="N376" s="4" t="s">
        <v>766</v>
      </c>
      <c r="O376" s="4" t="s">
        <v>1029</v>
      </c>
      <c r="P376" s="4" t="s">
        <v>911</v>
      </c>
      <c r="Q376" s="4">
        <v>2</v>
      </c>
      <c r="R376" s="4">
        <v>41</v>
      </c>
      <c r="S376" s="10">
        <v>65.400000000000006</v>
      </c>
      <c r="T376" s="13">
        <v>27</v>
      </c>
      <c r="U376" s="10" t="s">
        <v>644</v>
      </c>
      <c r="V376" s="10" t="s">
        <v>642</v>
      </c>
      <c r="W376" s="12">
        <v>134.19999999999999</v>
      </c>
      <c r="X376" s="12">
        <v>133</v>
      </c>
      <c r="Y376" s="12">
        <v>9.8000000000000007</v>
      </c>
      <c r="Z376" s="12">
        <v>12.1</v>
      </c>
      <c r="AA376" s="15">
        <v>41</v>
      </c>
      <c r="AB376" s="15">
        <v>41</v>
      </c>
      <c r="AC376" s="12">
        <f t="shared" si="390"/>
        <v>1.1999999999999886</v>
      </c>
      <c r="AD376" s="12">
        <f t="shared" si="391"/>
        <v>11.010222522728593</v>
      </c>
      <c r="AE376" s="12">
        <f t="shared" si="392"/>
        <v>0.10898962282758662</v>
      </c>
      <c r="AF376" s="12">
        <f t="shared" si="393"/>
        <v>0.22102696472023417</v>
      </c>
      <c r="AG376" s="12" t="s">
        <v>193</v>
      </c>
      <c r="AH376" s="12"/>
      <c r="AI376" s="12" t="s">
        <v>780</v>
      </c>
      <c r="AJ376" s="12" t="s">
        <v>348</v>
      </c>
      <c r="AK376" s="12" t="s">
        <v>960</v>
      </c>
      <c r="AL376" s="12"/>
      <c r="AM376" s="10" t="s">
        <v>1028</v>
      </c>
      <c r="AN376" s="10" t="s">
        <v>157</v>
      </c>
    </row>
    <row r="377" spans="1:40" s="10" customFormat="1" x14ac:dyDescent="0.2">
      <c r="A377" s="4">
        <v>2014</v>
      </c>
      <c r="B377" s="6">
        <v>25259747</v>
      </c>
      <c r="C377" s="4" t="s">
        <v>358</v>
      </c>
      <c r="D377" s="4"/>
      <c r="F377" s="4" t="s">
        <v>559</v>
      </c>
      <c r="G377" s="4" t="s">
        <v>559</v>
      </c>
      <c r="H377" s="4" t="s">
        <v>559</v>
      </c>
      <c r="I377" s="4"/>
      <c r="J377" s="4" t="s">
        <v>1025</v>
      </c>
      <c r="K377" s="4" t="s">
        <v>86</v>
      </c>
      <c r="L377" s="4" t="s">
        <v>220</v>
      </c>
      <c r="M377" s="4" t="s">
        <v>903</v>
      </c>
      <c r="N377" s="4" t="s">
        <v>766</v>
      </c>
      <c r="O377" s="4" t="s">
        <v>1029</v>
      </c>
      <c r="P377" s="4" t="s">
        <v>911</v>
      </c>
      <c r="Q377" s="4">
        <v>2</v>
      </c>
      <c r="R377" s="4">
        <v>41</v>
      </c>
      <c r="S377" s="10">
        <v>65.400000000000006</v>
      </c>
      <c r="T377" s="13">
        <v>27</v>
      </c>
      <c r="U377" s="10" t="s">
        <v>645</v>
      </c>
      <c r="V377" s="10" t="s">
        <v>642</v>
      </c>
      <c r="W377" s="12">
        <v>76.7</v>
      </c>
      <c r="X377" s="12">
        <v>76.099999999999994</v>
      </c>
      <c r="Y377" s="12">
        <v>7.9</v>
      </c>
      <c r="Z377" s="12">
        <v>6.8</v>
      </c>
      <c r="AA377" s="15">
        <v>41</v>
      </c>
      <c r="AB377" s="15">
        <v>41</v>
      </c>
      <c r="AC377" s="12">
        <f t="shared" si="390"/>
        <v>0.60000000000000853</v>
      </c>
      <c r="AD377" s="12">
        <f t="shared" si="391"/>
        <v>7.3705495046163287</v>
      </c>
      <c r="AE377" s="12">
        <f t="shared" si="392"/>
        <v>8.1405056654760416E-2</v>
      </c>
      <c r="AF377" s="12">
        <f t="shared" si="393"/>
        <v>0.22095450893749771</v>
      </c>
      <c r="AG377" s="12" t="s">
        <v>193</v>
      </c>
      <c r="AH377" s="12"/>
      <c r="AI377" s="12" t="s">
        <v>780</v>
      </c>
      <c r="AJ377" s="12" t="s">
        <v>348</v>
      </c>
      <c r="AK377" s="12" t="s">
        <v>960</v>
      </c>
      <c r="AL377" s="12"/>
      <c r="AM377" s="10" t="s">
        <v>1028</v>
      </c>
      <c r="AN377" s="10" t="s">
        <v>157</v>
      </c>
    </row>
    <row r="378" spans="1:40" s="10" customFormat="1" x14ac:dyDescent="0.2">
      <c r="A378" s="4">
        <v>2014</v>
      </c>
      <c r="B378" s="6">
        <v>25259747</v>
      </c>
      <c r="C378" s="4" t="s">
        <v>358</v>
      </c>
      <c r="D378" s="4"/>
      <c r="F378" s="4" t="s">
        <v>559</v>
      </c>
      <c r="G378" s="4" t="s">
        <v>559</v>
      </c>
      <c r="H378" s="4" t="s">
        <v>559</v>
      </c>
      <c r="I378" s="4"/>
      <c r="J378" s="4" t="s">
        <v>1025</v>
      </c>
      <c r="K378" s="4" t="s">
        <v>86</v>
      </c>
      <c r="L378" s="4" t="s">
        <v>220</v>
      </c>
      <c r="M378" s="4" t="s">
        <v>903</v>
      </c>
      <c r="N378" s="4" t="s">
        <v>766</v>
      </c>
      <c r="O378" s="4" t="s">
        <v>1029</v>
      </c>
      <c r="P378" s="4" t="s">
        <v>911</v>
      </c>
      <c r="Q378" s="4">
        <v>2</v>
      </c>
      <c r="R378" s="4">
        <v>41</v>
      </c>
      <c r="S378" s="10">
        <v>65.400000000000006</v>
      </c>
      <c r="T378" s="13">
        <v>27</v>
      </c>
      <c r="U378" s="10" t="s">
        <v>637</v>
      </c>
      <c r="V378" s="10" t="s">
        <v>635</v>
      </c>
      <c r="W378" s="12">
        <v>125.3</v>
      </c>
      <c r="X378" s="12">
        <v>117.8</v>
      </c>
      <c r="Y378" s="12">
        <v>10.199999999999999</v>
      </c>
      <c r="Z378" s="12">
        <v>10.7</v>
      </c>
      <c r="AA378" s="15">
        <v>41</v>
      </c>
      <c r="AB378" s="15">
        <v>41</v>
      </c>
      <c r="AC378" s="12">
        <f t="shared" si="390"/>
        <v>7.5</v>
      </c>
      <c r="AD378" s="12">
        <f t="shared" si="391"/>
        <v>10.452990002865208</v>
      </c>
      <c r="AE378" s="12">
        <f t="shared" si="392"/>
        <v>0.71749805538360012</v>
      </c>
      <c r="AF378" s="12">
        <f t="shared" si="393"/>
        <v>0.22785858177717952</v>
      </c>
      <c r="AG378" s="12" t="s">
        <v>193</v>
      </c>
      <c r="AH378" s="12" t="s">
        <v>193</v>
      </c>
      <c r="AI378" s="12" t="s">
        <v>780</v>
      </c>
      <c r="AJ378" s="12" t="s">
        <v>348</v>
      </c>
      <c r="AK378" s="12" t="s">
        <v>960</v>
      </c>
      <c r="AL378" s="12"/>
      <c r="AM378" s="10" t="s">
        <v>1028</v>
      </c>
      <c r="AN378" s="10" t="s">
        <v>157</v>
      </c>
    </row>
    <row r="379" spans="1:40" s="10" customFormat="1" x14ac:dyDescent="0.2">
      <c r="A379" s="4">
        <v>2014</v>
      </c>
      <c r="B379" s="6">
        <v>25259747</v>
      </c>
      <c r="C379" s="4" t="s">
        <v>358</v>
      </c>
      <c r="D379" s="4"/>
      <c r="F379" s="4" t="s">
        <v>559</v>
      </c>
      <c r="G379" s="4" t="s">
        <v>559</v>
      </c>
      <c r="H379" s="4" t="s">
        <v>559</v>
      </c>
      <c r="I379" s="4"/>
      <c r="J379" s="4" t="s">
        <v>1025</v>
      </c>
      <c r="K379" s="4" t="s">
        <v>86</v>
      </c>
      <c r="L379" s="4" t="s">
        <v>220</v>
      </c>
      <c r="M379" s="4" t="s">
        <v>903</v>
      </c>
      <c r="N379" s="4" t="s">
        <v>766</v>
      </c>
      <c r="O379" s="4" t="s">
        <v>1029</v>
      </c>
      <c r="P379" s="4" t="s">
        <v>911</v>
      </c>
      <c r="Q379" s="4">
        <v>2</v>
      </c>
      <c r="R379" s="4">
        <v>41</v>
      </c>
      <c r="S379" s="10">
        <v>65.400000000000006</v>
      </c>
      <c r="T379" s="13">
        <v>27</v>
      </c>
      <c r="U379" s="10" t="s">
        <v>638</v>
      </c>
      <c r="V379" s="10" t="s">
        <v>635</v>
      </c>
      <c r="W379" s="12">
        <v>68.900000000000006</v>
      </c>
      <c r="X379" s="12">
        <v>65.2</v>
      </c>
      <c r="Y379" s="12">
        <v>9.6999999999999993</v>
      </c>
      <c r="Z379" s="12">
        <v>8.3000000000000007</v>
      </c>
      <c r="AA379" s="15">
        <v>41</v>
      </c>
      <c r="AB379" s="15">
        <v>41</v>
      </c>
      <c r="AC379" s="12">
        <f t="shared" si="390"/>
        <v>3.7000000000000028</v>
      </c>
      <c r="AD379" s="12">
        <f t="shared" si="391"/>
        <v>9.0271811768680035</v>
      </c>
      <c r="AE379" s="12">
        <f t="shared" si="392"/>
        <v>0.40987324032901756</v>
      </c>
      <c r="AF379" s="12">
        <f t="shared" si="393"/>
        <v>0.22317001166039052</v>
      </c>
      <c r="AG379" s="12" t="s">
        <v>193</v>
      </c>
      <c r="AH379" s="12"/>
      <c r="AI379" s="12" t="s">
        <v>780</v>
      </c>
      <c r="AJ379" s="12" t="s">
        <v>348</v>
      </c>
      <c r="AK379" s="12" t="s">
        <v>960</v>
      </c>
      <c r="AL379" s="12"/>
      <c r="AM379" s="10" t="s">
        <v>1028</v>
      </c>
      <c r="AN379" s="10" t="s">
        <v>157</v>
      </c>
    </row>
    <row r="380" spans="1:40" s="10" customFormat="1" x14ac:dyDescent="0.2">
      <c r="A380" s="4">
        <v>2017</v>
      </c>
      <c r="B380" s="25">
        <v>29106031</v>
      </c>
      <c r="C380" s="4" t="s">
        <v>122</v>
      </c>
      <c r="D380" s="4"/>
      <c r="E380" s="4" t="s">
        <v>157</v>
      </c>
      <c r="F380" s="10" t="s">
        <v>120</v>
      </c>
      <c r="G380" s="10" t="s">
        <v>1110</v>
      </c>
      <c r="H380" s="10" t="s">
        <v>1110</v>
      </c>
      <c r="I380" s="10">
        <v>7</v>
      </c>
      <c r="J380" s="4" t="s">
        <v>939</v>
      </c>
      <c r="K380" s="4" t="s">
        <v>86</v>
      </c>
      <c r="L380" s="4" t="s">
        <v>220</v>
      </c>
      <c r="M380" s="4" t="s">
        <v>903</v>
      </c>
      <c r="N380" s="4" t="s">
        <v>766</v>
      </c>
      <c r="O380" s="4" t="s">
        <v>977</v>
      </c>
      <c r="P380" s="4" t="s">
        <v>911</v>
      </c>
      <c r="Q380" s="4">
        <v>2</v>
      </c>
      <c r="R380" s="4">
        <v>23</v>
      </c>
      <c r="S380" s="10">
        <v>68</v>
      </c>
      <c r="T380" s="13">
        <v>65.2</v>
      </c>
      <c r="U380" s="10" t="s">
        <v>837</v>
      </c>
      <c r="V380" s="10" t="s">
        <v>642</v>
      </c>
      <c r="W380" s="12">
        <v>-6.1</v>
      </c>
      <c r="X380" s="12">
        <v>-2.9</v>
      </c>
      <c r="Y380" s="12">
        <f>SQRT(23) * ((-0.9+11.3)/3.92)</f>
        <v>12.723634653686807</v>
      </c>
      <c r="Z380" s="12">
        <f>SQRT(23) * ((2.3+8)/3.92)</f>
        <v>12.601292012785972</v>
      </c>
      <c r="AA380" s="15">
        <v>23</v>
      </c>
      <c r="AB380" s="15">
        <v>23</v>
      </c>
      <c r="AC380" s="12">
        <f>W380-X380</f>
        <v>-3.1999999999999997</v>
      </c>
      <c r="AD380" s="12">
        <f t="shared" si="387"/>
        <v>12.662611089187003</v>
      </c>
      <c r="AE380" s="12">
        <f t="shared" si="388"/>
        <v>-0.25271249171765048</v>
      </c>
      <c r="AF380" s="12">
        <f t="shared" si="389"/>
        <v>0.29605859444047017</v>
      </c>
      <c r="AG380" s="12" t="s">
        <v>193</v>
      </c>
      <c r="AH380" s="12" t="s">
        <v>193</v>
      </c>
      <c r="AI380" s="12" t="s">
        <v>780</v>
      </c>
      <c r="AJ380" s="12" t="s">
        <v>328</v>
      </c>
      <c r="AK380" s="12"/>
      <c r="AL380" s="12"/>
      <c r="AM380" s="10" t="s">
        <v>938</v>
      </c>
      <c r="AN380" s="10" t="s">
        <v>157</v>
      </c>
    </row>
    <row r="381" spans="1:40" s="10" customFormat="1" x14ac:dyDescent="0.2">
      <c r="A381" s="4">
        <v>2017</v>
      </c>
      <c r="B381" s="6">
        <v>29106031</v>
      </c>
      <c r="C381" s="4" t="s">
        <v>122</v>
      </c>
      <c r="D381" s="4"/>
      <c r="E381" s="4" t="s">
        <v>157</v>
      </c>
      <c r="F381" s="10" t="s">
        <v>120</v>
      </c>
      <c r="G381" s="10" t="s">
        <v>1110</v>
      </c>
      <c r="H381" s="10" t="s">
        <v>1110</v>
      </c>
      <c r="I381" s="10">
        <v>7</v>
      </c>
      <c r="J381" s="4" t="s">
        <v>939</v>
      </c>
      <c r="K381" s="4" t="s">
        <v>86</v>
      </c>
      <c r="L381" s="4" t="s">
        <v>220</v>
      </c>
      <c r="M381" s="4" t="s">
        <v>903</v>
      </c>
      <c r="N381" s="4" t="s">
        <v>766</v>
      </c>
      <c r="O381" s="4" t="s">
        <v>977</v>
      </c>
      <c r="P381" s="4" t="s">
        <v>911</v>
      </c>
      <c r="Q381" s="4">
        <v>2</v>
      </c>
      <c r="R381" s="4">
        <v>23</v>
      </c>
      <c r="S381" s="10">
        <v>68</v>
      </c>
      <c r="T381" s="13">
        <v>65.2</v>
      </c>
      <c r="U381" s="10" t="s">
        <v>838</v>
      </c>
      <c r="V381" s="10" t="s">
        <v>642</v>
      </c>
      <c r="W381" s="12">
        <v>-3.8</v>
      </c>
      <c r="X381" s="12">
        <v>-2.5</v>
      </c>
      <c r="Y381" s="12">
        <f>SQRT(23) * ((-1.1+6.5)/3.92)</f>
        <v>6.6065026086450729</v>
      </c>
      <c r="Z381" s="12">
        <f>SQRT(23) * ((0.2+5.3)/3.92)</f>
        <v>6.7288452495459072</v>
      </c>
      <c r="AA381" s="15">
        <v>23</v>
      </c>
      <c r="AB381" s="15">
        <v>23</v>
      </c>
      <c r="AC381" s="12">
        <f>W381-X381</f>
        <v>-1.2999999999999998</v>
      </c>
      <c r="AD381" s="12">
        <f t="shared" ref="AD381" si="394">SQRT(((AA381-1)*Y381^2+(AB381-1)*Z381^2)/(AA381+AB381-2))</f>
        <v>6.6679545255786898</v>
      </c>
      <c r="AE381" s="12">
        <f t="shared" ref="AE381" si="395">AC381/AD381</f>
        <v>-0.19496233740244009</v>
      </c>
      <c r="AF381" s="12">
        <f t="shared" ref="AF381" si="396">SQRT(((AA381+AB381)/(AA381*AB381)+(AE381^2/(2*(AA381+AB381)))))</f>
        <v>0.29558362152743906</v>
      </c>
      <c r="AG381" s="12" t="s">
        <v>193</v>
      </c>
      <c r="AH381" s="12"/>
      <c r="AI381" s="12" t="s">
        <v>780</v>
      </c>
      <c r="AJ381" s="12" t="s">
        <v>328</v>
      </c>
      <c r="AK381" s="12"/>
      <c r="AL381" s="12"/>
      <c r="AM381" s="10" t="s">
        <v>938</v>
      </c>
      <c r="AN381" s="10" t="s">
        <v>157</v>
      </c>
    </row>
    <row r="382" spans="1:40" s="10" customFormat="1" x14ac:dyDescent="0.2">
      <c r="A382" s="4">
        <v>2015</v>
      </c>
      <c r="B382" s="25">
        <v>26770548</v>
      </c>
      <c r="C382" s="4" t="s">
        <v>940</v>
      </c>
      <c r="D382" s="4"/>
      <c r="E382" s="4" t="s">
        <v>157</v>
      </c>
      <c r="F382" s="4" t="s">
        <v>941</v>
      </c>
      <c r="G382" s="4" t="s">
        <v>948</v>
      </c>
      <c r="H382" s="4" t="s">
        <v>948</v>
      </c>
      <c r="I382" s="4">
        <v>2</v>
      </c>
      <c r="J382" s="4" t="s">
        <v>944</v>
      </c>
      <c r="K382" s="4" t="s">
        <v>86</v>
      </c>
      <c r="L382" s="10" t="s">
        <v>220</v>
      </c>
      <c r="M382" s="4" t="s">
        <v>902</v>
      </c>
      <c r="N382" s="4" t="s">
        <v>766</v>
      </c>
      <c r="O382" s="4"/>
      <c r="P382" s="4" t="s">
        <v>911</v>
      </c>
      <c r="Q382" s="4">
        <v>2</v>
      </c>
      <c r="R382" s="4">
        <v>41</v>
      </c>
      <c r="S382" s="10">
        <v>55.8</v>
      </c>
      <c r="T382" s="13">
        <v>55</v>
      </c>
      <c r="U382" s="10" t="s">
        <v>950</v>
      </c>
      <c r="V382" s="10" t="s">
        <v>642</v>
      </c>
      <c r="W382" s="12">
        <v>-28.7</v>
      </c>
      <c r="X382" s="12">
        <v>-30.5</v>
      </c>
      <c r="Y382" s="12">
        <v>11.9</v>
      </c>
      <c r="Z382" s="12">
        <v>10.5</v>
      </c>
      <c r="AA382" s="15">
        <v>20</v>
      </c>
      <c r="AB382" s="15">
        <v>21</v>
      </c>
      <c r="AC382" s="12">
        <f t="shared" ref="AC382:AC387" si="397">W382-X382</f>
        <v>1.8000000000000007</v>
      </c>
      <c r="AD382" s="12">
        <f t="shared" ref="AD382:AD387" si="398">SQRT(((AA382-1)*Y382^2+(AB382-1)*Z382^2)/(AA382+AB382-2))</f>
        <v>11.203925594091952</v>
      </c>
      <c r="AE382" s="12">
        <f t="shared" ref="AE382:AE387" si="399">AC382/AD382</f>
        <v>0.1606579751787334</v>
      </c>
      <c r="AF382" s="12">
        <f t="shared" ref="AF382:AF387" si="400">SQRT(((AA382+AB382)/(AA382*AB382)+(AE382^2/(2*(AA382+AB382)))))</f>
        <v>0.31294379004649359</v>
      </c>
      <c r="AG382" s="12" t="s">
        <v>193</v>
      </c>
      <c r="AH382" s="12"/>
      <c r="AI382" s="12" t="s">
        <v>780</v>
      </c>
      <c r="AJ382" s="12" t="s">
        <v>348</v>
      </c>
      <c r="AK382" s="12"/>
      <c r="AL382" s="12"/>
      <c r="AM382" s="10" t="s">
        <v>949</v>
      </c>
      <c r="AN382" s="10" t="s">
        <v>157</v>
      </c>
    </row>
    <row r="383" spans="1:40" s="10" customFormat="1" x14ac:dyDescent="0.2">
      <c r="A383" s="4">
        <v>2015</v>
      </c>
      <c r="B383" s="6">
        <v>26770548</v>
      </c>
      <c r="C383" s="4" t="s">
        <v>940</v>
      </c>
      <c r="D383" s="4"/>
      <c r="E383" s="4" t="s">
        <v>157</v>
      </c>
      <c r="F383" s="4" t="s">
        <v>941</v>
      </c>
      <c r="G383" s="4" t="s">
        <v>948</v>
      </c>
      <c r="H383" s="4" t="s">
        <v>948</v>
      </c>
      <c r="I383" s="4">
        <v>2</v>
      </c>
      <c r="J383" s="4" t="s">
        <v>944</v>
      </c>
      <c r="K383" s="4" t="s">
        <v>86</v>
      </c>
      <c r="L383" s="10" t="s">
        <v>220</v>
      </c>
      <c r="M383" s="4" t="s">
        <v>902</v>
      </c>
      <c r="N383" s="4" t="s">
        <v>766</v>
      </c>
      <c r="O383" s="4"/>
      <c r="P383" s="4" t="s">
        <v>911</v>
      </c>
      <c r="Q383" s="4">
        <v>2</v>
      </c>
      <c r="R383" s="4">
        <v>41</v>
      </c>
      <c r="S383" s="10">
        <v>55.8</v>
      </c>
      <c r="T383" s="13">
        <v>55</v>
      </c>
      <c r="U383" s="10" t="s">
        <v>834</v>
      </c>
      <c r="V383" s="10" t="s">
        <v>642</v>
      </c>
      <c r="W383" s="12">
        <v>-15.9</v>
      </c>
      <c r="X383" s="12">
        <v>-18</v>
      </c>
      <c r="Y383" s="12">
        <v>6.9</v>
      </c>
      <c r="Z383" s="12">
        <v>7.9</v>
      </c>
      <c r="AA383" s="15">
        <v>20</v>
      </c>
      <c r="AB383" s="15">
        <v>21</v>
      </c>
      <c r="AC383" s="12">
        <f t="shared" si="397"/>
        <v>2.0999999999999996</v>
      </c>
      <c r="AD383" s="12">
        <f t="shared" si="398"/>
        <v>7.4296529925524508</v>
      </c>
      <c r="AE383" s="12">
        <f t="shared" si="399"/>
        <v>0.28265115505462474</v>
      </c>
      <c r="AF383" s="12">
        <f t="shared" si="400"/>
        <v>0.31399575848105482</v>
      </c>
      <c r="AG383" s="12" t="s">
        <v>193</v>
      </c>
      <c r="AH383" s="12" t="s">
        <v>193</v>
      </c>
      <c r="AI383" s="12" t="s">
        <v>780</v>
      </c>
      <c r="AJ383" s="12" t="s">
        <v>348</v>
      </c>
      <c r="AK383" s="12"/>
      <c r="AL383" s="12"/>
      <c r="AM383" s="10" t="s">
        <v>949</v>
      </c>
      <c r="AN383" s="10" t="s">
        <v>157</v>
      </c>
    </row>
    <row r="384" spans="1:40" s="10" customFormat="1" x14ac:dyDescent="0.2">
      <c r="A384" s="4">
        <v>2015</v>
      </c>
      <c r="B384" s="6">
        <v>26770548</v>
      </c>
      <c r="C384" s="4" t="s">
        <v>940</v>
      </c>
      <c r="D384" s="4"/>
      <c r="E384" s="4" t="s">
        <v>157</v>
      </c>
      <c r="F384" s="4" t="s">
        <v>941</v>
      </c>
      <c r="G384" s="4" t="s">
        <v>948</v>
      </c>
      <c r="H384" s="4" t="s">
        <v>948</v>
      </c>
      <c r="I384" s="4">
        <v>2</v>
      </c>
      <c r="J384" s="4" t="s">
        <v>944</v>
      </c>
      <c r="K384" s="4" t="s">
        <v>86</v>
      </c>
      <c r="L384" s="10" t="s">
        <v>220</v>
      </c>
      <c r="M384" s="4" t="s">
        <v>902</v>
      </c>
      <c r="N384" s="4" t="s">
        <v>766</v>
      </c>
      <c r="O384" s="4"/>
      <c r="P384" s="4" t="s">
        <v>911</v>
      </c>
      <c r="Q384" s="4">
        <v>2</v>
      </c>
      <c r="R384" s="4">
        <v>41</v>
      </c>
      <c r="S384" s="10">
        <v>55.8</v>
      </c>
      <c r="T384" s="13">
        <v>55</v>
      </c>
      <c r="U384" s="10" t="s">
        <v>835</v>
      </c>
      <c r="V384" s="10" t="s">
        <v>642</v>
      </c>
      <c r="W384" s="12">
        <v>-30.5</v>
      </c>
      <c r="X384" s="12">
        <v>-31.3</v>
      </c>
      <c r="Y384" s="12">
        <v>11.2</v>
      </c>
      <c r="Z384" s="12">
        <v>13.5</v>
      </c>
      <c r="AA384" s="15">
        <v>20</v>
      </c>
      <c r="AB384" s="15">
        <v>21</v>
      </c>
      <c r="AC384" s="12">
        <f t="shared" si="397"/>
        <v>0.80000000000000071</v>
      </c>
      <c r="AD384" s="12">
        <f t="shared" si="398"/>
        <v>12.432752443981716</v>
      </c>
      <c r="AE384" s="12">
        <f t="shared" si="399"/>
        <v>6.4346169812723508E-2</v>
      </c>
      <c r="AF384" s="12">
        <f t="shared" si="400"/>
        <v>0.31252126433665106</v>
      </c>
      <c r="AG384" s="12" t="s">
        <v>193</v>
      </c>
      <c r="AH384" s="12"/>
      <c r="AI384" s="12" t="s">
        <v>780</v>
      </c>
      <c r="AJ384" s="12" t="s">
        <v>348</v>
      </c>
      <c r="AK384" s="12"/>
      <c r="AL384" s="12"/>
      <c r="AM384" s="10" t="s">
        <v>949</v>
      </c>
      <c r="AN384" s="10" t="s">
        <v>157</v>
      </c>
    </row>
    <row r="385" spans="1:40" s="10" customFormat="1" x14ac:dyDescent="0.2">
      <c r="A385" s="4">
        <v>2015</v>
      </c>
      <c r="B385" s="6">
        <v>26770548</v>
      </c>
      <c r="C385" s="4" t="s">
        <v>940</v>
      </c>
      <c r="D385" s="4"/>
      <c r="E385" s="4" t="s">
        <v>157</v>
      </c>
      <c r="F385" s="4" t="s">
        <v>941</v>
      </c>
      <c r="G385" s="4" t="s">
        <v>948</v>
      </c>
      <c r="H385" s="4" t="s">
        <v>948</v>
      </c>
      <c r="I385" s="4">
        <v>2</v>
      </c>
      <c r="J385" s="4" t="s">
        <v>944</v>
      </c>
      <c r="K385" s="4" t="s">
        <v>86</v>
      </c>
      <c r="L385" s="10" t="s">
        <v>220</v>
      </c>
      <c r="M385" s="4" t="s">
        <v>902</v>
      </c>
      <c r="N385" s="4" t="s">
        <v>766</v>
      </c>
      <c r="O385" s="4"/>
      <c r="P385" s="4" t="s">
        <v>911</v>
      </c>
      <c r="Q385" s="4">
        <v>2</v>
      </c>
      <c r="R385" s="4">
        <v>41</v>
      </c>
      <c r="S385" s="10">
        <v>55.8</v>
      </c>
      <c r="T385" s="13">
        <v>55</v>
      </c>
      <c r="U385" s="10" t="s">
        <v>836</v>
      </c>
      <c r="V385" s="10" t="s">
        <v>642</v>
      </c>
      <c r="W385" s="12">
        <v>-16.8</v>
      </c>
      <c r="X385" s="12">
        <v>-18.600000000000001</v>
      </c>
      <c r="Y385" s="12">
        <v>6.5</v>
      </c>
      <c r="Z385" s="12">
        <v>6.9</v>
      </c>
      <c r="AA385" s="15">
        <v>20</v>
      </c>
      <c r="AB385" s="15">
        <v>21</v>
      </c>
      <c r="AC385" s="12">
        <f t="shared" si="397"/>
        <v>1.8000000000000007</v>
      </c>
      <c r="AD385" s="12">
        <f t="shared" si="398"/>
        <v>6.7081083733581668</v>
      </c>
      <c r="AE385" s="12">
        <f t="shared" si="399"/>
        <v>0.26833197972007378</v>
      </c>
      <c r="AF385" s="12">
        <f t="shared" si="400"/>
        <v>0.31384251053017487</v>
      </c>
      <c r="AG385" s="12" t="s">
        <v>193</v>
      </c>
      <c r="AH385" s="12"/>
      <c r="AI385" s="12" t="s">
        <v>780</v>
      </c>
      <c r="AJ385" s="12" t="s">
        <v>348</v>
      </c>
      <c r="AK385" s="12"/>
      <c r="AL385" s="12"/>
      <c r="AM385" s="10" t="s">
        <v>949</v>
      </c>
      <c r="AN385" s="10" t="s">
        <v>157</v>
      </c>
    </row>
    <row r="386" spans="1:40" s="10" customFormat="1" x14ac:dyDescent="0.2">
      <c r="A386" s="4">
        <v>2015</v>
      </c>
      <c r="B386" s="6">
        <v>26770548</v>
      </c>
      <c r="C386" s="4" t="s">
        <v>940</v>
      </c>
      <c r="D386" s="4"/>
      <c r="E386" s="4" t="s">
        <v>157</v>
      </c>
      <c r="F386" s="4" t="s">
        <v>941</v>
      </c>
      <c r="G386" s="4" t="s">
        <v>948</v>
      </c>
      <c r="H386" s="4" t="s">
        <v>948</v>
      </c>
      <c r="I386" s="4">
        <v>2</v>
      </c>
      <c r="J386" s="4" t="s">
        <v>944</v>
      </c>
      <c r="K386" s="4" t="s">
        <v>86</v>
      </c>
      <c r="L386" s="10" t="s">
        <v>220</v>
      </c>
      <c r="M386" s="4" t="s">
        <v>902</v>
      </c>
      <c r="N386" s="4" t="s">
        <v>766</v>
      </c>
      <c r="O386" s="4"/>
      <c r="P386" s="4" t="s">
        <v>911</v>
      </c>
      <c r="Q386" s="4">
        <v>2</v>
      </c>
      <c r="R386" s="4">
        <v>41</v>
      </c>
      <c r="S386" s="10">
        <v>55.8</v>
      </c>
      <c r="T386" s="13">
        <v>55</v>
      </c>
      <c r="U386" s="10" t="s">
        <v>837</v>
      </c>
      <c r="V386" s="10" t="s">
        <v>642</v>
      </c>
      <c r="W386" s="12">
        <v>-24.6</v>
      </c>
      <c r="X386" s="12">
        <v>-26.5</v>
      </c>
      <c r="Y386" s="12">
        <v>12.8</v>
      </c>
      <c r="Z386" s="12">
        <v>11.8</v>
      </c>
      <c r="AA386" s="15">
        <v>20</v>
      </c>
      <c r="AB386" s="15">
        <v>21</v>
      </c>
      <c r="AC386" s="12">
        <f t="shared" si="397"/>
        <v>1.8999999999999986</v>
      </c>
      <c r="AD386" s="12">
        <f t="shared" si="398"/>
        <v>12.297341801568964</v>
      </c>
      <c r="AE386" s="12">
        <f t="shared" si="399"/>
        <v>0.15450493534770141</v>
      </c>
      <c r="AF386" s="12">
        <f t="shared" si="400"/>
        <v>0.31290600318136336</v>
      </c>
      <c r="AG386" s="12" t="s">
        <v>193</v>
      </c>
      <c r="AH386" s="12"/>
      <c r="AI386" s="12" t="s">
        <v>780</v>
      </c>
      <c r="AJ386" s="12" t="s">
        <v>348</v>
      </c>
      <c r="AK386" s="12"/>
      <c r="AL386" s="12"/>
      <c r="AM386" s="10" t="s">
        <v>949</v>
      </c>
      <c r="AN386" s="10" t="s">
        <v>157</v>
      </c>
    </row>
    <row r="387" spans="1:40" s="10" customFormat="1" x14ac:dyDescent="0.2">
      <c r="A387" s="4">
        <v>2015</v>
      </c>
      <c r="B387" s="6">
        <v>26770548</v>
      </c>
      <c r="C387" s="4" t="s">
        <v>940</v>
      </c>
      <c r="D387" s="4"/>
      <c r="E387" s="4" t="s">
        <v>157</v>
      </c>
      <c r="F387" s="4" t="s">
        <v>941</v>
      </c>
      <c r="G387" s="4" t="s">
        <v>948</v>
      </c>
      <c r="H387" s="4" t="s">
        <v>948</v>
      </c>
      <c r="I387" s="4">
        <v>2</v>
      </c>
      <c r="J387" s="4" t="s">
        <v>944</v>
      </c>
      <c r="K387" s="4" t="s">
        <v>86</v>
      </c>
      <c r="L387" s="10" t="s">
        <v>220</v>
      </c>
      <c r="M387" s="4" t="s">
        <v>902</v>
      </c>
      <c r="N387" s="4" t="s">
        <v>766</v>
      </c>
      <c r="O387" s="4"/>
      <c r="P387" s="4" t="s">
        <v>911</v>
      </c>
      <c r="Q387" s="4">
        <v>2</v>
      </c>
      <c r="R387" s="4">
        <v>41</v>
      </c>
      <c r="S387" s="10">
        <v>55.8</v>
      </c>
      <c r="T387" s="13">
        <v>55</v>
      </c>
      <c r="U387" s="10" t="s">
        <v>838</v>
      </c>
      <c r="V387" s="10" t="s">
        <v>642</v>
      </c>
      <c r="W387" s="12">
        <v>-14.4</v>
      </c>
      <c r="X387" s="12">
        <v>-15.4</v>
      </c>
      <c r="Y387" s="12">
        <v>8.6999999999999993</v>
      </c>
      <c r="Z387" s="12">
        <v>6.9</v>
      </c>
      <c r="AA387" s="15">
        <v>20</v>
      </c>
      <c r="AB387" s="15">
        <v>21</v>
      </c>
      <c r="AC387" s="12">
        <f t="shared" si="397"/>
        <v>1</v>
      </c>
      <c r="AD387" s="12">
        <f t="shared" si="398"/>
        <v>7.8287930104199335</v>
      </c>
      <c r="AE387" s="12">
        <f t="shared" si="399"/>
        <v>0.12773361087322455</v>
      </c>
      <c r="AF387" s="12">
        <f t="shared" si="400"/>
        <v>0.31275872762984835</v>
      </c>
      <c r="AG387" s="12" t="s">
        <v>193</v>
      </c>
      <c r="AH387" s="12"/>
      <c r="AI387" s="12" t="s">
        <v>780</v>
      </c>
      <c r="AJ387" s="12" t="s">
        <v>348</v>
      </c>
      <c r="AK387" s="12"/>
      <c r="AL387" s="12"/>
      <c r="AM387" s="10" t="s">
        <v>949</v>
      </c>
      <c r="AN387" s="10" t="s">
        <v>157</v>
      </c>
    </row>
    <row r="388" spans="1:40" s="10" customFormat="1" x14ac:dyDescent="0.2">
      <c r="A388" s="4">
        <v>2016</v>
      </c>
      <c r="B388" s="25">
        <v>26989846</v>
      </c>
      <c r="C388" s="4" t="s">
        <v>956</v>
      </c>
      <c r="D388" s="4"/>
      <c r="E388" s="4" t="s">
        <v>157</v>
      </c>
      <c r="F388" s="10" t="s">
        <v>120</v>
      </c>
      <c r="G388" s="10" t="s">
        <v>1110</v>
      </c>
      <c r="H388" s="10" t="s">
        <v>1110</v>
      </c>
      <c r="I388" s="4">
        <v>24</v>
      </c>
      <c r="J388" s="4" t="s">
        <v>957</v>
      </c>
      <c r="K388" s="4" t="s">
        <v>86</v>
      </c>
      <c r="L388" s="4" t="s">
        <v>220</v>
      </c>
      <c r="M388" s="4" t="s">
        <v>902</v>
      </c>
      <c r="N388" s="4" t="s">
        <v>766</v>
      </c>
      <c r="O388" s="4" t="s">
        <v>959</v>
      </c>
      <c r="P388" s="4" t="s">
        <v>911</v>
      </c>
      <c r="Q388" s="4">
        <v>2</v>
      </c>
      <c r="R388" s="4">
        <v>68</v>
      </c>
      <c r="T388" s="13"/>
      <c r="U388" s="10" t="s">
        <v>950</v>
      </c>
      <c r="V388" s="10" t="s">
        <v>642</v>
      </c>
      <c r="W388" s="12">
        <v>-11.6</v>
      </c>
      <c r="X388" s="12">
        <v>-12.8</v>
      </c>
      <c r="Y388" s="12">
        <v>14.6</v>
      </c>
      <c r="Z388" s="12">
        <v>13.1</v>
      </c>
      <c r="AA388" s="15">
        <v>32</v>
      </c>
      <c r="AB388" s="15">
        <v>36</v>
      </c>
      <c r="AC388" s="12">
        <f t="shared" ref="AC388:AC393" si="401">W388-X388</f>
        <v>1.2000000000000011</v>
      </c>
      <c r="AD388" s="12">
        <f t="shared" ref="AD388:AD393" si="402">SQRT(((AA388-1)*Y388^2+(AB388-1)*Z388^2)/(AA388+AB388-2))</f>
        <v>13.824829441657105</v>
      </c>
      <c r="AE388" s="12">
        <f t="shared" ref="AE388:AE393" si="403">AC388/AD388</f>
        <v>8.6800347524299284E-2</v>
      </c>
      <c r="AF388" s="12">
        <f t="shared" ref="AF388:AF393" si="404">SQRT(((AA388+AB388)/(AA388*AB388)+(AE388^2/(2*(AA388+AB388)))))</f>
        <v>0.24307031296501969</v>
      </c>
      <c r="AG388" s="12" t="s">
        <v>193</v>
      </c>
      <c r="AH388" s="12"/>
      <c r="AI388" s="12" t="s">
        <v>780</v>
      </c>
      <c r="AJ388" s="12" t="s">
        <v>348</v>
      </c>
      <c r="AK388" s="12" t="s">
        <v>960</v>
      </c>
      <c r="AL388" s="12"/>
      <c r="AM388" s="10" t="s">
        <v>958</v>
      </c>
      <c r="AN388" s="10" t="s">
        <v>157</v>
      </c>
    </row>
    <row r="389" spans="1:40" s="10" customFormat="1" x14ac:dyDescent="0.2">
      <c r="A389" s="4">
        <v>2016</v>
      </c>
      <c r="B389" s="6">
        <v>26989846</v>
      </c>
      <c r="C389" s="4" t="s">
        <v>956</v>
      </c>
      <c r="D389" s="4"/>
      <c r="E389" s="4" t="s">
        <v>157</v>
      </c>
      <c r="F389" s="10" t="s">
        <v>120</v>
      </c>
      <c r="G389" s="10" t="s">
        <v>1110</v>
      </c>
      <c r="H389" s="10" t="s">
        <v>1110</v>
      </c>
      <c r="I389" s="4">
        <v>24</v>
      </c>
      <c r="J389" s="4" t="s">
        <v>957</v>
      </c>
      <c r="K389" s="4" t="s">
        <v>86</v>
      </c>
      <c r="L389" s="4" t="s">
        <v>220</v>
      </c>
      <c r="M389" s="4" t="s">
        <v>902</v>
      </c>
      <c r="N389" s="4" t="s">
        <v>766</v>
      </c>
      <c r="O389" s="4" t="s">
        <v>959</v>
      </c>
      <c r="P389" s="4" t="s">
        <v>911</v>
      </c>
      <c r="Q389" s="4">
        <v>2</v>
      </c>
      <c r="R389" s="4">
        <v>68</v>
      </c>
      <c r="T389" s="13"/>
      <c r="U389" s="10" t="s">
        <v>834</v>
      </c>
      <c r="V389" s="10" t="s">
        <v>642</v>
      </c>
      <c r="W389" s="12">
        <v>-5</v>
      </c>
      <c r="X389" s="12">
        <v>-6.4</v>
      </c>
      <c r="Y389" s="12">
        <v>7.2</v>
      </c>
      <c r="Z389" s="12">
        <v>6.2</v>
      </c>
      <c r="AA389" s="15">
        <v>32</v>
      </c>
      <c r="AB389" s="15">
        <v>36</v>
      </c>
      <c r="AC389" s="12">
        <f t="shared" si="401"/>
        <v>1.4000000000000004</v>
      </c>
      <c r="AD389" s="12">
        <f t="shared" si="402"/>
        <v>6.6883435463453429</v>
      </c>
      <c r="AE389" s="12">
        <f t="shared" si="403"/>
        <v>0.20931939131102065</v>
      </c>
      <c r="AF389" s="12">
        <f t="shared" si="404"/>
        <v>0.24361843938826747</v>
      </c>
      <c r="AG389" s="12" t="s">
        <v>193</v>
      </c>
      <c r="AH389" s="12" t="s">
        <v>193</v>
      </c>
      <c r="AI389" s="12" t="s">
        <v>780</v>
      </c>
      <c r="AJ389" s="12" t="s">
        <v>348</v>
      </c>
      <c r="AK389" s="12" t="s">
        <v>960</v>
      </c>
      <c r="AL389" s="12"/>
      <c r="AM389" s="10" t="s">
        <v>958</v>
      </c>
      <c r="AN389" s="10" t="s">
        <v>157</v>
      </c>
    </row>
    <row r="390" spans="1:40" s="10" customFormat="1" x14ac:dyDescent="0.2">
      <c r="A390" s="4">
        <v>2016</v>
      </c>
      <c r="B390" s="6">
        <v>26989846</v>
      </c>
      <c r="C390" s="4" t="s">
        <v>956</v>
      </c>
      <c r="D390" s="4"/>
      <c r="E390" s="4" t="s">
        <v>157</v>
      </c>
      <c r="F390" s="10" t="s">
        <v>120</v>
      </c>
      <c r="G390" s="10" t="s">
        <v>1110</v>
      </c>
      <c r="H390" s="10" t="s">
        <v>1110</v>
      </c>
      <c r="I390" s="4">
        <v>24</v>
      </c>
      <c r="J390" s="4" t="s">
        <v>957</v>
      </c>
      <c r="K390" s="4" t="s">
        <v>86</v>
      </c>
      <c r="L390" s="4" t="s">
        <v>220</v>
      </c>
      <c r="M390" s="4" t="s">
        <v>902</v>
      </c>
      <c r="N390" s="4" t="s">
        <v>766</v>
      </c>
      <c r="O390" s="4" t="s">
        <v>959</v>
      </c>
      <c r="P390" s="4" t="s">
        <v>911</v>
      </c>
      <c r="Q390" s="4">
        <v>2</v>
      </c>
      <c r="R390" s="4">
        <v>68</v>
      </c>
      <c r="T390" s="13"/>
      <c r="U390" s="10" t="s">
        <v>835</v>
      </c>
      <c r="V390" s="10" t="s">
        <v>642</v>
      </c>
      <c r="W390" s="12">
        <v>-11.5</v>
      </c>
      <c r="X390" s="12">
        <v>-12.5</v>
      </c>
      <c r="Y390" s="12">
        <v>12.8</v>
      </c>
      <c r="Z390" s="12">
        <v>14.2</v>
      </c>
      <c r="AA390" s="15">
        <v>32</v>
      </c>
      <c r="AB390" s="15">
        <v>36</v>
      </c>
      <c r="AC390" s="12">
        <f t="shared" si="401"/>
        <v>1</v>
      </c>
      <c r="AD390" s="12">
        <f t="shared" si="402"/>
        <v>13.560437107462818</v>
      </c>
      <c r="AE390" s="12">
        <f t="shared" si="403"/>
        <v>7.3743935543911232E-2</v>
      </c>
      <c r="AF390" s="12">
        <f t="shared" si="404"/>
        <v>0.24303860661920873</v>
      </c>
      <c r="AG390" s="12" t="s">
        <v>193</v>
      </c>
      <c r="AH390" s="12"/>
      <c r="AI390" s="12" t="s">
        <v>780</v>
      </c>
      <c r="AJ390" s="12" t="s">
        <v>348</v>
      </c>
      <c r="AK390" s="12"/>
      <c r="AL390" s="12"/>
      <c r="AM390" s="10" t="s">
        <v>958</v>
      </c>
      <c r="AN390" s="10" t="s">
        <v>157</v>
      </c>
    </row>
    <row r="391" spans="1:40" s="10" customFormat="1" x14ac:dyDescent="0.2">
      <c r="A391" s="4">
        <v>2016</v>
      </c>
      <c r="B391" s="6">
        <v>26989846</v>
      </c>
      <c r="C391" s="4" t="s">
        <v>956</v>
      </c>
      <c r="D391" s="4"/>
      <c r="E391" s="4" t="s">
        <v>157</v>
      </c>
      <c r="F391" s="10" t="s">
        <v>120</v>
      </c>
      <c r="G391" s="10" t="s">
        <v>1110</v>
      </c>
      <c r="H391" s="10" t="s">
        <v>1110</v>
      </c>
      <c r="I391" s="4">
        <v>24</v>
      </c>
      <c r="J391" s="4" t="s">
        <v>957</v>
      </c>
      <c r="K391" s="4" t="s">
        <v>86</v>
      </c>
      <c r="L391" s="4" t="s">
        <v>220</v>
      </c>
      <c r="M391" s="4" t="s">
        <v>902</v>
      </c>
      <c r="N391" s="4" t="s">
        <v>766</v>
      </c>
      <c r="O391" s="4" t="s">
        <v>959</v>
      </c>
      <c r="P391" s="4" t="s">
        <v>911</v>
      </c>
      <c r="Q391" s="4">
        <v>2</v>
      </c>
      <c r="R391" s="4">
        <v>68</v>
      </c>
      <c r="T391" s="13"/>
      <c r="U391" s="10" t="s">
        <v>836</v>
      </c>
      <c r="V391" s="10" t="s">
        <v>642</v>
      </c>
      <c r="W391" s="12">
        <v>-4.8</v>
      </c>
      <c r="X391" s="12">
        <v>-6.6</v>
      </c>
      <c r="Y391" s="12">
        <v>7.2</v>
      </c>
      <c r="Z391" s="12">
        <v>7.4</v>
      </c>
      <c r="AA391" s="15">
        <v>32</v>
      </c>
      <c r="AB391" s="15">
        <v>36</v>
      </c>
      <c r="AC391" s="12">
        <f t="shared" si="401"/>
        <v>1.7999999999999998</v>
      </c>
      <c r="AD391" s="12">
        <f t="shared" si="402"/>
        <v>7.3067424238496903</v>
      </c>
      <c r="AE391" s="12">
        <f t="shared" si="403"/>
        <v>0.24634781077333187</v>
      </c>
      <c r="AF391" s="12">
        <f t="shared" si="404"/>
        <v>0.24387293312734953</v>
      </c>
      <c r="AG391" s="12" t="s">
        <v>193</v>
      </c>
      <c r="AH391" s="12"/>
      <c r="AI391" s="12" t="s">
        <v>780</v>
      </c>
      <c r="AJ391" s="12" t="s">
        <v>348</v>
      </c>
      <c r="AK391" s="12"/>
      <c r="AL391" s="12"/>
      <c r="AM391" s="10" t="s">
        <v>958</v>
      </c>
      <c r="AN391" s="10" t="s">
        <v>157</v>
      </c>
    </row>
    <row r="392" spans="1:40" s="10" customFormat="1" x14ac:dyDescent="0.2">
      <c r="A392" s="4">
        <v>2016</v>
      </c>
      <c r="B392" s="6">
        <v>26989846</v>
      </c>
      <c r="C392" s="4" t="s">
        <v>956</v>
      </c>
      <c r="D392" s="4"/>
      <c r="E392" s="4" t="s">
        <v>157</v>
      </c>
      <c r="F392" s="10" t="s">
        <v>120</v>
      </c>
      <c r="G392" s="10" t="s">
        <v>1110</v>
      </c>
      <c r="H392" s="10" t="s">
        <v>1110</v>
      </c>
      <c r="I392" s="4">
        <v>24</v>
      </c>
      <c r="J392" s="4" t="s">
        <v>957</v>
      </c>
      <c r="K392" s="4" t="s">
        <v>86</v>
      </c>
      <c r="L392" s="4" t="s">
        <v>220</v>
      </c>
      <c r="M392" s="4" t="s">
        <v>902</v>
      </c>
      <c r="N392" s="4" t="s">
        <v>766</v>
      </c>
      <c r="O392" s="4" t="s">
        <v>959</v>
      </c>
      <c r="P392" s="4" t="s">
        <v>911</v>
      </c>
      <c r="Q392" s="4">
        <v>2</v>
      </c>
      <c r="R392" s="4">
        <v>68</v>
      </c>
      <c r="T392" s="13"/>
      <c r="U392" s="10" t="s">
        <v>837</v>
      </c>
      <c r="V392" s="10" t="s">
        <v>642</v>
      </c>
      <c r="W392" s="12">
        <v>-12.4</v>
      </c>
      <c r="X392" s="12">
        <v>-13.1</v>
      </c>
      <c r="Y392" s="12">
        <v>20.6</v>
      </c>
      <c r="Z392" s="12">
        <v>14.3</v>
      </c>
      <c r="AA392" s="15">
        <v>32</v>
      </c>
      <c r="AB392" s="15">
        <v>36</v>
      </c>
      <c r="AC392" s="12">
        <f t="shared" si="401"/>
        <v>0.69999999999999929</v>
      </c>
      <c r="AD392" s="12">
        <f t="shared" si="402"/>
        <v>17.543154583120813</v>
      </c>
      <c r="AE392" s="12">
        <f t="shared" si="403"/>
        <v>3.9901603596054831E-2</v>
      </c>
      <c r="AF392" s="12">
        <f t="shared" si="404"/>
        <v>0.24298042035236625</v>
      </c>
      <c r="AG392" s="12" t="s">
        <v>193</v>
      </c>
      <c r="AH392" s="12"/>
      <c r="AI392" s="12" t="s">
        <v>780</v>
      </c>
      <c r="AJ392" s="12" t="s">
        <v>348</v>
      </c>
      <c r="AK392" s="12"/>
      <c r="AL392" s="12"/>
      <c r="AM392" s="10" t="s">
        <v>958</v>
      </c>
      <c r="AN392" s="10" t="s">
        <v>157</v>
      </c>
    </row>
    <row r="393" spans="1:40" s="10" customFormat="1" x14ac:dyDescent="0.2">
      <c r="A393" s="4">
        <v>2016</v>
      </c>
      <c r="B393" s="6">
        <v>26989846</v>
      </c>
      <c r="C393" s="4" t="s">
        <v>956</v>
      </c>
      <c r="D393" s="4"/>
      <c r="E393" s="4" t="s">
        <v>157</v>
      </c>
      <c r="F393" s="10" t="s">
        <v>120</v>
      </c>
      <c r="G393" s="10" t="s">
        <v>1110</v>
      </c>
      <c r="H393" s="10" t="s">
        <v>1110</v>
      </c>
      <c r="I393" s="4">
        <v>24</v>
      </c>
      <c r="J393" s="4" t="s">
        <v>957</v>
      </c>
      <c r="K393" s="4" t="s">
        <v>86</v>
      </c>
      <c r="L393" s="4" t="s">
        <v>220</v>
      </c>
      <c r="M393" s="4" t="s">
        <v>902</v>
      </c>
      <c r="N393" s="4" t="s">
        <v>766</v>
      </c>
      <c r="O393" s="4" t="s">
        <v>959</v>
      </c>
      <c r="P393" s="4" t="s">
        <v>911</v>
      </c>
      <c r="Q393" s="4">
        <v>2</v>
      </c>
      <c r="R393" s="4">
        <v>68</v>
      </c>
      <c r="T393" s="13"/>
      <c r="U393" s="10" t="s">
        <v>838</v>
      </c>
      <c r="V393" s="10" t="s">
        <v>642</v>
      </c>
      <c r="W393" s="12">
        <v>-5.5</v>
      </c>
      <c r="X393" s="12">
        <v>-5.9</v>
      </c>
      <c r="Y393" s="12">
        <v>10.1</v>
      </c>
      <c r="Z393" s="12">
        <v>7.5</v>
      </c>
      <c r="AA393" s="15">
        <v>32</v>
      </c>
      <c r="AB393" s="15">
        <v>36</v>
      </c>
      <c r="AC393" s="12">
        <f t="shared" si="401"/>
        <v>0.40000000000000036</v>
      </c>
      <c r="AD393" s="12">
        <f t="shared" si="402"/>
        <v>8.8172180041855217</v>
      </c>
      <c r="AE393" s="12">
        <f t="shared" si="403"/>
        <v>4.5365783154065246E-2</v>
      </c>
      <c r="AF393" s="12">
        <f t="shared" si="404"/>
        <v>0.24298746990296699</v>
      </c>
      <c r="AG393" s="12" t="s">
        <v>193</v>
      </c>
      <c r="AH393" s="12"/>
      <c r="AI393" s="12" t="s">
        <v>780</v>
      </c>
      <c r="AJ393" s="12" t="s">
        <v>348</v>
      </c>
      <c r="AK393" s="12"/>
      <c r="AL393" s="12"/>
      <c r="AM393" s="10" t="s">
        <v>958</v>
      </c>
      <c r="AN393" s="10" t="s">
        <v>157</v>
      </c>
    </row>
    <row r="394" spans="1:40" s="10" customFormat="1" x14ac:dyDescent="0.2">
      <c r="A394" s="4">
        <v>2012</v>
      </c>
      <c r="B394" s="25">
        <v>21810842</v>
      </c>
      <c r="C394" s="4" t="s">
        <v>113</v>
      </c>
      <c r="D394" s="4"/>
      <c r="E394" s="10" t="s">
        <v>157</v>
      </c>
      <c r="F394" s="4" t="s">
        <v>66</v>
      </c>
      <c r="G394" s="4" t="s">
        <v>66</v>
      </c>
      <c r="H394" s="4" t="s">
        <v>66</v>
      </c>
      <c r="I394" s="4">
        <v>1</v>
      </c>
      <c r="J394" s="4" t="s">
        <v>1034</v>
      </c>
      <c r="K394" s="4" t="s">
        <v>86</v>
      </c>
      <c r="L394" s="4" t="s">
        <v>156</v>
      </c>
      <c r="M394" s="4" t="s">
        <v>903</v>
      </c>
      <c r="N394" s="4" t="s">
        <v>766</v>
      </c>
      <c r="O394" s="4"/>
      <c r="P394" s="4" t="s">
        <v>911</v>
      </c>
      <c r="Q394" s="4">
        <v>2</v>
      </c>
      <c r="R394" s="4">
        <v>75</v>
      </c>
      <c r="S394" s="10">
        <v>65</v>
      </c>
      <c r="T394" s="13">
        <v>7</v>
      </c>
      <c r="U394" s="10" t="s">
        <v>640</v>
      </c>
      <c r="V394" s="10" t="s">
        <v>642</v>
      </c>
      <c r="W394" s="12">
        <v>128.30000000000001</v>
      </c>
      <c r="X394" s="12">
        <v>128.30000000000001</v>
      </c>
      <c r="Y394" s="12">
        <f>1.4*SQRT(AA394)</f>
        <v>12.124355652982141</v>
      </c>
      <c r="Z394" s="12">
        <f>1.4*SQRT(AB394)</f>
        <v>12.124355652982141</v>
      </c>
      <c r="AA394" s="15">
        <v>75</v>
      </c>
      <c r="AB394" s="15">
        <v>75</v>
      </c>
      <c r="AC394" s="12">
        <f t="shared" ref="AC394:AC400" si="405">W394-X394</f>
        <v>0</v>
      </c>
      <c r="AD394" s="12">
        <f t="shared" ref="AD394:AD399" si="406">SQRT(((AA394-1)*Y394^2+(AB394-1)*Z394^2)/(AA394+AB394-2))</f>
        <v>12.124355652982141</v>
      </c>
      <c r="AE394" s="12">
        <f t="shared" ref="AE394:AE399" si="407">AC394/AD394</f>
        <v>0</v>
      </c>
      <c r="AF394" s="12">
        <f t="shared" ref="AF394:AF399" si="408">SQRT(((AA394+AB394)/(AA394*AB394)+(AE394^2/(2*(AA394+AB394)))))</f>
        <v>0.16329931618554522</v>
      </c>
      <c r="AG394" s="12" t="s">
        <v>193</v>
      </c>
      <c r="AH394" s="12" t="s">
        <v>193</v>
      </c>
      <c r="AI394" s="12" t="s">
        <v>780</v>
      </c>
      <c r="AJ394" s="12" t="s">
        <v>642</v>
      </c>
      <c r="AK394" s="12" t="s">
        <v>1039</v>
      </c>
      <c r="AL394" s="12"/>
      <c r="AM394" s="10" t="s">
        <v>1038</v>
      </c>
      <c r="AN394" s="10" t="s">
        <v>157</v>
      </c>
    </row>
    <row r="395" spans="1:40" s="10" customFormat="1" x14ac:dyDescent="0.2">
      <c r="A395" s="4">
        <v>2012</v>
      </c>
      <c r="B395" s="6">
        <v>21810842</v>
      </c>
      <c r="C395" s="4" t="s">
        <v>113</v>
      </c>
      <c r="D395" s="4"/>
      <c r="E395" s="10" t="s">
        <v>157</v>
      </c>
      <c r="F395" s="4" t="s">
        <v>66</v>
      </c>
      <c r="G395" s="4" t="s">
        <v>66</v>
      </c>
      <c r="H395" s="4" t="s">
        <v>66</v>
      </c>
      <c r="I395" s="4">
        <v>1</v>
      </c>
      <c r="J395" s="4" t="s">
        <v>1034</v>
      </c>
      <c r="K395" s="4" t="s">
        <v>86</v>
      </c>
      <c r="L395" s="4" t="s">
        <v>156</v>
      </c>
      <c r="M395" s="4" t="s">
        <v>903</v>
      </c>
      <c r="N395" s="4" t="s">
        <v>766</v>
      </c>
      <c r="O395" s="4"/>
      <c r="P395" s="4" t="s">
        <v>911</v>
      </c>
      <c r="Q395" s="4">
        <v>2</v>
      </c>
      <c r="R395" s="4">
        <v>75</v>
      </c>
      <c r="S395" s="10">
        <v>65</v>
      </c>
      <c r="T395" s="13">
        <v>7</v>
      </c>
      <c r="U395" s="10" t="s">
        <v>641</v>
      </c>
      <c r="V395" s="10" t="s">
        <v>642</v>
      </c>
      <c r="W395" s="12">
        <v>72.5</v>
      </c>
      <c r="X395" s="12">
        <v>72.599999999999994</v>
      </c>
      <c r="Y395" s="12">
        <f>0.9*SQRT(AA395)</f>
        <v>7.7942286340599489</v>
      </c>
      <c r="Z395" s="12">
        <f>0.9*SQRT(AB395)</f>
        <v>7.7942286340599489</v>
      </c>
      <c r="AA395" s="15">
        <v>75</v>
      </c>
      <c r="AB395" s="15">
        <v>75</v>
      </c>
      <c r="AC395" s="12">
        <f t="shared" si="405"/>
        <v>-9.9999999999994316E-2</v>
      </c>
      <c r="AD395" s="12">
        <f t="shared" si="406"/>
        <v>7.7942286340599489</v>
      </c>
      <c r="AE395" s="12">
        <f t="shared" si="407"/>
        <v>-1.2830005981990952E-2</v>
      </c>
      <c r="AF395" s="12">
        <f t="shared" si="408"/>
        <v>0.16330099621102029</v>
      </c>
      <c r="AG395" s="12" t="s">
        <v>193</v>
      </c>
      <c r="AH395" s="12"/>
      <c r="AI395" s="12" t="s">
        <v>780</v>
      </c>
      <c r="AJ395" s="12" t="s">
        <v>328</v>
      </c>
      <c r="AK395" s="12"/>
      <c r="AL395" s="12"/>
      <c r="AM395" s="10" t="s">
        <v>1038</v>
      </c>
      <c r="AN395" s="10" t="s">
        <v>157</v>
      </c>
    </row>
    <row r="396" spans="1:40" s="10" customFormat="1" x14ac:dyDescent="0.2">
      <c r="A396" s="4">
        <v>2012</v>
      </c>
      <c r="B396" s="6">
        <v>21810842</v>
      </c>
      <c r="C396" s="4" t="s">
        <v>113</v>
      </c>
      <c r="D396" s="4"/>
      <c r="E396" s="10" t="s">
        <v>157</v>
      </c>
      <c r="F396" s="4" t="s">
        <v>66</v>
      </c>
      <c r="G396" s="4" t="s">
        <v>66</v>
      </c>
      <c r="H396" s="4" t="s">
        <v>66</v>
      </c>
      <c r="I396" s="4">
        <v>1</v>
      </c>
      <c r="J396" s="4" t="s">
        <v>1034</v>
      </c>
      <c r="K396" s="4" t="s">
        <v>86</v>
      </c>
      <c r="L396" s="4" t="s">
        <v>156</v>
      </c>
      <c r="M396" s="4" t="s">
        <v>903</v>
      </c>
      <c r="N396" s="4" t="s">
        <v>766</v>
      </c>
      <c r="O396" s="4"/>
      <c r="P396" s="4" t="s">
        <v>911</v>
      </c>
      <c r="Q396" s="4">
        <v>2</v>
      </c>
      <c r="R396" s="4">
        <v>75</v>
      </c>
      <c r="S396" s="10">
        <v>65</v>
      </c>
      <c r="T396" s="13">
        <v>7</v>
      </c>
      <c r="U396" s="10" t="s">
        <v>644</v>
      </c>
      <c r="V396" s="10" t="s">
        <v>642</v>
      </c>
      <c r="W396" s="12">
        <v>131.9</v>
      </c>
      <c r="X396" s="12">
        <v>131.19999999999999</v>
      </c>
      <c r="Y396" s="12">
        <f>1.5*SQRT(AA396)</f>
        <v>12.99038105676658</v>
      </c>
      <c r="Z396" s="12">
        <f>1.5*SQRT(AB396)</f>
        <v>12.99038105676658</v>
      </c>
      <c r="AA396" s="15">
        <v>75</v>
      </c>
      <c r="AB396" s="15">
        <v>75</v>
      </c>
      <c r="AC396" s="12">
        <f t="shared" si="405"/>
        <v>0.70000000000001705</v>
      </c>
      <c r="AD396" s="12">
        <f t="shared" si="406"/>
        <v>12.99038105676658</v>
      </c>
      <c r="AE396" s="12">
        <f t="shared" si="407"/>
        <v>5.3886025124366382E-2</v>
      </c>
      <c r="AF396" s="12">
        <f t="shared" si="408"/>
        <v>0.1633289492986848</v>
      </c>
      <c r="AG396" s="12" t="s">
        <v>193</v>
      </c>
      <c r="AH396" s="12"/>
      <c r="AI396" s="12" t="s">
        <v>780</v>
      </c>
      <c r="AJ396" s="12" t="s">
        <v>348</v>
      </c>
      <c r="AK396" s="12"/>
      <c r="AL396" s="12"/>
      <c r="AM396" s="10" t="s">
        <v>1038</v>
      </c>
      <c r="AN396" s="10" t="s">
        <v>157</v>
      </c>
    </row>
    <row r="397" spans="1:40" s="10" customFormat="1" x14ac:dyDescent="0.2">
      <c r="A397" s="4">
        <v>2012</v>
      </c>
      <c r="B397" s="6">
        <v>21810842</v>
      </c>
      <c r="C397" s="4" t="s">
        <v>113</v>
      </c>
      <c r="D397" s="4"/>
      <c r="E397" s="10" t="s">
        <v>157</v>
      </c>
      <c r="F397" s="4" t="s">
        <v>66</v>
      </c>
      <c r="G397" s="4" t="s">
        <v>66</v>
      </c>
      <c r="H397" s="4" t="s">
        <v>66</v>
      </c>
      <c r="I397" s="4">
        <v>1</v>
      </c>
      <c r="J397" s="4" t="s">
        <v>1034</v>
      </c>
      <c r="K397" s="4" t="s">
        <v>86</v>
      </c>
      <c r="L397" s="4" t="s">
        <v>156</v>
      </c>
      <c r="M397" s="4" t="s">
        <v>903</v>
      </c>
      <c r="N397" s="4" t="s">
        <v>766</v>
      </c>
      <c r="O397" s="4"/>
      <c r="P397" s="4" t="s">
        <v>911</v>
      </c>
      <c r="Q397" s="4">
        <v>2</v>
      </c>
      <c r="R397" s="4">
        <v>75</v>
      </c>
      <c r="S397" s="10">
        <v>65</v>
      </c>
      <c r="T397" s="13">
        <v>7</v>
      </c>
      <c r="U397" s="10" t="s">
        <v>645</v>
      </c>
      <c r="V397" s="10" t="s">
        <v>642</v>
      </c>
      <c r="W397" s="12">
        <v>75.400000000000006</v>
      </c>
      <c r="X397" s="12">
        <v>74.5</v>
      </c>
      <c r="Y397" s="12">
        <f>1*SQRT(AA397)</f>
        <v>8.6602540378443873</v>
      </c>
      <c r="Z397" s="12">
        <f>1*SQRT(AB397)</f>
        <v>8.6602540378443873</v>
      </c>
      <c r="AA397" s="15">
        <v>75</v>
      </c>
      <c r="AB397" s="15">
        <v>75</v>
      </c>
      <c r="AC397" s="12">
        <f t="shared" si="405"/>
        <v>0.90000000000000568</v>
      </c>
      <c r="AD397" s="12">
        <f t="shared" si="406"/>
        <v>8.6602540378443873</v>
      </c>
      <c r="AE397" s="12">
        <f t="shared" si="407"/>
        <v>0.10392304845413329</v>
      </c>
      <c r="AF397" s="12">
        <f t="shared" si="408"/>
        <v>0.16340950604743493</v>
      </c>
      <c r="AG397" s="12" t="s">
        <v>193</v>
      </c>
      <c r="AH397" s="12"/>
      <c r="AI397" s="12" t="s">
        <v>780</v>
      </c>
      <c r="AJ397" s="12" t="s">
        <v>348</v>
      </c>
      <c r="AK397" s="12"/>
      <c r="AL397" s="12"/>
      <c r="AM397" s="10" t="s">
        <v>1038</v>
      </c>
      <c r="AN397" s="10" t="s">
        <v>157</v>
      </c>
    </row>
    <row r="398" spans="1:40" s="10" customFormat="1" x14ac:dyDescent="0.2">
      <c r="A398" s="4">
        <v>2012</v>
      </c>
      <c r="B398" s="6">
        <v>21810842</v>
      </c>
      <c r="C398" s="4" t="s">
        <v>113</v>
      </c>
      <c r="D398" s="4"/>
      <c r="E398" s="10" t="s">
        <v>157</v>
      </c>
      <c r="F398" s="4" t="s">
        <v>66</v>
      </c>
      <c r="G398" s="4" t="s">
        <v>66</v>
      </c>
      <c r="H398" s="4" t="s">
        <v>66</v>
      </c>
      <c r="I398" s="4">
        <v>1</v>
      </c>
      <c r="J398" s="4" t="s">
        <v>1034</v>
      </c>
      <c r="K398" s="4" t="s">
        <v>86</v>
      </c>
      <c r="L398" s="4" t="s">
        <v>156</v>
      </c>
      <c r="M398" s="4" t="s">
        <v>903</v>
      </c>
      <c r="N398" s="4" t="s">
        <v>766</v>
      </c>
      <c r="O398" s="4"/>
      <c r="P398" s="4" t="s">
        <v>911</v>
      </c>
      <c r="Q398" s="4">
        <v>2</v>
      </c>
      <c r="R398" s="4">
        <v>75</v>
      </c>
      <c r="S398" s="10">
        <v>65</v>
      </c>
      <c r="T398" s="13">
        <v>7</v>
      </c>
      <c r="U398" s="10" t="s">
        <v>637</v>
      </c>
      <c r="V398" s="10" t="s">
        <v>642</v>
      </c>
      <c r="W398" s="12">
        <v>121.4</v>
      </c>
      <c r="X398" s="12">
        <v>122.5</v>
      </c>
      <c r="Y398" s="12">
        <f>1.7*SQRT(AA398)</f>
        <v>14.722431864335459</v>
      </c>
      <c r="Z398" s="12">
        <f>1.7*SQRT(AB398)</f>
        <v>14.722431864335459</v>
      </c>
      <c r="AA398" s="15">
        <v>75</v>
      </c>
      <c r="AB398" s="15">
        <v>75</v>
      </c>
      <c r="AC398" s="12">
        <f t="shared" si="405"/>
        <v>-1.0999999999999943</v>
      </c>
      <c r="AD398" s="12">
        <f t="shared" si="406"/>
        <v>14.722431864335459</v>
      </c>
      <c r="AE398" s="12">
        <f t="shared" si="407"/>
        <v>-7.4715917189245293E-2</v>
      </c>
      <c r="AF398" s="12">
        <f t="shared" si="408"/>
        <v>0.16335628207776839</v>
      </c>
      <c r="AG398" s="12" t="s">
        <v>193</v>
      </c>
      <c r="AH398" s="12"/>
      <c r="AI398" s="12" t="s">
        <v>780</v>
      </c>
      <c r="AJ398" s="12" t="s">
        <v>328</v>
      </c>
      <c r="AK398" s="12"/>
      <c r="AL398" s="12"/>
      <c r="AM398" s="10" t="s">
        <v>1038</v>
      </c>
      <c r="AN398" s="10" t="s">
        <v>157</v>
      </c>
    </row>
    <row r="399" spans="1:40" s="10" customFormat="1" x14ac:dyDescent="0.2">
      <c r="A399" s="4">
        <v>2012</v>
      </c>
      <c r="B399" s="6">
        <v>21810842</v>
      </c>
      <c r="C399" s="4" t="s">
        <v>113</v>
      </c>
      <c r="D399" s="4"/>
      <c r="E399" s="10" t="s">
        <v>157</v>
      </c>
      <c r="F399" s="4" t="s">
        <v>66</v>
      </c>
      <c r="G399" s="4" t="s">
        <v>66</v>
      </c>
      <c r="H399" s="4" t="s">
        <v>66</v>
      </c>
      <c r="I399" s="4">
        <v>1</v>
      </c>
      <c r="J399" s="4" t="s">
        <v>1034</v>
      </c>
      <c r="K399" s="4" t="s">
        <v>86</v>
      </c>
      <c r="L399" s="4" t="s">
        <v>156</v>
      </c>
      <c r="M399" s="4" t="s">
        <v>903</v>
      </c>
      <c r="N399" s="4" t="s">
        <v>766</v>
      </c>
      <c r="O399" s="4"/>
      <c r="P399" s="4" t="s">
        <v>911</v>
      </c>
      <c r="Q399" s="4">
        <v>2</v>
      </c>
      <c r="R399" s="4">
        <v>75</v>
      </c>
      <c r="S399" s="10">
        <v>65</v>
      </c>
      <c r="T399" s="13">
        <v>7</v>
      </c>
      <c r="U399" s="10" t="s">
        <v>638</v>
      </c>
      <c r="V399" s="10" t="s">
        <v>642</v>
      </c>
      <c r="W399" s="12">
        <v>66.599999999999994</v>
      </c>
      <c r="X399" s="12">
        <v>66.900000000000006</v>
      </c>
      <c r="Y399" s="12">
        <f>0.9*SQRT(AA399)</f>
        <v>7.7942286340599489</v>
      </c>
      <c r="Z399" s="12">
        <f>0.9*SQRT(AB399)</f>
        <v>7.7942286340599489</v>
      </c>
      <c r="AA399" s="15">
        <v>75</v>
      </c>
      <c r="AB399" s="15">
        <v>75</v>
      </c>
      <c r="AC399" s="12">
        <f t="shared" si="405"/>
        <v>-0.30000000000001137</v>
      </c>
      <c r="AD399" s="12">
        <f t="shared" si="406"/>
        <v>7.7942286340599489</v>
      </c>
      <c r="AE399" s="12">
        <f t="shared" si="407"/>
        <v>-3.8490017945976507E-2</v>
      </c>
      <c r="AF399" s="12">
        <f t="shared" si="408"/>
        <v>0.16331443579265004</v>
      </c>
      <c r="AG399" s="12" t="s">
        <v>193</v>
      </c>
      <c r="AH399" s="12"/>
      <c r="AI399" s="12" t="s">
        <v>780</v>
      </c>
      <c r="AJ399" s="12" t="s">
        <v>328</v>
      </c>
      <c r="AK399" s="12"/>
      <c r="AL399" s="12"/>
      <c r="AM399" s="10" t="s">
        <v>1038</v>
      </c>
      <c r="AN399" s="10" t="s">
        <v>157</v>
      </c>
    </row>
    <row r="400" spans="1:40" s="10" customFormat="1" x14ac:dyDescent="0.2">
      <c r="A400" s="4">
        <v>2015</v>
      </c>
      <c r="B400" s="25" t="s">
        <v>1040</v>
      </c>
      <c r="C400" s="4" t="s">
        <v>113</v>
      </c>
      <c r="E400" s="10" t="s">
        <v>157</v>
      </c>
      <c r="F400" s="10" t="s">
        <v>66</v>
      </c>
      <c r="G400" s="10" t="s">
        <v>66</v>
      </c>
      <c r="H400" s="10" t="s">
        <v>66</v>
      </c>
      <c r="I400" s="10">
        <v>1</v>
      </c>
      <c r="J400" s="4" t="s">
        <v>1041</v>
      </c>
      <c r="K400" s="10" t="s">
        <v>86</v>
      </c>
      <c r="L400" s="10" t="s">
        <v>156</v>
      </c>
      <c r="M400" s="10" t="s">
        <v>903</v>
      </c>
      <c r="N400" s="10" t="s">
        <v>766</v>
      </c>
      <c r="P400" s="10" t="s">
        <v>911</v>
      </c>
      <c r="Q400" s="10">
        <v>2</v>
      </c>
      <c r="R400" s="10">
        <v>34</v>
      </c>
      <c r="S400" s="10">
        <v>64.900000000000006</v>
      </c>
      <c r="T400" s="13">
        <v>41</v>
      </c>
      <c r="U400" s="10" t="s">
        <v>1046</v>
      </c>
      <c r="V400" s="10" t="s">
        <v>642</v>
      </c>
      <c r="W400" s="12">
        <v>136.69999999999999</v>
      </c>
      <c r="X400" s="12">
        <v>135.80000000000001</v>
      </c>
      <c r="Y400" s="12">
        <v>18.399999999999999</v>
      </c>
      <c r="Z400" s="12">
        <v>16.899999999999999</v>
      </c>
      <c r="AA400" s="15">
        <v>34</v>
      </c>
      <c r="AB400" s="15">
        <v>34</v>
      </c>
      <c r="AC400" s="12">
        <f t="shared" si="405"/>
        <v>0.89999999999997726</v>
      </c>
      <c r="AD400" s="12">
        <f t="shared" ref="AD400" si="409">SQRT(((AA400-1)*Y400^2+(AB400-1)*Z400^2)/(AA400+AB400-2))</f>
        <v>17.665927657499335</v>
      </c>
      <c r="AE400" s="12">
        <f t="shared" ref="AE400" si="410">AC400/AD400</f>
        <v>5.0945527313869629E-2</v>
      </c>
      <c r="AF400" s="12">
        <f t="shared" ref="AF400" si="411">SQRT(((AA400+AB400)/(AA400*AB400)+(AE400^2/(2*(AA400+AB400)))))</f>
        <v>0.24257496486461314</v>
      </c>
      <c r="AG400" s="12" t="s">
        <v>157</v>
      </c>
      <c r="AH400" s="12"/>
      <c r="AI400" s="12" t="s">
        <v>780</v>
      </c>
      <c r="AJ400" s="12" t="s">
        <v>348</v>
      </c>
      <c r="AK400" s="12"/>
      <c r="AL400" s="12"/>
      <c r="AM400" s="10" t="s">
        <v>1045</v>
      </c>
      <c r="AN400" s="10" t="s">
        <v>157</v>
      </c>
    </row>
    <row r="401" spans="1:40" s="10" customFormat="1" x14ac:dyDescent="0.2">
      <c r="A401" s="4">
        <v>2015</v>
      </c>
      <c r="B401" s="6" t="s">
        <v>1040</v>
      </c>
      <c r="C401" s="4" t="s">
        <v>113</v>
      </c>
      <c r="E401" s="10" t="s">
        <v>157</v>
      </c>
      <c r="F401" s="10" t="s">
        <v>66</v>
      </c>
      <c r="G401" s="10" t="s">
        <v>66</v>
      </c>
      <c r="H401" s="10" t="s">
        <v>66</v>
      </c>
      <c r="I401" s="10">
        <v>1</v>
      </c>
      <c r="J401" s="4" t="s">
        <v>1041</v>
      </c>
      <c r="K401" s="10" t="s">
        <v>86</v>
      </c>
      <c r="L401" s="10" t="s">
        <v>156</v>
      </c>
      <c r="M401" s="10" t="s">
        <v>903</v>
      </c>
      <c r="N401" s="10" t="s">
        <v>766</v>
      </c>
      <c r="P401" s="10" t="s">
        <v>911</v>
      </c>
      <c r="Q401" s="10">
        <v>2</v>
      </c>
      <c r="R401" s="10">
        <v>34</v>
      </c>
      <c r="S401" s="10">
        <v>64.900000000000006</v>
      </c>
      <c r="T401" s="13">
        <v>41</v>
      </c>
      <c r="U401" s="10" t="s">
        <v>1047</v>
      </c>
      <c r="V401" s="10" t="s">
        <v>642</v>
      </c>
      <c r="W401" s="10">
        <v>135.19999999999999</v>
      </c>
      <c r="X401" s="12">
        <v>136.5</v>
      </c>
      <c r="Y401" s="12">
        <v>16.600000000000001</v>
      </c>
      <c r="Z401" s="12">
        <v>15.4</v>
      </c>
      <c r="AA401" s="15">
        <v>34</v>
      </c>
      <c r="AB401" s="15">
        <v>34</v>
      </c>
      <c r="AC401" s="12">
        <f t="shared" ref="AC401:AC409" si="412">W401-X401</f>
        <v>-1.3000000000000114</v>
      </c>
      <c r="AD401" s="12">
        <f t="shared" ref="AD401:AD409" si="413">SQRT(((AA401-1)*Y401^2+(AB401-1)*Z401^2)/(AA401+AB401-2))</f>
        <v>16.011246047700347</v>
      </c>
      <c r="AE401" s="12">
        <f t="shared" ref="AE401:AE409" si="414">AC401/AD401</f>
        <v>-8.1192931276371644E-2</v>
      </c>
      <c r="AF401" s="12">
        <f t="shared" ref="AF401:AF409" si="415">SQRT(((AA401+AB401)/(AA401*AB401)+(AE401^2/(2*(AA401+AB401)))))</f>
        <v>0.24263553356364576</v>
      </c>
      <c r="AG401" s="12" t="s">
        <v>157</v>
      </c>
      <c r="AH401" s="12"/>
      <c r="AI401" s="12" t="s">
        <v>780</v>
      </c>
      <c r="AJ401" s="12" t="s">
        <v>328</v>
      </c>
      <c r="AK401" s="12"/>
      <c r="AL401" s="12"/>
      <c r="AM401" s="10" t="s">
        <v>1045</v>
      </c>
      <c r="AN401" s="10" t="s">
        <v>157</v>
      </c>
    </row>
    <row r="402" spans="1:40" s="10" customFormat="1" x14ac:dyDescent="0.2">
      <c r="A402" s="4">
        <v>2015</v>
      </c>
      <c r="B402" s="6" t="s">
        <v>1040</v>
      </c>
      <c r="C402" s="4" t="s">
        <v>113</v>
      </c>
      <c r="E402" s="10" t="s">
        <v>157</v>
      </c>
      <c r="F402" s="10" t="s">
        <v>66</v>
      </c>
      <c r="G402" s="10" t="s">
        <v>66</v>
      </c>
      <c r="H402" s="10" t="s">
        <v>66</v>
      </c>
      <c r="I402" s="10">
        <v>1</v>
      </c>
      <c r="J402" s="4" t="s">
        <v>1041</v>
      </c>
      <c r="K402" s="10" t="s">
        <v>86</v>
      </c>
      <c r="L402" s="10" t="s">
        <v>156</v>
      </c>
      <c r="M402" s="10" t="s">
        <v>903</v>
      </c>
      <c r="N402" s="10" t="s">
        <v>766</v>
      </c>
      <c r="P402" s="10" t="s">
        <v>911</v>
      </c>
      <c r="Q402" s="10">
        <v>2</v>
      </c>
      <c r="R402" s="10">
        <v>34</v>
      </c>
      <c r="S402" s="10">
        <v>64.900000000000006</v>
      </c>
      <c r="T402" s="13">
        <v>41</v>
      </c>
      <c r="U402" s="10" t="s">
        <v>1048</v>
      </c>
      <c r="V402" s="10" t="s">
        <v>642</v>
      </c>
      <c r="W402" s="12">
        <v>81.7</v>
      </c>
      <c r="X402" s="12">
        <v>81.7</v>
      </c>
      <c r="Y402" s="12">
        <v>9.9</v>
      </c>
      <c r="Z402" s="12">
        <v>9.4</v>
      </c>
      <c r="AA402" s="15">
        <v>34</v>
      </c>
      <c r="AB402" s="15">
        <v>34</v>
      </c>
      <c r="AC402" s="12">
        <f t="shared" si="412"/>
        <v>0</v>
      </c>
      <c r="AD402" s="12">
        <f t="shared" si="413"/>
        <v>9.6532377987906219</v>
      </c>
      <c r="AE402" s="12">
        <f t="shared" si="414"/>
        <v>0</v>
      </c>
      <c r="AF402" s="12">
        <f t="shared" si="415"/>
        <v>0.24253562503633297</v>
      </c>
      <c r="AG402" s="12" t="s">
        <v>157</v>
      </c>
      <c r="AH402" s="12"/>
      <c r="AI402" s="12" t="s">
        <v>780</v>
      </c>
      <c r="AJ402" s="12" t="s">
        <v>642</v>
      </c>
      <c r="AK402" s="12"/>
      <c r="AL402" s="12"/>
      <c r="AM402" s="10" t="s">
        <v>1045</v>
      </c>
      <c r="AN402" s="10" t="s">
        <v>157</v>
      </c>
    </row>
    <row r="403" spans="1:40" s="10" customFormat="1" x14ac:dyDescent="0.2">
      <c r="A403" s="4">
        <v>2015</v>
      </c>
      <c r="B403" s="6" t="s">
        <v>1040</v>
      </c>
      <c r="C403" s="4" t="s">
        <v>113</v>
      </c>
      <c r="E403" s="10" t="s">
        <v>157</v>
      </c>
      <c r="F403" s="10" t="s">
        <v>66</v>
      </c>
      <c r="G403" s="10" t="s">
        <v>66</v>
      </c>
      <c r="H403" s="10" t="s">
        <v>66</v>
      </c>
      <c r="I403" s="10">
        <v>1</v>
      </c>
      <c r="J403" s="4" t="s">
        <v>1041</v>
      </c>
      <c r="K403" s="10" t="s">
        <v>86</v>
      </c>
      <c r="L403" s="10" t="s">
        <v>156</v>
      </c>
      <c r="M403" s="10" t="s">
        <v>903</v>
      </c>
      <c r="N403" s="10" t="s">
        <v>766</v>
      </c>
      <c r="P403" s="10" t="s">
        <v>911</v>
      </c>
      <c r="Q403" s="10">
        <v>2</v>
      </c>
      <c r="R403" s="10">
        <v>34</v>
      </c>
      <c r="S403" s="10">
        <v>64.900000000000006</v>
      </c>
      <c r="T403" s="13">
        <v>41</v>
      </c>
      <c r="U403" s="10" t="s">
        <v>1049</v>
      </c>
      <c r="V403" s="10" t="s">
        <v>642</v>
      </c>
      <c r="W403" s="12">
        <v>80.099999999999994</v>
      </c>
      <c r="X403" s="12">
        <v>81.2</v>
      </c>
      <c r="Y403" s="12">
        <v>10.6</v>
      </c>
      <c r="Z403" s="12">
        <v>9.3000000000000007</v>
      </c>
      <c r="AA403" s="15">
        <v>34</v>
      </c>
      <c r="AB403" s="15">
        <v>34</v>
      </c>
      <c r="AC403" s="12">
        <f t="shared" si="412"/>
        <v>-1.1000000000000085</v>
      </c>
      <c r="AD403" s="12">
        <f t="shared" si="413"/>
        <v>9.9712085526279104</v>
      </c>
      <c r="AE403" s="12">
        <f t="shared" si="414"/>
        <v>-0.11031762039618595</v>
      </c>
      <c r="AF403" s="12">
        <f t="shared" si="415"/>
        <v>0.24272003324712277</v>
      </c>
      <c r="AG403" s="12" t="s">
        <v>157</v>
      </c>
      <c r="AH403" s="12"/>
      <c r="AI403" s="12" t="s">
        <v>780</v>
      </c>
      <c r="AJ403" s="12" t="s">
        <v>328</v>
      </c>
      <c r="AK403" s="12"/>
      <c r="AL403" s="12"/>
      <c r="AM403" s="10" t="s">
        <v>1045</v>
      </c>
      <c r="AN403" s="10" t="s">
        <v>157</v>
      </c>
    </row>
    <row r="404" spans="1:40" s="10" customFormat="1" x14ac:dyDescent="0.2">
      <c r="A404" s="4">
        <v>2015</v>
      </c>
      <c r="B404" s="6" t="s">
        <v>1040</v>
      </c>
      <c r="C404" s="4" t="s">
        <v>113</v>
      </c>
      <c r="E404" s="10" t="s">
        <v>157</v>
      </c>
      <c r="F404" s="10" t="s">
        <v>66</v>
      </c>
      <c r="G404" s="10" t="s">
        <v>66</v>
      </c>
      <c r="H404" s="10" t="s">
        <v>66</v>
      </c>
      <c r="I404" s="10">
        <v>1</v>
      </c>
      <c r="J404" s="4" t="s">
        <v>1041</v>
      </c>
      <c r="K404" s="10" t="s">
        <v>86</v>
      </c>
      <c r="L404" s="10" t="s">
        <v>156</v>
      </c>
      <c r="M404" s="10" t="s">
        <v>903</v>
      </c>
      <c r="N404" s="10" t="s">
        <v>766</v>
      </c>
      <c r="P404" s="10" t="s">
        <v>911</v>
      </c>
      <c r="Q404" s="10">
        <v>2</v>
      </c>
      <c r="R404" s="10">
        <v>34</v>
      </c>
      <c r="S404" s="10">
        <v>64.900000000000006</v>
      </c>
      <c r="T404" s="13">
        <v>41</v>
      </c>
      <c r="U404" s="10" t="s">
        <v>644</v>
      </c>
      <c r="V404" s="10" t="s">
        <v>642</v>
      </c>
      <c r="W404" s="12">
        <v>136.6</v>
      </c>
      <c r="X404" s="12">
        <v>138.80000000000001</v>
      </c>
      <c r="Y404" s="12">
        <v>15.8</v>
      </c>
      <c r="Z404" s="12">
        <v>14.2</v>
      </c>
      <c r="AA404" s="15">
        <v>34</v>
      </c>
      <c r="AB404" s="15">
        <v>34</v>
      </c>
      <c r="AC404" s="12">
        <f t="shared" si="412"/>
        <v>-2.2000000000000171</v>
      </c>
      <c r="AD404" s="12">
        <f t="shared" si="413"/>
        <v>15.021318184500322</v>
      </c>
      <c r="AE404" s="12">
        <f t="shared" si="414"/>
        <v>-0.1464585180194157</v>
      </c>
      <c r="AF404" s="12">
        <f t="shared" si="415"/>
        <v>0.24286055817467567</v>
      </c>
      <c r="AG404" s="12" t="s">
        <v>193</v>
      </c>
      <c r="AH404" s="12"/>
      <c r="AI404" s="12" t="s">
        <v>780</v>
      </c>
      <c r="AJ404" s="12" t="s">
        <v>328</v>
      </c>
      <c r="AK404" s="12"/>
      <c r="AL404" s="12"/>
      <c r="AM404" s="10" t="s">
        <v>1045</v>
      </c>
      <c r="AN404" s="10" t="s">
        <v>157</v>
      </c>
    </row>
    <row r="405" spans="1:40" s="10" customFormat="1" x14ac:dyDescent="0.2">
      <c r="A405" s="4">
        <v>2015</v>
      </c>
      <c r="B405" s="6" t="s">
        <v>1040</v>
      </c>
      <c r="C405" s="4" t="s">
        <v>113</v>
      </c>
      <c r="E405" s="10" t="s">
        <v>157</v>
      </c>
      <c r="F405" s="10" t="s">
        <v>66</v>
      </c>
      <c r="G405" s="10" t="s">
        <v>66</v>
      </c>
      <c r="H405" s="10" t="s">
        <v>66</v>
      </c>
      <c r="I405" s="10">
        <v>1</v>
      </c>
      <c r="J405" s="4" t="s">
        <v>1041</v>
      </c>
      <c r="K405" s="10" t="s">
        <v>86</v>
      </c>
      <c r="L405" s="10" t="s">
        <v>156</v>
      </c>
      <c r="M405" s="10" t="s">
        <v>903</v>
      </c>
      <c r="N405" s="10" t="s">
        <v>766</v>
      </c>
      <c r="P405" s="10" t="s">
        <v>911</v>
      </c>
      <c r="Q405" s="10">
        <v>2</v>
      </c>
      <c r="R405" s="10">
        <v>34</v>
      </c>
      <c r="S405" s="10">
        <v>64.900000000000006</v>
      </c>
      <c r="T405" s="13">
        <v>41</v>
      </c>
      <c r="U405" s="10" t="s">
        <v>645</v>
      </c>
      <c r="V405" s="10" t="s">
        <v>642</v>
      </c>
      <c r="W405" s="12">
        <v>79.8</v>
      </c>
      <c r="X405" s="12">
        <v>81.900000000000006</v>
      </c>
      <c r="Y405" s="12">
        <v>8.3000000000000007</v>
      </c>
      <c r="Z405" s="12">
        <v>9.3000000000000007</v>
      </c>
      <c r="AA405" s="15">
        <v>34</v>
      </c>
      <c r="AB405" s="15">
        <v>34</v>
      </c>
      <c r="AC405" s="12">
        <f t="shared" si="412"/>
        <v>-2.1000000000000085</v>
      </c>
      <c r="AD405" s="12">
        <f t="shared" si="413"/>
        <v>8.8141930997681239</v>
      </c>
      <c r="AE405" s="12">
        <f t="shared" si="414"/>
        <v>-0.23825209820457116</v>
      </c>
      <c r="AF405" s="12">
        <f t="shared" si="415"/>
        <v>0.2433945607912919</v>
      </c>
      <c r="AG405" s="12" t="s">
        <v>193</v>
      </c>
      <c r="AH405" s="12"/>
      <c r="AI405" s="12" t="s">
        <v>780</v>
      </c>
      <c r="AJ405" s="12" t="s">
        <v>328</v>
      </c>
      <c r="AK405" s="12"/>
      <c r="AL405" s="12"/>
      <c r="AM405" s="10" t="s">
        <v>1045</v>
      </c>
      <c r="AN405" s="10" t="s">
        <v>157</v>
      </c>
    </row>
    <row r="406" spans="1:40" s="10" customFormat="1" x14ac:dyDescent="0.2">
      <c r="A406" s="4">
        <v>2015</v>
      </c>
      <c r="B406" s="6" t="s">
        <v>1040</v>
      </c>
      <c r="C406" s="4" t="s">
        <v>113</v>
      </c>
      <c r="E406" s="10" t="s">
        <v>157</v>
      </c>
      <c r="F406" s="10" t="s">
        <v>66</v>
      </c>
      <c r="G406" s="10" t="s">
        <v>66</v>
      </c>
      <c r="H406" s="10" t="s">
        <v>66</v>
      </c>
      <c r="I406" s="10">
        <v>1</v>
      </c>
      <c r="J406" s="4" t="s">
        <v>1041</v>
      </c>
      <c r="K406" s="10" t="s">
        <v>86</v>
      </c>
      <c r="L406" s="10" t="s">
        <v>156</v>
      </c>
      <c r="M406" s="10" t="s">
        <v>903</v>
      </c>
      <c r="N406" s="10" t="s">
        <v>766</v>
      </c>
      <c r="P406" s="10" t="s">
        <v>911</v>
      </c>
      <c r="Q406" s="10">
        <v>2</v>
      </c>
      <c r="R406" s="10">
        <v>34</v>
      </c>
      <c r="S406" s="10">
        <v>64.900000000000006</v>
      </c>
      <c r="T406" s="13">
        <v>41</v>
      </c>
      <c r="U406" s="10" t="s">
        <v>637</v>
      </c>
      <c r="V406" s="10" t="s">
        <v>642</v>
      </c>
      <c r="W406" s="12">
        <v>129.19999999999999</v>
      </c>
      <c r="X406" s="12">
        <v>124.9</v>
      </c>
      <c r="Y406" s="12">
        <v>16.399999999999999</v>
      </c>
      <c r="Z406" s="12">
        <v>12.8</v>
      </c>
      <c r="AA406" s="15">
        <v>34</v>
      </c>
      <c r="AB406" s="15">
        <v>34</v>
      </c>
      <c r="AC406" s="12">
        <f t="shared" si="412"/>
        <v>4.2999999999999829</v>
      </c>
      <c r="AD406" s="12">
        <f t="shared" si="413"/>
        <v>14.710540438746634</v>
      </c>
      <c r="AE406" s="12">
        <f t="shared" si="414"/>
        <v>0.29230741167564822</v>
      </c>
      <c r="AF406" s="12">
        <f t="shared" si="415"/>
        <v>0.24382738022011352</v>
      </c>
      <c r="AG406" s="12" t="s">
        <v>193</v>
      </c>
      <c r="AH406" s="12" t="s">
        <v>193</v>
      </c>
      <c r="AI406" s="12" t="s">
        <v>780</v>
      </c>
      <c r="AJ406" s="12" t="s">
        <v>348</v>
      </c>
      <c r="AK406" s="12"/>
      <c r="AL406" s="12"/>
      <c r="AM406" s="10" t="s">
        <v>1045</v>
      </c>
      <c r="AN406" s="10" t="s">
        <v>157</v>
      </c>
    </row>
    <row r="407" spans="1:40" s="10" customFormat="1" x14ac:dyDescent="0.2">
      <c r="A407" s="4">
        <v>2015</v>
      </c>
      <c r="B407" s="6" t="s">
        <v>1040</v>
      </c>
      <c r="C407" s="4" t="s">
        <v>113</v>
      </c>
      <c r="E407" s="10" t="s">
        <v>157</v>
      </c>
      <c r="F407" s="10" t="s">
        <v>66</v>
      </c>
      <c r="G407" s="10" t="s">
        <v>66</v>
      </c>
      <c r="H407" s="10" t="s">
        <v>66</v>
      </c>
      <c r="I407" s="10">
        <v>1</v>
      </c>
      <c r="J407" s="4" t="s">
        <v>1041</v>
      </c>
      <c r="K407" s="10" t="s">
        <v>86</v>
      </c>
      <c r="L407" s="10" t="s">
        <v>156</v>
      </c>
      <c r="M407" s="10" t="s">
        <v>903</v>
      </c>
      <c r="N407" s="10" t="s">
        <v>766</v>
      </c>
      <c r="P407" s="10" t="s">
        <v>911</v>
      </c>
      <c r="Q407" s="10">
        <v>2</v>
      </c>
      <c r="R407" s="10">
        <v>34</v>
      </c>
      <c r="S407" s="10">
        <v>64.900000000000006</v>
      </c>
      <c r="T407" s="13">
        <v>41</v>
      </c>
      <c r="U407" s="10" t="s">
        <v>638</v>
      </c>
      <c r="V407" s="10" t="s">
        <v>642</v>
      </c>
      <c r="W407" s="12">
        <v>71.7</v>
      </c>
      <c r="X407" s="12">
        <v>70.3</v>
      </c>
      <c r="Y407" s="12">
        <v>8.6</v>
      </c>
      <c r="Z407" s="12">
        <v>7.5</v>
      </c>
      <c r="AA407" s="15">
        <v>34</v>
      </c>
      <c r="AB407" s="15">
        <v>34</v>
      </c>
      <c r="AC407" s="12">
        <f t="shared" si="412"/>
        <v>1.4000000000000057</v>
      </c>
      <c r="AD407" s="12">
        <f t="shared" si="413"/>
        <v>8.0687669442114878</v>
      </c>
      <c r="AE407" s="12">
        <f t="shared" si="414"/>
        <v>0.1735085434589683</v>
      </c>
      <c r="AF407" s="12">
        <f t="shared" si="415"/>
        <v>0.24299154570522633</v>
      </c>
      <c r="AG407" s="12" t="s">
        <v>193</v>
      </c>
      <c r="AH407" s="12"/>
      <c r="AI407" s="12" t="s">
        <v>780</v>
      </c>
      <c r="AJ407" s="12" t="s">
        <v>348</v>
      </c>
      <c r="AK407" s="12"/>
      <c r="AL407" s="12"/>
      <c r="AM407" s="10" t="s">
        <v>1045</v>
      </c>
      <c r="AN407" s="10" t="s">
        <v>157</v>
      </c>
    </row>
    <row r="408" spans="1:40" s="10" customFormat="1" x14ac:dyDescent="0.2">
      <c r="A408" s="4">
        <v>2017</v>
      </c>
      <c r="B408" s="25">
        <v>28598202</v>
      </c>
      <c r="C408" s="35" t="s">
        <v>99</v>
      </c>
      <c r="E408" s="10" t="s">
        <v>157</v>
      </c>
      <c r="F408" s="35" t="s">
        <v>97</v>
      </c>
      <c r="G408" s="4" t="s">
        <v>1100</v>
      </c>
      <c r="H408" s="4" t="s">
        <v>1100</v>
      </c>
      <c r="I408" s="10">
        <v>40</v>
      </c>
      <c r="J408" s="4" t="s">
        <v>1089</v>
      </c>
      <c r="K408" s="4" t="s">
        <v>86</v>
      </c>
      <c r="L408" s="10" t="s">
        <v>156</v>
      </c>
      <c r="M408" s="10" t="s">
        <v>903</v>
      </c>
      <c r="N408" s="10" t="s">
        <v>766</v>
      </c>
      <c r="P408" s="10" t="s">
        <v>911</v>
      </c>
      <c r="Q408" s="10">
        <v>2</v>
      </c>
      <c r="R408" s="10">
        <v>6</v>
      </c>
      <c r="T408" s="13"/>
      <c r="U408" s="10" t="s">
        <v>640</v>
      </c>
      <c r="V408" s="10" t="s">
        <v>642</v>
      </c>
      <c r="W408" s="12">
        <v>128.69999999999999</v>
      </c>
      <c r="X408" s="12">
        <v>132.6</v>
      </c>
      <c r="Y408" s="12">
        <v>4.9000000000000004</v>
      </c>
      <c r="Z408" s="12">
        <v>6.9</v>
      </c>
      <c r="AA408" s="15">
        <v>6</v>
      </c>
      <c r="AB408" s="15">
        <v>6</v>
      </c>
      <c r="AC408" s="12">
        <f t="shared" si="412"/>
        <v>-3.9000000000000057</v>
      </c>
      <c r="AD408" s="12">
        <f t="shared" si="413"/>
        <v>5.984145720150873</v>
      </c>
      <c r="AE408" s="12">
        <f t="shared" si="414"/>
        <v>-0.65172209741939213</v>
      </c>
      <c r="AF408" s="12">
        <f t="shared" si="415"/>
        <v>0.59247861045303885</v>
      </c>
      <c r="AG408" s="12" t="s">
        <v>193</v>
      </c>
      <c r="AH408" s="12" t="s">
        <v>193</v>
      </c>
      <c r="AI408" s="12" t="s">
        <v>780</v>
      </c>
      <c r="AJ408" s="12" t="s">
        <v>328</v>
      </c>
      <c r="AK408" s="12"/>
      <c r="AL408" s="12"/>
      <c r="AM408" s="10" t="s">
        <v>1090</v>
      </c>
      <c r="AN408" s="10" t="s">
        <v>157</v>
      </c>
    </row>
    <row r="409" spans="1:40" s="10" customFormat="1" x14ac:dyDescent="0.2">
      <c r="A409" s="4">
        <v>2017</v>
      </c>
      <c r="B409" s="6">
        <v>28598202</v>
      </c>
      <c r="C409" s="35" t="s">
        <v>99</v>
      </c>
      <c r="E409" s="10" t="s">
        <v>157</v>
      </c>
      <c r="F409" s="35" t="s">
        <v>97</v>
      </c>
      <c r="G409" s="4" t="s">
        <v>1100</v>
      </c>
      <c r="H409" s="4" t="s">
        <v>1100</v>
      </c>
      <c r="I409" s="10">
        <v>40</v>
      </c>
      <c r="J409" s="4" t="s">
        <v>1089</v>
      </c>
      <c r="K409" s="4" t="s">
        <v>86</v>
      </c>
      <c r="L409" s="10" t="s">
        <v>156</v>
      </c>
      <c r="M409" s="10" t="s">
        <v>903</v>
      </c>
      <c r="N409" s="10" t="s">
        <v>766</v>
      </c>
      <c r="P409" s="10" t="s">
        <v>911</v>
      </c>
      <c r="Q409" s="10">
        <v>2</v>
      </c>
      <c r="R409" s="10">
        <v>6</v>
      </c>
      <c r="T409" s="13"/>
      <c r="U409" s="10" t="s">
        <v>641</v>
      </c>
      <c r="V409" s="10" t="s">
        <v>642</v>
      </c>
      <c r="W409" s="12">
        <v>82.8</v>
      </c>
      <c r="X409" s="12">
        <v>84.1</v>
      </c>
      <c r="Y409" s="12">
        <v>2.5</v>
      </c>
      <c r="Z409" s="12">
        <v>4.4000000000000004</v>
      </c>
      <c r="AA409" s="15">
        <v>6</v>
      </c>
      <c r="AB409" s="15">
        <v>6</v>
      </c>
      <c r="AC409" s="12">
        <f t="shared" si="412"/>
        <v>-1.2999999999999972</v>
      </c>
      <c r="AD409" s="12">
        <f t="shared" si="413"/>
        <v>3.5784074670165777</v>
      </c>
      <c r="AE409" s="12">
        <f t="shared" si="414"/>
        <v>-0.36329009817427105</v>
      </c>
      <c r="AF409" s="12">
        <f t="shared" si="415"/>
        <v>0.58209319469449616</v>
      </c>
      <c r="AG409" s="12" t="s">
        <v>193</v>
      </c>
      <c r="AH409" s="12"/>
      <c r="AI409" s="12" t="s">
        <v>780</v>
      </c>
      <c r="AJ409" s="12" t="s">
        <v>328</v>
      </c>
      <c r="AK409" s="12"/>
      <c r="AL409" s="12"/>
      <c r="AM409" s="10" t="s">
        <v>1090</v>
      </c>
      <c r="AN409" s="10" t="s">
        <v>157</v>
      </c>
    </row>
    <row r="410" spans="1:40" s="10" customFormat="1" x14ac:dyDescent="0.2">
      <c r="A410" s="4">
        <v>2020</v>
      </c>
      <c r="B410" s="25">
        <v>31937532</v>
      </c>
      <c r="C410" s="4" t="s">
        <v>1050</v>
      </c>
      <c r="F410" s="10" t="s">
        <v>1091</v>
      </c>
      <c r="G410" s="10" t="s">
        <v>1166</v>
      </c>
      <c r="H410" s="10" t="s">
        <v>1114</v>
      </c>
      <c r="I410" s="10">
        <v>40</v>
      </c>
      <c r="J410" s="10" t="s">
        <v>1092</v>
      </c>
      <c r="K410" s="10" t="s">
        <v>963</v>
      </c>
      <c r="L410" s="10" t="s">
        <v>156</v>
      </c>
      <c r="M410" s="10" t="s">
        <v>902</v>
      </c>
      <c r="N410" s="10" t="s">
        <v>766</v>
      </c>
      <c r="O410" s="10" t="s">
        <v>1093</v>
      </c>
      <c r="P410" s="10" t="s">
        <v>911</v>
      </c>
      <c r="Q410" s="10">
        <v>2</v>
      </c>
      <c r="R410" s="10">
        <v>217</v>
      </c>
      <c r="S410" s="10">
        <v>73</v>
      </c>
      <c r="T410" s="36">
        <v>49</v>
      </c>
      <c r="U410" s="10" t="s">
        <v>1099</v>
      </c>
      <c r="V410" s="10" t="s">
        <v>642</v>
      </c>
      <c r="W410" s="12"/>
      <c r="X410" s="12"/>
      <c r="Y410" s="12"/>
      <c r="Z410" s="12"/>
      <c r="AA410" s="15">
        <v>109</v>
      </c>
      <c r="AB410" s="15">
        <v>108</v>
      </c>
      <c r="AC410" s="12"/>
      <c r="AD410" s="12"/>
      <c r="AE410" s="12"/>
      <c r="AF410" s="12"/>
      <c r="AG410" s="12" t="s">
        <v>193</v>
      </c>
      <c r="AH410" s="12"/>
      <c r="AI410" s="12" t="s">
        <v>781</v>
      </c>
      <c r="AJ410" s="12"/>
      <c r="AK410" s="12" t="s">
        <v>960</v>
      </c>
      <c r="AL410" s="12" t="s">
        <v>1321</v>
      </c>
      <c r="AM410" s="10" t="s">
        <v>1097</v>
      </c>
      <c r="AN410" s="10" t="s">
        <v>157</v>
      </c>
    </row>
    <row r="411" spans="1:40" s="10" customFormat="1" x14ac:dyDescent="0.2">
      <c r="A411" s="4">
        <v>2020</v>
      </c>
      <c r="B411" s="6">
        <v>31937532</v>
      </c>
      <c r="C411" s="4" t="s">
        <v>1050</v>
      </c>
      <c r="F411" s="10" t="s">
        <v>1091</v>
      </c>
      <c r="G411" s="10" t="s">
        <v>1166</v>
      </c>
      <c r="H411" s="10" t="s">
        <v>1114</v>
      </c>
      <c r="I411" s="10">
        <v>40</v>
      </c>
      <c r="J411" s="10" t="s">
        <v>1092</v>
      </c>
      <c r="K411" s="10" t="s">
        <v>963</v>
      </c>
      <c r="L411" s="10" t="s">
        <v>156</v>
      </c>
      <c r="M411" s="10" t="s">
        <v>902</v>
      </c>
      <c r="N411" s="10" t="s">
        <v>766</v>
      </c>
      <c r="O411" s="10" t="s">
        <v>1093</v>
      </c>
      <c r="P411" s="10" t="s">
        <v>911</v>
      </c>
      <c r="Q411" s="10">
        <v>2</v>
      </c>
      <c r="R411" s="10">
        <v>217</v>
      </c>
      <c r="S411" s="10">
        <v>73</v>
      </c>
      <c r="T411" s="36">
        <v>49</v>
      </c>
      <c r="U411" s="10" t="s">
        <v>1098</v>
      </c>
      <c r="V411" s="10" t="s">
        <v>642</v>
      </c>
      <c r="W411" s="12">
        <v>2.9</v>
      </c>
      <c r="X411" s="12">
        <v>3</v>
      </c>
      <c r="Y411" s="40">
        <f>(5.9-(-6.1))/3.29/(SQRT(((1/109)+(1/108))))</f>
        <v>26.86461418742342</v>
      </c>
      <c r="Z411" s="40">
        <f>(5.9-(-6.1))/3.29/(SQRT(((1/109)+(1/108))))</f>
        <v>26.86461418742342</v>
      </c>
      <c r="AA411" s="15">
        <v>109</v>
      </c>
      <c r="AB411" s="15">
        <v>108</v>
      </c>
      <c r="AC411" s="12">
        <f t="shared" ref="AC411:AC415" si="416">W411-X411</f>
        <v>-0.10000000000000009</v>
      </c>
      <c r="AD411" s="12">
        <f t="shared" ref="AD411:AD415" si="417">SQRT(((AA411-1)*Y411^2+(AB411-1)*Z411^2)/(AA411+AB411-2))</f>
        <v>26.864614187423424</v>
      </c>
      <c r="AE411" s="12">
        <f t="shared" ref="AE411:AE415" si="418">AC411/AD411</f>
        <v>-3.7223687376390742E-3</v>
      </c>
      <c r="AF411" s="12">
        <f t="shared" ref="AF411:AF415" si="419">SQRT(((AA411+AB411)/(AA411*AB411)+(AE411^2/(2*(AA411+AB411)))))</f>
        <v>0.13577040587771294</v>
      </c>
      <c r="AG411" s="12" t="s">
        <v>193</v>
      </c>
      <c r="AH411" s="12" t="s">
        <v>193</v>
      </c>
      <c r="AI411" s="12" t="s">
        <v>781</v>
      </c>
      <c r="AJ411" s="12" t="s">
        <v>328</v>
      </c>
      <c r="AK411" s="12"/>
      <c r="AL411" s="12"/>
      <c r="AM411" s="10" t="s">
        <v>1097</v>
      </c>
      <c r="AN411" s="10" t="s">
        <v>157</v>
      </c>
    </row>
    <row r="412" spans="1:40" s="10" customFormat="1" x14ac:dyDescent="0.2">
      <c r="A412" s="4">
        <v>2020</v>
      </c>
      <c r="B412" s="25">
        <v>32140867</v>
      </c>
      <c r="C412" s="4" t="s">
        <v>1105</v>
      </c>
      <c r="D412" s="4"/>
      <c r="F412" s="4" t="s">
        <v>1115</v>
      </c>
      <c r="G412" s="4" t="s">
        <v>1115</v>
      </c>
      <c r="H412" s="4" t="s">
        <v>1115</v>
      </c>
      <c r="I412" s="4">
        <v>70</v>
      </c>
      <c r="J412" s="4" t="s">
        <v>1102</v>
      </c>
      <c r="K412" s="4" t="s">
        <v>1068</v>
      </c>
      <c r="L412" s="4" t="s">
        <v>156</v>
      </c>
      <c r="M412" s="4" t="s">
        <v>902</v>
      </c>
      <c r="N412" s="4" t="s">
        <v>766</v>
      </c>
      <c r="O412" s="4" t="s">
        <v>1117</v>
      </c>
      <c r="P412" s="10" t="s">
        <v>911</v>
      </c>
      <c r="Q412" s="10">
        <v>2</v>
      </c>
      <c r="R412" s="15">
        <f>AA412+AB412</f>
        <v>184</v>
      </c>
      <c r="S412" s="10">
        <v>36.1</v>
      </c>
      <c r="T412" s="13">
        <v>69</v>
      </c>
      <c r="U412" s="10" t="s">
        <v>1118</v>
      </c>
      <c r="V412" s="10" t="s">
        <v>642</v>
      </c>
      <c r="W412" s="12">
        <v>12.3</v>
      </c>
      <c r="X412" s="12">
        <v>11.8</v>
      </c>
      <c r="Y412" s="12">
        <v>3.9</v>
      </c>
      <c r="Z412" s="12">
        <v>3</v>
      </c>
      <c r="AA412" s="15">
        <v>96</v>
      </c>
      <c r="AB412" s="15">
        <v>88</v>
      </c>
      <c r="AC412" s="12">
        <f t="shared" si="416"/>
        <v>0.5</v>
      </c>
      <c r="AD412" s="12">
        <f t="shared" si="417"/>
        <v>3.4987831479649487</v>
      </c>
      <c r="AE412" s="12">
        <f t="shared" si="418"/>
        <v>0.14290682756112585</v>
      </c>
      <c r="AF412" s="12">
        <f t="shared" si="419"/>
        <v>0.14776941015476339</v>
      </c>
      <c r="AG412" s="12" t="s">
        <v>193</v>
      </c>
      <c r="AH412" s="12" t="s">
        <v>193</v>
      </c>
      <c r="AI412" s="12" t="s">
        <v>39</v>
      </c>
      <c r="AJ412" s="12" t="s">
        <v>348</v>
      </c>
      <c r="AK412" s="12" t="s">
        <v>960</v>
      </c>
      <c r="AL412" s="12"/>
      <c r="AM412" s="10" t="s">
        <v>1116</v>
      </c>
      <c r="AN412" s="10" t="s">
        <v>157</v>
      </c>
    </row>
    <row r="413" spans="1:40" s="10" customFormat="1" x14ac:dyDescent="0.2">
      <c r="A413" s="4">
        <v>2007</v>
      </c>
      <c r="B413" s="25">
        <v>17924891</v>
      </c>
      <c r="C413" s="4" t="s">
        <v>1053</v>
      </c>
      <c r="D413" s="4"/>
      <c r="F413" s="4" t="s">
        <v>55</v>
      </c>
      <c r="G413" s="4" t="s">
        <v>1130</v>
      </c>
      <c r="H413" s="4" t="s">
        <v>1130</v>
      </c>
      <c r="I413" s="4">
        <v>2</v>
      </c>
      <c r="J413" s="4" t="s">
        <v>1054</v>
      </c>
      <c r="K413" s="4" t="s">
        <v>1054</v>
      </c>
      <c r="L413" s="4" t="s">
        <v>883</v>
      </c>
      <c r="M413" s="4" t="s">
        <v>902</v>
      </c>
      <c r="N413" s="4" t="s">
        <v>766</v>
      </c>
      <c r="O413" s="4"/>
      <c r="P413" s="4" t="s">
        <v>911</v>
      </c>
      <c r="Q413" s="10">
        <v>6</v>
      </c>
      <c r="R413" s="10">
        <v>47</v>
      </c>
      <c r="S413" s="10">
        <v>43.8</v>
      </c>
      <c r="T413" s="13">
        <v>60</v>
      </c>
      <c r="U413" s="10" t="s">
        <v>1158</v>
      </c>
      <c r="V413" s="10" t="s">
        <v>635</v>
      </c>
      <c r="W413" s="12">
        <v>50</v>
      </c>
      <c r="X413" s="12">
        <v>29</v>
      </c>
      <c r="Y413" s="12">
        <f>SQRT(AA413) * ((59-41) / 3.92)</f>
        <v>15.229399547550306</v>
      </c>
      <c r="Z413" s="12">
        <f>SQRT(AB413) * ((35-23) / 3.92)</f>
        <v>8.099238707340584</v>
      </c>
      <c r="AA413" s="15">
        <v>11</v>
      </c>
      <c r="AB413" s="15">
        <v>7</v>
      </c>
      <c r="AC413" s="12">
        <f t="shared" si="416"/>
        <v>21</v>
      </c>
      <c r="AD413" s="12">
        <f t="shared" si="417"/>
        <v>13.021453719775682</v>
      </c>
      <c r="AE413" s="12">
        <f t="shared" si="418"/>
        <v>1.6127231607103361</v>
      </c>
      <c r="AF413" s="12">
        <f t="shared" si="419"/>
        <v>0.55318422711596504</v>
      </c>
      <c r="AG413" s="12" t="s">
        <v>193</v>
      </c>
      <c r="AH413" s="12" t="s">
        <v>193</v>
      </c>
      <c r="AI413" s="12" t="s">
        <v>39</v>
      </c>
      <c r="AJ413" s="12" t="s">
        <v>328</v>
      </c>
      <c r="AK413" s="12" t="s">
        <v>1126</v>
      </c>
      <c r="AL413" s="12"/>
      <c r="AM413" s="10" t="s">
        <v>1125</v>
      </c>
      <c r="AN413" s="10" t="s">
        <v>157</v>
      </c>
    </row>
    <row r="414" spans="1:40" s="10" customFormat="1" x14ac:dyDescent="0.2">
      <c r="A414" s="4">
        <v>2008</v>
      </c>
      <c r="B414" s="25">
        <v>18640826</v>
      </c>
      <c r="C414" s="4" t="s">
        <v>1062</v>
      </c>
      <c r="F414" s="4" t="s">
        <v>1104</v>
      </c>
      <c r="G414" s="4" t="s">
        <v>1165</v>
      </c>
      <c r="H414" s="4" t="s">
        <v>43</v>
      </c>
      <c r="I414" s="10">
        <v>5</v>
      </c>
      <c r="J414" s="4" t="s">
        <v>1063</v>
      </c>
      <c r="K414" s="10" t="s">
        <v>44</v>
      </c>
      <c r="L414" s="10" t="s">
        <v>156</v>
      </c>
      <c r="M414" s="10" t="s">
        <v>902</v>
      </c>
      <c r="N414" s="10" t="s">
        <v>766</v>
      </c>
      <c r="P414" s="10" t="s">
        <v>911</v>
      </c>
      <c r="Q414" s="10">
        <v>2</v>
      </c>
      <c r="R414" s="4">
        <v>1022</v>
      </c>
      <c r="S414" s="10">
        <v>49</v>
      </c>
      <c r="T414" s="13">
        <v>66</v>
      </c>
      <c r="U414" s="10" t="s">
        <v>1167</v>
      </c>
      <c r="V414" s="10" t="s">
        <v>642</v>
      </c>
      <c r="W414" s="12">
        <v>0.11</v>
      </c>
      <c r="X414" s="12">
        <v>0.12</v>
      </c>
      <c r="Y414" s="12">
        <v>0.59</v>
      </c>
      <c r="Z414" s="12">
        <v>0.68</v>
      </c>
      <c r="AA414" s="15">
        <v>543</v>
      </c>
      <c r="AB414" s="15">
        <v>479</v>
      </c>
      <c r="AC414" s="12">
        <f t="shared" si="416"/>
        <v>-9.999999999999995E-3</v>
      </c>
      <c r="AD414" s="12">
        <f t="shared" si="417"/>
        <v>0.63376976706613175</v>
      </c>
      <c r="AE414" s="12">
        <f t="shared" si="418"/>
        <v>-1.5778600557568925E-2</v>
      </c>
      <c r="AF414" s="12">
        <f t="shared" si="419"/>
        <v>6.2685126631828805E-2</v>
      </c>
      <c r="AG414" s="12" t="s">
        <v>193</v>
      </c>
      <c r="AH414" s="12" t="s">
        <v>193</v>
      </c>
      <c r="AI414" s="12" t="s">
        <v>774</v>
      </c>
      <c r="AJ414" s="12" t="s">
        <v>348</v>
      </c>
      <c r="AK414" s="12" t="s">
        <v>1039</v>
      </c>
      <c r="AL414" s="12"/>
      <c r="AM414" s="10" t="s">
        <v>1162</v>
      </c>
      <c r="AN414" s="10" t="s">
        <v>157</v>
      </c>
    </row>
    <row r="415" spans="1:40" s="10" customFormat="1" x14ac:dyDescent="0.2">
      <c r="A415" s="4">
        <v>2008</v>
      </c>
      <c r="B415" s="6">
        <v>18640826</v>
      </c>
      <c r="C415" s="4" t="s">
        <v>1062</v>
      </c>
      <c r="F415" s="4" t="s">
        <v>1104</v>
      </c>
      <c r="G415" s="4" t="s">
        <v>1165</v>
      </c>
      <c r="H415" s="4" t="s">
        <v>43</v>
      </c>
      <c r="I415" s="10">
        <v>5</v>
      </c>
      <c r="J415" s="4" t="s">
        <v>1063</v>
      </c>
      <c r="K415" s="10" t="s">
        <v>44</v>
      </c>
      <c r="L415" s="10" t="s">
        <v>156</v>
      </c>
      <c r="M415" s="10" t="s">
        <v>902</v>
      </c>
      <c r="N415" s="10" t="s">
        <v>766</v>
      </c>
      <c r="P415" s="10" t="s">
        <v>911</v>
      </c>
      <c r="Q415" s="10">
        <v>2</v>
      </c>
      <c r="R415" s="4">
        <v>1022</v>
      </c>
      <c r="S415" s="10">
        <v>49</v>
      </c>
      <c r="T415" s="13">
        <v>66</v>
      </c>
      <c r="U415" s="10" t="s">
        <v>1168</v>
      </c>
      <c r="V415" s="10" t="s">
        <v>642</v>
      </c>
      <c r="W415" s="12">
        <v>0.08</v>
      </c>
      <c r="X415" s="12">
        <v>7.0000000000000007E-2</v>
      </c>
      <c r="Y415" s="12">
        <v>0.59</v>
      </c>
      <c r="Z415" s="12">
        <v>0.5</v>
      </c>
      <c r="AA415" s="15">
        <v>543</v>
      </c>
      <c r="AB415" s="15">
        <v>479</v>
      </c>
      <c r="AC415" s="12">
        <f t="shared" si="416"/>
        <v>9.999999999999995E-3</v>
      </c>
      <c r="AD415" s="12">
        <f t="shared" si="417"/>
        <v>0.54966139309471573</v>
      </c>
      <c r="AE415" s="12">
        <f t="shared" si="418"/>
        <v>1.8193018694105063E-2</v>
      </c>
      <c r="AF415" s="12">
        <f t="shared" si="419"/>
        <v>6.268544670717896E-2</v>
      </c>
      <c r="AG415" s="12" t="s">
        <v>193</v>
      </c>
      <c r="AH415" s="12"/>
      <c r="AI415" s="12" t="s">
        <v>774</v>
      </c>
      <c r="AJ415" s="12" t="s">
        <v>328</v>
      </c>
      <c r="AK415" s="12"/>
      <c r="AL415" s="12"/>
      <c r="AM415" s="10" t="s">
        <v>1162</v>
      </c>
      <c r="AN415" s="10" t="s">
        <v>157</v>
      </c>
    </row>
    <row r="416" spans="1:40" s="10" customFormat="1" x14ac:dyDescent="0.2">
      <c r="A416" s="4">
        <v>2015</v>
      </c>
      <c r="B416" s="25">
        <v>25524950</v>
      </c>
      <c r="C416" s="4" t="s">
        <v>1066</v>
      </c>
      <c r="D416" s="4"/>
      <c r="F416" s="4" t="s">
        <v>1176</v>
      </c>
      <c r="G416" s="4" t="s">
        <v>1176</v>
      </c>
      <c r="H416" s="4" t="s">
        <v>1176</v>
      </c>
      <c r="I416" s="10">
        <v>12</v>
      </c>
      <c r="J416" s="4" t="s">
        <v>1181</v>
      </c>
      <c r="K416" s="4" t="s">
        <v>1175</v>
      </c>
      <c r="L416" s="4" t="s">
        <v>156</v>
      </c>
      <c r="M416" s="4" t="s">
        <v>903</v>
      </c>
      <c r="N416" s="4" t="s">
        <v>766</v>
      </c>
      <c r="P416" s="10" t="s">
        <v>911</v>
      </c>
      <c r="Q416" s="10">
        <v>2</v>
      </c>
      <c r="R416" s="10">
        <v>10</v>
      </c>
      <c r="S416" s="10">
        <v>62</v>
      </c>
      <c r="T416" s="13">
        <v>30</v>
      </c>
      <c r="U416" s="10" t="s">
        <v>1182</v>
      </c>
      <c r="V416" s="10" t="s">
        <v>642</v>
      </c>
      <c r="W416" s="12">
        <v>995</v>
      </c>
      <c r="X416" s="12">
        <v>1058</v>
      </c>
      <c r="Y416" s="12">
        <v>691</v>
      </c>
      <c r="Z416" s="12">
        <v>571</v>
      </c>
      <c r="AA416" s="15">
        <v>10</v>
      </c>
      <c r="AB416" s="15">
        <v>10</v>
      </c>
      <c r="AC416" s="12">
        <f t="shared" ref="AC416:AC424" si="420">W416-X416</f>
        <v>-63</v>
      </c>
      <c r="AD416" s="12">
        <f t="shared" ref="AD416:AD419" si="421">SQRT(((AA416-1)*Y416^2+(AB416-1)*Z416^2)/(AA416+AB416-2))</f>
        <v>633.84619585511439</v>
      </c>
      <c r="AE416" s="12">
        <f t="shared" ref="AE416:AE419" si="422">AC416/AD416</f>
        <v>-9.9393197296084493E-2</v>
      </c>
      <c r="AF416" s="12">
        <f t="shared" ref="AF416:AF419" si="423">SQRT(((AA416+AB416)/(AA416*AB416)+(AE416^2/(2*(AA416+AB416)))))</f>
        <v>0.44748963696572736</v>
      </c>
      <c r="AG416" s="12" t="s">
        <v>193</v>
      </c>
      <c r="AH416" s="12" t="s">
        <v>193</v>
      </c>
      <c r="AI416" s="12" t="s">
        <v>848</v>
      </c>
      <c r="AJ416" s="12" t="s">
        <v>328</v>
      </c>
      <c r="AK416" s="12" t="s">
        <v>1039</v>
      </c>
      <c r="AL416" s="12"/>
      <c r="AM416" s="10" t="s">
        <v>1180</v>
      </c>
      <c r="AN416" s="10" t="s">
        <v>157</v>
      </c>
    </row>
    <row r="417" spans="1:40" s="10" customFormat="1" x14ac:dyDescent="0.2">
      <c r="A417" s="4">
        <v>2015</v>
      </c>
      <c r="B417" s="6">
        <v>25524950</v>
      </c>
      <c r="C417" s="4" t="s">
        <v>1066</v>
      </c>
      <c r="D417" s="4"/>
      <c r="F417" s="4" t="s">
        <v>1176</v>
      </c>
      <c r="G417" s="4" t="s">
        <v>1176</v>
      </c>
      <c r="H417" s="4" t="s">
        <v>1176</v>
      </c>
      <c r="I417" s="10">
        <v>12</v>
      </c>
      <c r="J417" s="4" t="s">
        <v>1181</v>
      </c>
      <c r="K417" s="4" t="s">
        <v>1175</v>
      </c>
      <c r="L417" s="4" t="s">
        <v>156</v>
      </c>
      <c r="M417" s="4" t="s">
        <v>903</v>
      </c>
      <c r="N417" s="4" t="s">
        <v>766</v>
      </c>
      <c r="P417" s="10" t="s">
        <v>911</v>
      </c>
      <c r="Q417" s="10">
        <v>2</v>
      </c>
      <c r="R417" s="10">
        <v>10</v>
      </c>
      <c r="S417" s="10">
        <v>62</v>
      </c>
      <c r="T417" s="13">
        <v>30</v>
      </c>
      <c r="U417" s="10" t="s">
        <v>1183</v>
      </c>
      <c r="V417" s="10" t="s">
        <v>642</v>
      </c>
      <c r="W417" s="12">
        <v>101</v>
      </c>
      <c r="X417" s="12">
        <v>101</v>
      </c>
      <c r="Y417" s="12">
        <v>3</v>
      </c>
      <c r="Z417" s="12">
        <v>2</v>
      </c>
      <c r="AA417" s="15">
        <v>10</v>
      </c>
      <c r="AB417" s="15">
        <v>10</v>
      </c>
      <c r="AC417" s="12">
        <f t="shared" si="420"/>
        <v>0</v>
      </c>
      <c r="AD417" s="12">
        <f t="shared" si="421"/>
        <v>2.5495097567963922</v>
      </c>
      <c r="AE417" s="12">
        <f t="shared" si="422"/>
        <v>0</v>
      </c>
      <c r="AF417" s="12">
        <f t="shared" si="423"/>
        <v>0.44721359549995793</v>
      </c>
      <c r="AG417" s="12" t="s">
        <v>193</v>
      </c>
      <c r="AH417" s="12"/>
      <c r="AI417" s="12" t="s">
        <v>848</v>
      </c>
      <c r="AJ417" s="12"/>
      <c r="AK417" s="12"/>
      <c r="AL417" s="12"/>
      <c r="AM417" s="10" t="s">
        <v>1180</v>
      </c>
      <c r="AN417" s="10" t="s">
        <v>157</v>
      </c>
    </row>
    <row r="418" spans="1:40" s="10" customFormat="1" x14ac:dyDescent="0.2">
      <c r="A418" s="4">
        <v>2015</v>
      </c>
      <c r="B418" s="6">
        <v>25524950</v>
      </c>
      <c r="C418" s="4" t="s">
        <v>1066</v>
      </c>
      <c r="D418" s="4"/>
      <c r="F418" s="4" t="s">
        <v>1176</v>
      </c>
      <c r="G418" s="4" t="s">
        <v>1176</v>
      </c>
      <c r="H418" s="4" t="s">
        <v>1176</v>
      </c>
      <c r="I418" s="10">
        <v>12</v>
      </c>
      <c r="J418" s="4" t="s">
        <v>1181</v>
      </c>
      <c r="K418" s="4" t="s">
        <v>1175</v>
      </c>
      <c r="L418" s="4" t="s">
        <v>156</v>
      </c>
      <c r="M418" s="4" t="s">
        <v>903</v>
      </c>
      <c r="N418" s="4" t="s">
        <v>766</v>
      </c>
      <c r="P418" s="10" t="s">
        <v>911</v>
      </c>
      <c r="Q418" s="10">
        <v>2</v>
      </c>
      <c r="R418" s="10">
        <v>10</v>
      </c>
      <c r="S418" s="10">
        <v>62</v>
      </c>
      <c r="T418" s="13">
        <v>30</v>
      </c>
      <c r="U418" s="10" t="s">
        <v>1184</v>
      </c>
      <c r="V418" s="10" t="s">
        <v>635</v>
      </c>
      <c r="W418" s="12">
        <v>7.5</v>
      </c>
      <c r="X418" s="12">
        <v>8.9</v>
      </c>
      <c r="Y418" s="12">
        <v>1.6</v>
      </c>
      <c r="Z418" s="12">
        <v>1.9</v>
      </c>
      <c r="AA418" s="15">
        <v>10</v>
      </c>
      <c r="AB418" s="15">
        <v>10</v>
      </c>
      <c r="AC418" s="12">
        <f t="shared" si="420"/>
        <v>-1.4000000000000004</v>
      </c>
      <c r="AD418" s="12">
        <f t="shared" si="421"/>
        <v>1.7564168070250297</v>
      </c>
      <c r="AE418" s="12">
        <f t="shared" si="422"/>
        <v>-0.79707731923340097</v>
      </c>
      <c r="AF418" s="12">
        <f t="shared" si="423"/>
        <v>0.46463244217435745</v>
      </c>
      <c r="AG418" s="12"/>
      <c r="AH418" s="12"/>
      <c r="AI418" s="12" t="s">
        <v>39</v>
      </c>
      <c r="AJ418" s="12" t="s">
        <v>348</v>
      </c>
      <c r="AK418" s="12"/>
      <c r="AL418" s="12"/>
      <c r="AM418" s="10" t="s">
        <v>1180</v>
      </c>
      <c r="AN418" s="10" t="s">
        <v>157</v>
      </c>
    </row>
    <row r="419" spans="1:40" s="10" customFormat="1" x14ac:dyDescent="0.2">
      <c r="A419" s="4">
        <v>2019</v>
      </c>
      <c r="B419" s="25" t="s">
        <v>1189</v>
      </c>
      <c r="C419" s="4" t="s">
        <v>1192</v>
      </c>
      <c r="F419" s="4" t="s">
        <v>1193</v>
      </c>
      <c r="G419" s="4" t="s">
        <v>1194</v>
      </c>
      <c r="H419" s="4" t="s">
        <v>1194</v>
      </c>
      <c r="I419" s="10">
        <v>5</v>
      </c>
      <c r="J419" s="4" t="s">
        <v>1195</v>
      </c>
      <c r="K419" s="10" t="s">
        <v>44</v>
      </c>
      <c r="L419" s="10" t="s">
        <v>156</v>
      </c>
      <c r="M419" s="10" t="s">
        <v>903</v>
      </c>
      <c r="N419" s="10" t="s">
        <v>766</v>
      </c>
      <c r="O419" s="10" t="s">
        <v>1198</v>
      </c>
      <c r="P419" s="10" t="s">
        <v>809</v>
      </c>
      <c r="Q419" s="10">
        <v>2</v>
      </c>
      <c r="R419" s="10">
        <v>37</v>
      </c>
      <c r="S419" s="10">
        <v>44</v>
      </c>
      <c r="T419" s="13">
        <v>43</v>
      </c>
      <c r="U419" s="10" t="s">
        <v>1203</v>
      </c>
      <c r="V419" s="10" t="s">
        <v>642</v>
      </c>
      <c r="W419" s="12">
        <v>3.4304999999999999</v>
      </c>
      <c r="X419" s="12">
        <v>3.4361000000000002</v>
      </c>
      <c r="Y419" s="12">
        <f>0.15242*SQRT(AA419)</f>
        <v>0.83483872214937416</v>
      </c>
      <c r="Z419" s="12">
        <f>0.15213*SQRT(AB419)</f>
        <v>0.83325032673260913</v>
      </c>
      <c r="AA419" s="15">
        <v>30</v>
      </c>
      <c r="AB419" s="15">
        <v>30</v>
      </c>
      <c r="AC419" s="12">
        <f t="shared" si="420"/>
        <v>-5.6000000000002714E-3</v>
      </c>
      <c r="AD419" s="12">
        <f t="shared" si="421"/>
        <v>0.83404490256820107</v>
      </c>
      <c r="AE419" s="12">
        <f t="shared" si="422"/>
        <v>-6.7142668011718363E-3</v>
      </c>
      <c r="AF419" s="12">
        <f t="shared" si="423"/>
        <v>0.2581996172437564</v>
      </c>
      <c r="AG419" s="12" t="s">
        <v>193</v>
      </c>
      <c r="AH419" s="12" t="s">
        <v>193</v>
      </c>
      <c r="AI419" s="12" t="s">
        <v>774</v>
      </c>
      <c r="AJ419" s="12" t="s">
        <v>348</v>
      </c>
      <c r="AK419" s="12" t="s">
        <v>960</v>
      </c>
      <c r="AL419" s="12"/>
      <c r="AM419" s="10" t="s">
        <v>1208</v>
      </c>
      <c r="AN419" s="10" t="s">
        <v>157</v>
      </c>
    </row>
    <row r="420" spans="1:40" s="10" customFormat="1" x14ac:dyDescent="0.2">
      <c r="A420" s="4">
        <v>2019</v>
      </c>
      <c r="B420" s="6" t="s">
        <v>1189</v>
      </c>
      <c r="C420" s="4" t="s">
        <v>1192</v>
      </c>
      <c r="F420" s="4" t="s">
        <v>1193</v>
      </c>
      <c r="G420" s="4" t="s">
        <v>1194</v>
      </c>
      <c r="H420" s="4" t="s">
        <v>1194</v>
      </c>
      <c r="I420" s="10">
        <v>5</v>
      </c>
      <c r="J420" s="4" t="s">
        <v>1195</v>
      </c>
      <c r="K420" s="10" t="s">
        <v>44</v>
      </c>
      <c r="L420" s="10" t="s">
        <v>156</v>
      </c>
      <c r="M420" s="10" t="s">
        <v>903</v>
      </c>
      <c r="N420" s="10" t="s">
        <v>766</v>
      </c>
      <c r="O420" s="10" t="s">
        <v>1198</v>
      </c>
      <c r="P420" s="10" t="s">
        <v>809</v>
      </c>
      <c r="Q420" s="10">
        <v>2</v>
      </c>
      <c r="R420" s="10">
        <v>37</v>
      </c>
      <c r="S420" s="10">
        <v>44</v>
      </c>
      <c r="T420" s="13">
        <v>43</v>
      </c>
      <c r="U420" s="10" t="s">
        <v>1200</v>
      </c>
      <c r="V420" s="10" t="s">
        <v>642</v>
      </c>
      <c r="W420" s="12">
        <v>3.3731</v>
      </c>
      <c r="X420" s="12">
        <v>3.4870999999999999</v>
      </c>
      <c r="Y420" s="12">
        <f>0.15037*SQRT(AA420)</f>
        <v>0.88960091698468935</v>
      </c>
      <c r="Z420" s="12">
        <f>0.15041*SQRT(AB420)</f>
        <v>0.88983756017601323</v>
      </c>
      <c r="AA420" s="15">
        <v>35</v>
      </c>
      <c r="AB420" s="15">
        <v>35</v>
      </c>
      <c r="AC420" s="12">
        <f t="shared" si="420"/>
        <v>-0.11399999999999988</v>
      </c>
      <c r="AD420" s="12">
        <f t="shared" ref="AD420" si="424">SQRT(((AA420-1)*Y420^2+(AB420-1)*Z420^2)/(AA420+AB420-2))</f>
        <v>0.88971924644800171</v>
      </c>
      <c r="AE420" s="12">
        <f t="shared" ref="AE420" si="425">AC420/AD420</f>
        <v>-0.12813030678511059</v>
      </c>
      <c r="AF420" s="12">
        <f t="shared" ref="AF420" si="426">SQRT(((AA420+AB420)/(AA420*AB420)+(AE420^2/(2*(AA420+AB420)))))</f>
        <v>0.23929087761725187</v>
      </c>
      <c r="AG420" s="12" t="s">
        <v>157</v>
      </c>
      <c r="AH420" s="12"/>
      <c r="AI420" s="12" t="s">
        <v>774</v>
      </c>
      <c r="AJ420" s="12" t="s">
        <v>348</v>
      </c>
      <c r="AK420" s="12"/>
      <c r="AL420" s="12"/>
      <c r="AM420" s="10" t="s">
        <v>1208</v>
      </c>
      <c r="AN420" s="10" t="s">
        <v>157</v>
      </c>
    </row>
    <row r="421" spans="1:40" s="10" customFormat="1" x14ac:dyDescent="0.2">
      <c r="A421" s="4">
        <v>2016</v>
      </c>
      <c r="B421" s="25">
        <v>26823210</v>
      </c>
      <c r="C421" s="4" t="s">
        <v>1201</v>
      </c>
      <c r="D421" s="4"/>
      <c r="F421" s="4" t="s">
        <v>1104</v>
      </c>
      <c r="G421" s="4" t="s">
        <v>42</v>
      </c>
      <c r="H421" s="4" t="s">
        <v>43</v>
      </c>
      <c r="I421" s="4">
        <v>24</v>
      </c>
      <c r="J421" s="4" t="s">
        <v>1202</v>
      </c>
      <c r="K421" s="4" t="s">
        <v>44</v>
      </c>
      <c r="L421" s="4" t="s">
        <v>156</v>
      </c>
      <c r="M421" s="10" t="s">
        <v>903</v>
      </c>
      <c r="N421" s="10" t="s">
        <v>766</v>
      </c>
      <c r="O421" s="10" t="s">
        <v>1206</v>
      </c>
      <c r="P421" s="10" t="s">
        <v>809</v>
      </c>
      <c r="Q421" s="10">
        <v>2</v>
      </c>
      <c r="R421" s="10">
        <v>21</v>
      </c>
      <c r="S421" s="10">
        <v>37</v>
      </c>
      <c r="T421" s="13">
        <v>54</v>
      </c>
      <c r="U421" s="10" t="s">
        <v>1219</v>
      </c>
      <c r="V421" s="10" t="s">
        <v>642</v>
      </c>
      <c r="W421" s="4">
        <v>7.6999999999999999E-2</v>
      </c>
      <c r="X421" s="4">
        <v>0.105</v>
      </c>
      <c r="Y421" s="7">
        <f>SQRT(AA421) * ((0.152-0.001) / 3.29)</f>
        <v>0.2103249027168182</v>
      </c>
      <c r="Z421" s="7">
        <f>SQRT(AB421) * ((0.18-0.029) / 3.29)</f>
        <v>0.2103249027168182</v>
      </c>
      <c r="AA421" s="15">
        <v>21</v>
      </c>
      <c r="AB421" s="15">
        <v>21</v>
      </c>
      <c r="AC421" s="12">
        <f t="shared" si="420"/>
        <v>-2.7999999999999997E-2</v>
      </c>
      <c r="AD421" s="12">
        <f t="shared" ref="AD421" si="427">SQRT(((AA421-1)*Y421^2+(AB421-1)*Z421^2)/(AA421+AB421-2))</f>
        <v>0.2103249027168182</v>
      </c>
      <c r="AE421" s="12">
        <f t="shared" ref="AE421" si="428">AC421/AD421</f>
        <v>-0.13312736455986501</v>
      </c>
      <c r="AF421" s="12">
        <f t="shared" ref="AF421" si="429">SQRT(((AA421+AB421)/(AA421*AB421)+(AE421^2/(2*(AA421+AB421)))))</f>
        <v>0.30894834857246067</v>
      </c>
      <c r="AG421" s="12" t="s">
        <v>193</v>
      </c>
      <c r="AH421" s="12" t="s">
        <v>193</v>
      </c>
      <c r="AI421" s="12" t="s">
        <v>774</v>
      </c>
      <c r="AJ421" s="12" t="s">
        <v>348</v>
      </c>
      <c r="AK421" s="12" t="s">
        <v>1209</v>
      </c>
      <c r="AL421" s="12"/>
      <c r="AM421" s="10" t="s">
        <v>1207</v>
      </c>
      <c r="AN421" s="10" t="s">
        <v>157</v>
      </c>
    </row>
    <row r="422" spans="1:40" s="10" customFormat="1" x14ac:dyDescent="0.2">
      <c r="A422" s="4">
        <v>2016</v>
      </c>
      <c r="B422" s="6">
        <v>26823210</v>
      </c>
      <c r="C422" s="4" t="s">
        <v>1201</v>
      </c>
      <c r="D422" s="4"/>
      <c r="F422" s="4" t="s">
        <v>1104</v>
      </c>
      <c r="G422" s="4" t="s">
        <v>42</v>
      </c>
      <c r="H422" s="4" t="s">
        <v>43</v>
      </c>
      <c r="I422" s="4">
        <v>24</v>
      </c>
      <c r="J422" s="4" t="s">
        <v>1202</v>
      </c>
      <c r="K422" s="4" t="s">
        <v>44</v>
      </c>
      <c r="L422" s="4" t="s">
        <v>156</v>
      </c>
      <c r="M422" s="10" t="s">
        <v>903</v>
      </c>
      <c r="N422" s="10" t="s">
        <v>766</v>
      </c>
      <c r="O422" s="10" t="s">
        <v>1206</v>
      </c>
      <c r="P422" s="10" t="s">
        <v>809</v>
      </c>
      <c r="Q422" s="10">
        <v>2</v>
      </c>
      <c r="R422" s="10">
        <v>21</v>
      </c>
      <c r="S422" s="10">
        <v>37</v>
      </c>
      <c r="T422" s="13">
        <v>54</v>
      </c>
      <c r="U422" s="10" t="s">
        <v>1220</v>
      </c>
      <c r="V422" s="10" t="s">
        <v>642</v>
      </c>
      <c r="W422" s="12">
        <v>1.2999999999999999E-2</v>
      </c>
      <c r="X422" s="12">
        <v>7.2999999999999995E-2</v>
      </c>
      <c r="Y422" s="7">
        <f>SQRT(AA422) * ((0.093 - (-0.067)) / 3.29)</f>
        <v>0.22286082407080071</v>
      </c>
      <c r="Z422" s="7">
        <f>SQRT(AB422) * ((0.153 - (-0.007)) / 3.29)</f>
        <v>0.22286082407080071</v>
      </c>
      <c r="AA422" s="15">
        <v>21</v>
      </c>
      <c r="AB422" s="15">
        <v>21</v>
      </c>
      <c r="AC422" s="12">
        <f t="shared" si="420"/>
        <v>-0.06</v>
      </c>
      <c r="AD422" s="12">
        <f t="shared" ref="AD422:AD423" si="430">SQRT(((AA422-1)*Y422^2+(AB422-1)*Z422^2)/(AA422+AB422-2))</f>
        <v>0.22286082407080071</v>
      </c>
      <c r="AE422" s="12">
        <f t="shared" ref="AE422:AE423" si="431">AC422/AD422</f>
        <v>-0.2692263220786556</v>
      </c>
      <c r="AF422" s="12">
        <f t="shared" ref="AF422:AF423" si="432">SQRT(((AA422+AB422)/(AA422*AB422)+(AE422^2/(2*(AA422+AB422)))))</f>
        <v>0.31000159009768841</v>
      </c>
      <c r="AG422" s="12"/>
      <c r="AH422" s="12"/>
      <c r="AI422" s="12" t="s">
        <v>774</v>
      </c>
      <c r="AJ422" s="12" t="s">
        <v>348</v>
      </c>
      <c r="AK422" s="12"/>
      <c r="AL422" s="12"/>
      <c r="AM422" s="10" t="s">
        <v>1207</v>
      </c>
      <c r="AN422" s="10" t="s">
        <v>157</v>
      </c>
    </row>
    <row r="423" spans="1:40" s="10" customFormat="1" x14ac:dyDescent="0.2">
      <c r="A423" s="4">
        <v>2016</v>
      </c>
      <c r="B423" s="6">
        <v>26823210</v>
      </c>
      <c r="C423" s="4" t="s">
        <v>1201</v>
      </c>
      <c r="D423" s="4"/>
      <c r="F423" s="4" t="s">
        <v>1104</v>
      </c>
      <c r="G423" s="4" t="s">
        <v>42</v>
      </c>
      <c r="H423" s="4" t="s">
        <v>43</v>
      </c>
      <c r="I423" s="4">
        <v>24</v>
      </c>
      <c r="J423" s="4" t="s">
        <v>1202</v>
      </c>
      <c r="K423" s="4" t="s">
        <v>44</v>
      </c>
      <c r="L423" s="4" t="s">
        <v>156</v>
      </c>
      <c r="M423" s="10" t="s">
        <v>903</v>
      </c>
      <c r="N423" s="10" t="s">
        <v>766</v>
      </c>
      <c r="O423" s="10" t="s">
        <v>1206</v>
      </c>
      <c r="P423" s="10" t="s">
        <v>809</v>
      </c>
      <c r="Q423" s="10">
        <v>2</v>
      </c>
      <c r="R423" s="10">
        <v>21</v>
      </c>
      <c r="S423" s="10">
        <v>37</v>
      </c>
      <c r="T423" s="13">
        <v>54</v>
      </c>
      <c r="U423" s="10" t="s">
        <v>1221</v>
      </c>
      <c r="V423" s="10" t="s">
        <v>642</v>
      </c>
      <c r="W423" s="12">
        <v>5.8999999999999997E-2</v>
      </c>
      <c r="X423" s="12">
        <v>0.114</v>
      </c>
      <c r="Y423" s="7">
        <f>SQRT(AA423) * ((0.16 - (-0.041)) / 3.29)</f>
        <v>0.27996891023894344</v>
      </c>
      <c r="Z423" s="7">
        <f>SQRT(AB423) * ((0.214 - (-0.013)) / 3.29)</f>
        <v>0.31618379415044851</v>
      </c>
      <c r="AA423" s="15">
        <v>21</v>
      </c>
      <c r="AB423" s="15">
        <v>21</v>
      </c>
      <c r="AC423" s="12">
        <f t="shared" si="420"/>
        <v>-5.5000000000000007E-2</v>
      </c>
      <c r="AD423" s="12">
        <f t="shared" si="430"/>
        <v>0.29862583811833393</v>
      </c>
      <c r="AE423" s="12">
        <f t="shared" si="431"/>
        <v>-0.18417696320773697</v>
      </c>
      <c r="AF423" s="12">
        <f t="shared" si="432"/>
        <v>0.30926027630030078</v>
      </c>
      <c r="AG423" s="12"/>
      <c r="AH423" s="12"/>
      <c r="AI423" s="12" t="s">
        <v>774</v>
      </c>
      <c r="AJ423" s="12" t="s">
        <v>348</v>
      </c>
      <c r="AK423" s="12"/>
      <c r="AL423" s="12"/>
      <c r="AM423" s="10" t="s">
        <v>1207</v>
      </c>
      <c r="AN423" s="10" t="s">
        <v>157</v>
      </c>
    </row>
    <row r="424" spans="1:40" s="10" customFormat="1" x14ac:dyDescent="0.2">
      <c r="A424" s="4">
        <v>2013</v>
      </c>
      <c r="B424" s="25">
        <v>24200619</v>
      </c>
      <c r="C424" s="4" t="s">
        <v>1210</v>
      </c>
      <c r="F424" s="4" t="s">
        <v>1211</v>
      </c>
      <c r="G424" s="4" t="s">
        <v>1212</v>
      </c>
      <c r="H424" s="4" t="s">
        <v>1212</v>
      </c>
      <c r="I424" s="10">
        <v>2.5</v>
      </c>
      <c r="J424" s="4" t="s">
        <v>1214</v>
      </c>
      <c r="K424" s="10" t="s">
        <v>44</v>
      </c>
      <c r="L424" s="10" t="s">
        <v>156</v>
      </c>
      <c r="M424" s="10" t="s">
        <v>903</v>
      </c>
      <c r="N424" s="10" t="s">
        <v>766</v>
      </c>
      <c r="O424" s="10" t="s">
        <v>1218</v>
      </c>
      <c r="P424" s="10" t="s">
        <v>809</v>
      </c>
      <c r="Q424" s="10">
        <v>2</v>
      </c>
      <c r="R424" s="10">
        <v>26</v>
      </c>
      <c r="S424" s="10">
        <v>38</v>
      </c>
      <c r="T424" s="13">
        <v>31</v>
      </c>
      <c r="U424" s="10" t="s">
        <v>1219</v>
      </c>
      <c r="V424" s="10" t="s">
        <v>642</v>
      </c>
      <c r="W424" s="12">
        <v>377</v>
      </c>
      <c r="X424" s="12">
        <v>422</v>
      </c>
      <c r="Y424" s="7">
        <f>SQRT(AA424)*((462-293))/3.29</f>
        <v>261.92531847938619</v>
      </c>
      <c r="Z424" s="7">
        <f>SQRT(AB424)*((507-337))/3.29</f>
        <v>263.47517243488551</v>
      </c>
      <c r="AA424" s="15">
        <v>26</v>
      </c>
      <c r="AB424" s="15">
        <v>26</v>
      </c>
      <c r="AC424" s="12">
        <f t="shared" si="420"/>
        <v>-45</v>
      </c>
      <c r="AD424" s="12">
        <f t="shared" ref="AD424" si="433">SQRT(((AA424-1)*Y424^2+(AB424-1)*Z424^2)/(AA424+AB424-2))</f>
        <v>262.70138841479366</v>
      </c>
      <c r="AE424" s="12">
        <f t="shared" ref="AE424" si="434">AC424/AD424</f>
        <v>-0.17129715328701281</v>
      </c>
      <c r="AF424" s="12">
        <f t="shared" ref="AF424" si="435">SQRT(((AA424+AB424)/(AA424*AB424)+(AE424^2/(2*(AA424+AB424)))))</f>
        <v>0.2778582703660446</v>
      </c>
      <c r="AG424" s="12" t="s">
        <v>193</v>
      </c>
      <c r="AH424" s="12" t="s">
        <v>193</v>
      </c>
      <c r="AI424" s="12" t="s">
        <v>774</v>
      </c>
      <c r="AJ424" s="12" t="s">
        <v>348</v>
      </c>
      <c r="AK424" s="12" t="s">
        <v>960</v>
      </c>
      <c r="AL424" s="12"/>
      <c r="AM424" s="10" t="s">
        <v>1217</v>
      </c>
      <c r="AN424" s="10" t="s">
        <v>157</v>
      </c>
    </row>
    <row r="425" spans="1:40" s="10" customFormat="1" x14ac:dyDescent="0.2">
      <c r="A425" s="4">
        <v>2013</v>
      </c>
      <c r="B425" s="6">
        <v>24200619</v>
      </c>
      <c r="C425" s="4" t="s">
        <v>1210</v>
      </c>
      <c r="F425" s="4" t="s">
        <v>1211</v>
      </c>
      <c r="G425" s="4" t="s">
        <v>1212</v>
      </c>
      <c r="H425" s="4" t="s">
        <v>1212</v>
      </c>
      <c r="I425" s="10">
        <v>2.5</v>
      </c>
      <c r="J425" s="4" t="s">
        <v>1214</v>
      </c>
      <c r="K425" s="10" t="s">
        <v>44</v>
      </c>
      <c r="L425" s="10" t="s">
        <v>156</v>
      </c>
      <c r="M425" s="10" t="s">
        <v>903</v>
      </c>
      <c r="N425" s="10" t="s">
        <v>766</v>
      </c>
      <c r="O425" s="10" t="s">
        <v>1218</v>
      </c>
      <c r="P425" s="10" t="s">
        <v>809</v>
      </c>
      <c r="Q425" s="10">
        <v>2</v>
      </c>
      <c r="R425" s="10">
        <v>26</v>
      </c>
      <c r="S425" s="10">
        <v>38</v>
      </c>
      <c r="T425" s="13">
        <v>31</v>
      </c>
      <c r="U425" s="10" t="s">
        <v>1222</v>
      </c>
      <c r="V425" s="10" t="s">
        <v>642</v>
      </c>
      <c r="W425" s="12">
        <v>403</v>
      </c>
      <c r="X425" s="12">
        <v>496</v>
      </c>
      <c r="Y425" s="7">
        <f>SQRT(AA425)*((533-272))/3.29</f>
        <v>404.51188238532427</v>
      </c>
      <c r="Z425" s="7">
        <f>SQRT(AB425)*((624-369))/3.29</f>
        <v>395.21275865232826</v>
      </c>
      <c r="AA425" s="15">
        <v>26</v>
      </c>
      <c r="AB425" s="15">
        <v>26</v>
      </c>
      <c r="AC425" s="12">
        <f t="shared" ref="AC425:AC426" si="436">W425-X425</f>
        <v>-93</v>
      </c>
      <c r="AD425" s="12">
        <f t="shared" ref="AD425:AD426" si="437">SQRT(((AA425-1)*Y425^2+(AB425-1)*Z425^2)/(AA425+AB425-2))</f>
        <v>399.88935194157261</v>
      </c>
      <c r="AE425" s="12">
        <f t="shared" ref="AE425:AE426" si="438">AC425/AD425</f>
        <v>-0.23256433197948248</v>
      </c>
      <c r="AF425" s="12">
        <f t="shared" ref="AF425:AF426" si="439">SQRT(((AA425+AB425)/(AA425*AB425)+(AE425^2/(2*(AA425+AB425)))))</f>
        <v>0.27828606906502534</v>
      </c>
      <c r="AG425" s="12"/>
      <c r="AH425" s="12"/>
      <c r="AI425" s="12" t="s">
        <v>774</v>
      </c>
      <c r="AJ425" s="12" t="s">
        <v>348</v>
      </c>
      <c r="AK425" s="12"/>
      <c r="AL425" s="12"/>
      <c r="AM425" s="10" t="s">
        <v>1217</v>
      </c>
      <c r="AN425" s="10" t="s">
        <v>157</v>
      </c>
    </row>
    <row r="426" spans="1:40" s="10" customFormat="1" x14ac:dyDescent="0.2">
      <c r="A426" s="4">
        <v>2013</v>
      </c>
      <c r="B426" s="6">
        <v>24200619</v>
      </c>
      <c r="C426" s="4" t="s">
        <v>1210</v>
      </c>
      <c r="F426" s="4" t="s">
        <v>1211</v>
      </c>
      <c r="G426" s="4" t="s">
        <v>1212</v>
      </c>
      <c r="H426" s="4" t="s">
        <v>1212</v>
      </c>
      <c r="I426" s="10">
        <v>2.5</v>
      </c>
      <c r="J426" s="4" t="s">
        <v>1214</v>
      </c>
      <c r="K426" s="10" t="s">
        <v>44</v>
      </c>
      <c r="L426" s="10" t="s">
        <v>156</v>
      </c>
      <c r="M426" s="10" t="s">
        <v>903</v>
      </c>
      <c r="N426" s="10" t="s">
        <v>766</v>
      </c>
      <c r="O426" s="10" t="s">
        <v>1218</v>
      </c>
      <c r="P426" s="10" t="s">
        <v>809</v>
      </c>
      <c r="Q426" s="10">
        <v>2</v>
      </c>
      <c r="R426" s="10">
        <v>26</v>
      </c>
      <c r="S426" s="10">
        <v>38</v>
      </c>
      <c r="T426" s="13">
        <v>31</v>
      </c>
      <c r="U426" s="10" t="s">
        <v>1223</v>
      </c>
      <c r="V426" s="10" t="s">
        <v>642</v>
      </c>
      <c r="W426" s="12">
        <v>275</v>
      </c>
      <c r="X426" s="12">
        <v>309</v>
      </c>
      <c r="Y426" s="7">
        <f>SQRT(AA426)*((380-169))/3.29</f>
        <v>327.01918461035791</v>
      </c>
      <c r="Z426" s="7">
        <f>SQRT(AB426)*((413-205))/3.29</f>
        <v>322.36962274385996</v>
      </c>
      <c r="AA426" s="15">
        <v>26</v>
      </c>
      <c r="AB426" s="15">
        <v>26</v>
      </c>
      <c r="AC426" s="12">
        <f t="shared" si="436"/>
        <v>-34</v>
      </c>
      <c r="AD426" s="12">
        <f t="shared" si="437"/>
        <v>324.70272617522164</v>
      </c>
      <c r="AE426" s="12">
        <f t="shared" si="438"/>
        <v>-0.10471116273182239</v>
      </c>
      <c r="AF426" s="12">
        <f t="shared" si="439"/>
        <v>0.27754009460174345</v>
      </c>
      <c r="AG426" s="12"/>
      <c r="AH426" s="12"/>
      <c r="AI426" s="12" t="s">
        <v>774</v>
      </c>
      <c r="AJ426" s="12" t="s">
        <v>348</v>
      </c>
      <c r="AK426" s="12"/>
      <c r="AL426" s="12"/>
      <c r="AM426" s="10" t="s">
        <v>1217</v>
      </c>
      <c r="AN426" s="10" t="s">
        <v>157</v>
      </c>
    </row>
    <row r="427" spans="1:40" s="10" customFormat="1" x14ac:dyDescent="0.2">
      <c r="A427" s="4">
        <v>2018</v>
      </c>
      <c r="B427" s="25">
        <v>30354703</v>
      </c>
      <c r="C427" s="4" t="s">
        <v>358</v>
      </c>
      <c r="F427" s="4" t="s">
        <v>559</v>
      </c>
      <c r="G427" s="4" t="s">
        <v>559</v>
      </c>
      <c r="H427" s="4" t="s">
        <v>559</v>
      </c>
      <c r="J427" s="4" t="s">
        <v>1226</v>
      </c>
      <c r="K427" s="10" t="s">
        <v>86</v>
      </c>
      <c r="L427" s="10" t="s">
        <v>156</v>
      </c>
      <c r="M427" s="10" t="s">
        <v>902</v>
      </c>
      <c r="N427" s="10" t="s">
        <v>766</v>
      </c>
      <c r="O427" s="10" t="s">
        <v>1228</v>
      </c>
      <c r="P427" s="10" t="s">
        <v>911</v>
      </c>
      <c r="Q427" s="10">
        <v>2</v>
      </c>
      <c r="R427" s="10">
        <v>95</v>
      </c>
      <c r="S427" s="10">
        <v>62</v>
      </c>
      <c r="T427" s="13">
        <v>44</v>
      </c>
      <c r="U427" s="10" t="s">
        <v>640</v>
      </c>
      <c r="V427" s="10" t="s">
        <v>642</v>
      </c>
      <c r="W427" s="12">
        <v>129.65</v>
      </c>
      <c r="X427" s="12">
        <v>129.75</v>
      </c>
      <c r="Y427" s="12">
        <v>10.66</v>
      </c>
      <c r="Z427" s="12">
        <v>12.75</v>
      </c>
      <c r="AA427" s="15">
        <v>95</v>
      </c>
      <c r="AB427" s="15">
        <v>95</v>
      </c>
      <c r="AC427" s="12">
        <f t="shared" ref="AC427:AC441" si="440">W427-X427</f>
        <v>-9.9999999999994316E-2</v>
      </c>
      <c r="AD427" s="12">
        <f t="shared" ref="AD427:AD440" si="441">SQRT(((AA427-1)*Y427^2+(AB427-1)*Z427^2)/(AA427+AB427-2))</f>
        <v>11.751555216225638</v>
      </c>
      <c r="AE427" s="12">
        <f t="shared" ref="AE427:AE440" si="442">AC427/AD427</f>
        <v>-8.5095119888405971E-3</v>
      </c>
      <c r="AF427" s="12">
        <f t="shared" ref="AF427:AF440" si="443">SQRT(((AA427+AB427)/(AA427*AB427)+(AE427^2/(2*(AA427+AB427)))))</f>
        <v>0.14509590668347869</v>
      </c>
      <c r="AG427" s="12" t="s">
        <v>193</v>
      </c>
      <c r="AH427" s="12" t="s">
        <v>193</v>
      </c>
      <c r="AI427" s="12" t="s">
        <v>780</v>
      </c>
      <c r="AJ427" s="12" t="s">
        <v>328</v>
      </c>
      <c r="AK427" s="12" t="s">
        <v>960</v>
      </c>
      <c r="AL427" s="12"/>
      <c r="AM427" s="10" t="s">
        <v>1227</v>
      </c>
      <c r="AN427" s="10" t="s">
        <v>157</v>
      </c>
    </row>
    <row r="428" spans="1:40" s="10" customFormat="1" x14ac:dyDescent="0.2">
      <c r="A428" s="4">
        <v>2018</v>
      </c>
      <c r="B428" s="6">
        <v>30354703</v>
      </c>
      <c r="C428" s="4" t="s">
        <v>358</v>
      </c>
      <c r="F428" s="4" t="s">
        <v>559</v>
      </c>
      <c r="G428" s="4" t="s">
        <v>559</v>
      </c>
      <c r="H428" s="4" t="s">
        <v>559</v>
      </c>
      <c r="J428" s="4" t="s">
        <v>1226</v>
      </c>
      <c r="K428" s="10" t="s">
        <v>86</v>
      </c>
      <c r="L428" s="10" t="s">
        <v>156</v>
      </c>
      <c r="M428" s="10" t="s">
        <v>902</v>
      </c>
      <c r="N428" s="10" t="s">
        <v>766</v>
      </c>
      <c r="O428" s="10" t="s">
        <v>1228</v>
      </c>
      <c r="P428" s="10" t="s">
        <v>911</v>
      </c>
      <c r="Q428" s="10">
        <v>2</v>
      </c>
      <c r="R428" s="10">
        <v>95</v>
      </c>
      <c r="S428" s="10">
        <v>62</v>
      </c>
      <c r="T428" s="13">
        <v>44</v>
      </c>
      <c r="U428" s="10" t="s">
        <v>641</v>
      </c>
      <c r="V428" s="10" t="s">
        <v>642</v>
      </c>
      <c r="W428" s="12">
        <v>77.239999999999995</v>
      </c>
      <c r="X428" s="12">
        <v>77.989999999999995</v>
      </c>
      <c r="Y428" s="12">
        <v>7.22</v>
      </c>
      <c r="Z428" s="12">
        <v>8.1999999999999993</v>
      </c>
      <c r="AA428" s="15">
        <v>95</v>
      </c>
      <c r="AB428" s="15">
        <v>95</v>
      </c>
      <c r="AC428" s="12">
        <f t="shared" si="440"/>
        <v>-0.75</v>
      </c>
      <c r="AD428" s="12">
        <f t="shared" si="441"/>
        <v>7.7255549962446066</v>
      </c>
      <c r="AE428" s="12">
        <f t="shared" si="442"/>
        <v>-9.7080403979335483E-2</v>
      </c>
      <c r="AF428" s="12">
        <f t="shared" si="443"/>
        <v>0.1451806914524901</v>
      </c>
      <c r="AG428" s="12" t="s">
        <v>193</v>
      </c>
      <c r="AH428" s="12"/>
      <c r="AI428" s="12" t="s">
        <v>780</v>
      </c>
      <c r="AJ428" s="12" t="s">
        <v>328</v>
      </c>
      <c r="AK428" s="12"/>
      <c r="AL428" s="12"/>
      <c r="AM428" s="10" t="s">
        <v>1227</v>
      </c>
      <c r="AN428" s="10" t="s">
        <v>157</v>
      </c>
    </row>
    <row r="429" spans="1:40" s="10" customFormat="1" x14ac:dyDescent="0.2">
      <c r="A429" s="4">
        <v>2018</v>
      </c>
      <c r="B429" s="6">
        <v>30354703</v>
      </c>
      <c r="C429" s="4" t="s">
        <v>358</v>
      </c>
      <c r="F429" s="4" t="s">
        <v>559</v>
      </c>
      <c r="G429" s="4" t="s">
        <v>559</v>
      </c>
      <c r="H429" s="4" t="s">
        <v>559</v>
      </c>
      <c r="J429" s="4" t="s">
        <v>1226</v>
      </c>
      <c r="K429" s="10" t="s">
        <v>86</v>
      </c>
      <c r="L429" s="10" t="s">
        <v>156</v>
      </c>
      <c r="M429" s="10" t="s">
        <v>902</v>
      </c>
      <c r="N429" s="10" t="s">
        <v>766</v>
      </c>
      <c r="O429" s="10" t="s">
        <v>1228</v>
      </c>
      <c r="P429" s="10" t="s">
        <v>911</v>
      </c>
      <c r="Q429" s="10">
        <v>2</v>
      </c>
      <c r="R429" s="10">
        <v>95</v>
      </c>
      <c r="S429" s="10">
        <v>62</v>
      </c>
      <c r="T429" s="13">
        <v>44</v>
      </c>
      <c r="U429" s="10" t="s">
        <v>644</v>
      </c>
      <c r="V429" s="10" t="s">
        <v>642</v>
      </c>
      <c r="W429" s="12">
        <v>132.24</v>
      </c>
      <c r="X429" s="12">
        <v>132.77000000000001</v>
      </c>
      <c r="Y429" s="12">
        <v>10.86</v>
      </c>
      <c r="Z429" s="12">
        <v>12.87</v>
      </c>
      <c r="AA429" s="15">
        <v>95</v>
      </c>
      <c r="AB429" s="15">
        <v>95</v>
      </c>
      <c r="AC429" s="12">
        <f t="shared" si="440"/>
        <v>-0.53000000000000114</v>
      </c>
      <c r="AD429" s="12">
        <f t="shared" si="441"/>
        <v>11.907487140450751</v>
      </c>
      <c r="AE429" s="12">
        <f t="shared" si="442"/>
        <v>-4.4509810823103547E-2</v>
      </c>
      <c r="AF429" s="12">
        <f t="shared" si="443"/>
        <v>0.14511321463329668</v>
      </c>
      <c r="AG429" s="12" t="s">
        <v>193</v>
      </c>
      <c r="AH429" s="12"/>
      <c r="AI429" s="12" t="s">
        <v>780</v>
      </c>
      <c r="AJ429" s="12" t="s">
        <v>328</v>
      </c>
      <c r="AK429" s="12"/>
      <c r="AL429" s="12"/>
      <c r="AM429" s="10" t="s">
        <v>1227</v>
      </c>
      <c r="AN429" s="10" t="s">
        <v>157</v>
      </c>
    </row>
    <row r="430" spans="1:40" s="10" customFormat="1" x14ac:dyDescent="0.2">
      <c r="A430" s="4">
        <v>2018</v>
      </c>
      <c r="B430" s="6">
        <v>30354703</v>
      </c>
      <c r="C430" s="4" t="s">
        <v>358</v>
      </c>
      <c r="F430" s="4" t="s">
        <v>559</v>
      </c>
      <c r="G430" s="4" t="s">
        <v>559</v>
      </c>
      <c r="H430" s="4" t="s">
        <v>559</v>
      </c>
      <c r="J430" s="4" t="s">
        <v>1226</v>
      </c>
      <c r="K430" s="10" t="s">
        <v>86</v>
      </c>
      <c r="L430" s="10" t="s">
        <v>156</v>
      </c>
      <c r="M430" s="10" t="s">
        <v>902</v>
      </c>
      <c r="N430" s="10" t="s">
        <v>766</v>
      </c>
      <c r="O430" s="10" t="s">
        <v>1228</v>
      </c>
      <c r="P430" s="10" t="s">
        <v>911</v>
      </c>
      <c r="Q430" s="10">
        <v>2</v>
      </c>
      <c r="R430" s="10">
        <v>95</v>
      </c>
      <c r="S430" s="10">
        <v>62</v>
      </c>
      <c r="T430" s="13">
        <v>44</v>
      </c>
      <c r="U430" s="10" t="s">
        <v>645</v>
      </c>
      <c r="V430" s="10" t="s">
        <v>642</v>
      </c>
      <c r="W430" s="12">
        <v>79.27</v>
      </c>
      <c r="X430" s="12">
        <v>80.55</v>
      </c>
      <c r="Y430" s="12">
        <v>7.73</v>
      </c>
      <c r="Z430" s="12">
        <v>8.51</v>
      </c>
      <c r="AA430" s="15">
        <v>95</v>
      </c>
      <c r="AB430" s="15">
        <v>95</v>
      </c>
      <c r="AC430" s="12">
        <f t="shared" si="440"/>
        <v>-1.2800000000000011</v>
      </c>
      <c r="AD430" s="12">
        <f t="shared" si="441"/>
        <v>8.1293603684422795</v>
      </c>
      <c r="AE430" s="12">
        <f t="shared" si="442"/>
        <v>-0.15745396217996305</v>
      </c>
      <c r="AF430" s="12">
        <f t="shared" si="443"/>
        <v>0.14531989893630651</v>
      </c>
      <c r="AG430" s="12" t="s">
        <v>193</v>
      </c>
      <c r="AH430" s="12"/>
      <c r="AI430" s="12" t="s">
        <v>780</v>
      </c>
      <c r="AJ430" s="12" t="s">
        <v>328</v>
      </c>
      <c r="AK430" s="12"/>
      <c r="AL430" s="12"/>
      <c r="AM430" s="10" t="s">
        <v>1227</v>
      </c>
      <c r="AN430" s="10" t="s">
        <v>157</v>
      </c>
    </row>
    <row r="431" spans="1:40" s="10" customFormat="1" x14ac:dyDescent="0.2">
      <c r="A431" s="4">
        <v>2018</v>
      </c>
      <c r="B431" s="6">
        <v>30354703</v>
      </c>
      <c r="C431" s="4" t="s">
        <v>358</v>
      </c>
      <c r="F431" s="4" t="s">
        <v>559</v>
      </c>
      <c r="G431" s="4" t="s">
        <v>559</v>
      </c>
      <c r="H431" s="4" t="s">
        <v>559</v>
      </c>
      <c r="J431" s="4" t="s">
        <v>1226</v>
      </c>
      <c r="K431" s="10" t="s">
        <v>86</v>
      </c>
      <c r="L431" s="10" t="s">
        <v>156</v>
      </c>
      <c r="M431" s="10" t="s">
        <v>902</v>
      </c>
      <c r="N431" s="10" t="s">
        <v>766</v>
      </c>
      <c r="O431" s="10" t="s">
        <v>1228</v>
      </c>
      <c r="P431" s="10" t="s">
        <v>911</v>
      </c>
      <c r="Q431" s="10">
        <v>2</v>
      </c>
      <c r="R431" s="10">
        <v>95</v>
      </c>
      <c r="S431" s="10">
        <v>62</v>
      </c>
      <c r="T431" s="13">
        <v>44</v>
      </c>
      <c r="U431" s="10" t="s">
        <v>637</v>
      </c>
      <c r="V431" s="10" t="s">
        <v>642</v>
      </c>
      <c r="W431" s="12">
        <v>122.76</v>
      </c>
      <c r="X431" s="12">
        <v>121.08</v>
      </c>
      <c r="Y431" s="12">
        <v>12.18</v>
      </c>
      <c r="Z431" s="12">
        <v>14.92</v>
      </c>
      <c r="AA431" s="15">
        <v>95</v>
      </c>
      <c r="AB431" s="15">
        <v>95</v>
      </c>
      <c r="AC431" s="12">
        <f t="shared" si="440"/>
        <v>1.6800000000000068</v>
      </c>
      <c r="AD431" s="12">
        <f t="shared" si="441"/>
        <v>13.619082201088297</v>
      </c>
      <c r="AE431" s="12">
        <f t="shared" si="442"/>
        <v>0.12335633012522375</v>
      </c>
      <c r="AF431" s="12">
        <f t="shared" si="443"/>
        <v>0.1452331771595157</v>
      </c>
      <c r="AG431" s="12" t="s">
        <v>193</v>
      </c>
      <c r="AH431" s="12"/>
      <c r="AI431" s="12" t="s">
        <v>780</v>
      </c>
      <c r="AJ431" s="12" t="s">
        <v>348</v>
      </c>
      <c r="AK431" s="12"/>
      <c r="AL431" s="12"/>
      <c r="AM431" s="10" t="s">
        <v>1227</v>
      </c>
      <c r="AN431" s="10" t="s">
        <v>157</v>
      </c>
    </row>
    <row r="432" spans="1:40" s="10" customFormat="1" x14ac:dyDescent="0.2">
      <c r="A432" s="4">
        <v>2018</v>
      </c>
      <c r="B432" s="6">
        <v>30354703</v>
      </c>
      <c r="C432" s="4" t="s">
        <v>358</v>
      </c>
      <c r="F432" s="4" t="s">
        <v>559</v>
      </c>
      <c r="G432" s="4" t="s">
        <v>559</v>
      </c>
      <c r="H432" s="4" t="s">
        <v>559</v>
      </c>
      <c r="J432" s="4" t="s">
        <v>1226</v>
      </c>
      <c r="K432" s="10" t="s">
        <v>86</v>
      </c>
      <c r="L432" s="10" t="s">
        <v>156</v>
      </c>
      <c r="M432" s="10" t="s">
        <v>902</v>
      </c>
      <c r="N432" s="10" t="s">
        <v>766</v>
      </c>
      <c r="O432" s="10" t="s">
        <v>1228</v>
      </c>
      <c r="P432" s="10" t="s">
        <v>911</v>
      </c>
      <c r="Q432" s="10">
        <v>2</v>
      </c>
      <c r="R432" s="10">
        <v>95</v>
      </c>
      <c r="S432" s="10">
        <v>62</v>
      </c>
      <c r="T432" s="13">
        <v>44</v>
      </c>
      <c r="U432" s="10" t="s">
        <v>638</v>
      </c>
      <c r="V432" s="10" t="s">
        <v>642</v>
      </c>
      <c r="W432" s="12">
        <v>70.92</v>
      </c>
      <c r="X432" s="12">
        <v>70.569999999999993</v>
      </c>
      <c r="Y432" s="12">
        <v>9.68</v>
      </c>
      <c r="Z432" s="12">
        <v>9.67</v>
      </c>
      <c r="AA432" s="15">
        <v>95</v>
      </c>
      <c r="AB432" s="15">
        <v>95</v>
      </c>
      <c r="AC432" s="12">
        <f t="shared" si="440"/>
        <v>0.35000000000000853</v>
      </c>
      <c r="AD432" s="12">
        <f t="shared" si="441"/>
        <v>9.6750012919895774</v>
      </c>
      <c r="AE432" s="12">
        <f t="shared" si="442"/>
        <v>3.617570576344948E-2</v>
      </c>
      <c r="AF432" s="12">
        <f t="shared" si="443"/>
        <v>0.14510711725523651</v>
      </c>
      <c r="AG432" s="12" t="s">
        <v>193</v>
      </c>
      <c r="AH432" s="12"/>
      <c r="AI432" s="12" t="s">
        <v>780</v>
      </c>
      <c r="AJ432" s="12" t="s">
        <v>348</v>
      </c>
      <c r="AK432" s="12"/>
      <c r="AL432" s="12"/>
      <c r="AM432" s="10" t="s">
        <v>1227</v>
      </c>
      <c r="AN432" s="10" t="s">
        <v>157</v>
      </c>
    </row>
    <row r="433" spans="1:40" s="10" customFormat="1" x14ac:dyDescent="0.2">
      <c r="A433" s="4">
        <v>2019</v>
      </c>
      <c r="B433" s="25" t="s">
        <v>1237</v>
      </c>
      <c r="C433" s="4" t="s">
        <v>1238</v>
      </c>
      <c r="F433" s="4" t="s">
        <v>1239</v>
      </c>
      <c r="G433" s="4" t="s">
        <v>1232</v>
      </c>
      <c r="H433" s="10" t="s">
        <v>1240</v>
      </c>
      <c r="I433" s="10">
        <v>5</v>
      </c>
      <c r="J433" s="4" t="s">
        <v>1234</v>
      </c>
      <c r="K433" s="10" t="s">
        <v>1234</v>
      </c>
      <c r="L433" s="10" t="s">
        <v>156</v>
      </c>
      <c r="M433" s="10" t="s">
        <v>903</v>
      </c>
      <c r="N433" s="10" t="s">
        <v>766</v>
      </c>
      <c r="O433" s="10" t="s">
        <v>1236</v>
      </c>
      <c r="P433" s="10" t="s">
        <v>911</v>
      </c>
      <c r="Q433" s="10">
        <v>2</v>
      </c>
      <c r="R433" s="10">
        <v>20</v>
      </c>
      <c r="T433" s="13">
        <v>50</v>
      </c>
      <c r="U433" s="10" t="s">
        <v>1241</v>
      </c>
      <c r="V433" s="10" t="s">
        <v>642</v>
      </c>
      <c r="W433" s="12">
        <v>39.9</v>
      </c>
      <c r="X433" s="12">
        <v>40.4</v>
      </c>
      <c r="Y433" s="12">
        <f>4*SQRT(AA433)</f>
        <v>17.888543819998318</v>
      </c>
      <c r="Z433" s="12">
        <f>3.8*SQRT(AB433)</f>
        <v>16.994116628998402</v>
      </c>
      <c r="AA433" s="15">
        <v>20</v>
      </c>
      <c r="AB433" s="15">
        <v>20</v>
      </c>
      <c r="AC433" s="12">
        <f t="shared" si="440"/>
        <v>-0.5</v>
      </c>
      <c r="AD433" s="12">
        <f t="shared" si="441"/>
        <v>17.447062790051511</v>
      </c>
      <c r="AE433" s="12">
        <f t="shared" si="442"/>
        <v>-2.8658118906129286E-2</v>
      </c>
      <c r="AF433" s="12">
        <f t="shared" si="443"/>
        <v>0.3162439977252382</v>
      </c>
      <c r="AG433" s="12" t="s">
        <v>193</v>
      </c>
      <c r="AH433" s="12" t="s">
        <v>193</v>
      </c>
      <c r="AI433" s="12" t="s">
        <v>781</v>
      </c>
      <c r="AJ433" s="12" t="s">
        <v>328</v>
      </c>
      <c r="AK433" s="12" t="s">
        <v>960</v>
      </c>
      <c r="AL433" s="12"/>
      <c r="AM433" s="10" t="s">
        <v>1242</v>
      </c>
      <c r="AN433" s="10" t="s">
        <v>157</v>
      </c>
    </row>
    <row r="434" spans="1:40" s="10" customFormat="1" x14ac:dyDescent="0.2">
      <c r="A434" s="4">
        <v>2004</v>
      </c>
      <c r="B434" s="25">
        <v>15364161</v>
      </c>
      <c r="C434" s="4" t="s">
        <v>1066</v>
      </c>
      <c r="D434" s="4"/>
      <c r="F434" s="4" t="s">
        <v>1176</v>
      </c>
      <c r="G434" s="4" t="s">
        <v>1176</v>
      </c>
      <c r="H434" s="4" t="s">
        <v>1176</v>
      </c>
      <c r="I434" s="10">
        <v>12</v>
      </c>
      <c r="J434" s="4" t="s">
        <v>1185</v>
      </c>
      <c r="K434" s="4" t="s">
        <v>1185</v>
      </c>
      <c r="L434" s="4" t="s">
        <v>156</v>
      </c>
      <c r="M434" s="10" t="s">
        <v>736</v>
      </c>
      <c r="N434" s="10" t="s">
        <v>736</v>
      </c>
      <c r="P434" s="10" t="s">
        <v>911</v>
      </c>
      <c r="Q434" s="10">
        <v>2</v>
      </c>
      <c r="R434" s="10">
        <v>188</v>
      </c>
      <c r="S434" s="10">
        <v>33</v>
      </c>
      <c r="T434" s="13">
        <v>51</v>
      </c>
      <c r="U434" s="10" t="s">
        <v>1244</v>
      </c>
      <c r="V434" s="10" t="s">
        <v>642</v>
      </c>
      <c r="W434" s="12">
        <v>7.7</v>
      </c>
      <c r="X434" s="12">
        <v>7.8</v>
      </c>
      <c r="Y434" s="12">
        <f>0.3*SQRT(AA434)</f>
        <v>2.3622023622035431</v>
      </c>
      <c r="Z434" s="12">
        <f>0.3*SQRT(AB434)</f>
        <v>3.3674916480965473</v>
      </c>
      <c r="AA434" s="15">
        <v>62</v>
      </c>
      <c r="AB434" s="15">
        <v>126</v>
      </c>
      <c r="AC434" s="12">
        <f t="shared" si="440"/>
        <v>-9.9999999999999645E-2</v>
      </c>
      <c r="AD434" s="12">
        <f t="shared" si="441"/>
        <v>3.0742426289958775</v>
      </c>
      <c r="AE434" s="12">
        <f t="shared" si="442"/>
        <v>-3.2528336916810653E-2</v>
      </c>
      <c r="AF434" s="12">
        <f t="shared" si="443"/>
        <v>0.1551397894510273</v>
      </c>
      <c r="AG434" s="12" t="s">
        <v>193</v>
      </c>
      <c r="AH434" s="12" t="s">
        <v>193</v>
      </c>
      <c r="AI434" s="12" t="s">
        <v>848</v>
      </c>
      <c r="AJ434" s="12" t="s">
        <v>328</v>
      </c>
      <c r="AK434" s="12" t="s">
        <v>1039</v>
      </c>
      <c r="AL434" s="12"/>
      <c r="AM434" s="10" t="s">
        <v>1243</v>
      </c>
      <c r="AN434" s="10" t="s">
        <v>157</v>
      </c>
    </row>
    <row r="435" spans="1:40" s="10" customFormat="1" x14ac:dyDescent="0.2">
      <c r="A435" s="4">
        <v>2004</v>
      </c>
      <c r="B435" s="6">
        <v>15364161</v>
      </c>
      <c r="C435" s="4" t="s">
        <v>1066</v>
      </c>
      <c r="D435" s="4"/>
      <c r="F435" s="4" t="s">
        <v>1176</v>
      </c>
      <c r="G435" s="4" t="s">
        <v>1176</v>
      </c>
      <c r="H435" s="4" t="s">
        <v>1176</v>
      </c>
      <c r="I435" s="10">
        <v>12</v>
      </c>
      <c r="J435" s="4" t="s">
        <v>1185</v>
      </c>
      <c r="K435" s="4" t="s">
        <v>1185</v>
      </c>
      <c r="L435" s="4" t="s">
        <v>156</v>
      </c>
      <c r="M435" s="10" t="s">
        <v>736</v>
      </c>
      <c r="N435" s="10" t="s">
        <v>736</v>
      </c>
      <c r="P435" s="10" t="s">
        <v>911</v>
      </c>
      <c r="Q435" s="10">
        <v>2</v>
      </c>
      <c r="R435" s="10">
        <v>188</v>
      </c>
      <c r="S435" s="10">
        <v>33</v>
      </c>
      <c r="T435" s="13">
        <v>51</v>
      </c>
      <c r="U435" s="10" t="s">
        <v>1245</v>
      </c>
      <c r="V435" s="10" t="s">
        <v>642</v>
      </c>
      <c r="W435" s="12">
        <v>78.3</v>
      </c>
      <c r="X435" s="12">
        <v>76</v>
      </c>
      <c r="Y435" s="12">
        <f>1.9*SQRT(AA435)</f>
        <v>14.96061496062244</v>
      </c>
      <c r="Z435" s="12">
        <f>1.4*SQRT(AB435)</f>
        <v>15.714961024450552</v>
      </c>
      <c r="AA435" s="15">
        <v>62</v>
      </c>
      <c r="AB435" s="15">
        <v>126</v>
      </c>
      <c r="AC435" s="12">
        <f t="shared" si="440"/>
        <v>2.2999999999999972</v>
      </c>
      <c r="AD435" s="12">
        <f t="shared" si="441"/>
        <v>15.471621610833726</v>
      </c>
      <c r="AE435" s="12">
        <f t="shared" si="442"/>
        <v>0.14865927165575607</v>
      </c>
      <c r="AF435" s="12">
        <f t="shared" si="443"/>
        <v>0.15532004272072289</v>
      </c>
      <c r="AG435" s="12" t="s">
        <v>157</v>
      </c>
      <c r="AH435" s="12"/>
      <c r="AI435" s="12" t="s">
        <v>39</v>
      </c>
      <c r="AJ435" s="12" t="s">
        <v>348</v>
      </c>
      <c r="AK435" s="12"/>
      <c r="AL435" s="12"/>
      <c r="AM435" s="10" t="s">
        <v>1243</v>
      </c>
      <c r="AN435" s="10" t="s">
        <v>157</v>
      </c>
    </row>
    <row r="436" spans="1:40" hidden="1" x14ac:dyDescent="0.2">
      <c r="A436" s="4">
        <v>1989</v>
      </c>
      <c r="B436" s="6">
        <v>2567265</v>
      </c>
      <c r="C436" s="4" t="s">
        <v>1082</v>
      </c>
      <c r="D436" s="4"/>
      <c r="E436" s="4"/>
      <c r="F436" s="4" t="s">
        <v>1083</v>
      </c>
      <c r="G436" s="4" t="s">
        <v>1084</v>
      </c>
      <c r="H436" s="4" t="s">
        <v>1084</v>
      </c>
      <c r="I436" s="4">
        <v>25</v>
      </c>
      <c r="J436" s="4" t="s">
        <v>811</v>
      </c>
      <c r="K436" s="4" t="s">
        <v>61</v>
      </c>
      <c r="L436" s="4" t="s">
        <v>294</v>
      </c>
      <c r="M436" s="4" t="s">
        <v>903</v>
      </c>
      <c r="N436" s="4" t="s">
        <v>766</v>
      </c>
      <c r="O436" s="4"/>
      <c r="P436" s="8" t="s">
        <v>809</v>
      </c>
      <c r="Q436" s="8">
        <v>3</v>
      </c>
      <c r="R436" s="8">
        <v>15</v>
      </c>
      <c r="S436" s="8">
        <v>26</v>
      </c>
      <c r="T436" s="31">
        <v>0</v>
      </c>
      <c r="U436" s="8" t="s">
        <v>1258</v>
      </c>
      <c r="V436" s="8" t="s">
        <v>642</v>
      </c>
      <c r="W436" s="9">
        <v>3.3</v>
      </c>
      <c r="X436" s="9">
        <v>3.1</v>
      </c>
      <c r="Y436" s="9">
        <v>1</v>
      </c>
      <c r="Z436" s="9">
        <v>0.7</v>
      </c>
      <c r="AA436" s="14">
        <v>15</v>
      </c>
      <c r="AB436" s="14">
        <v>15</v>
      </c>
      <c r="AC436" s="9">
        <f t="shared" si="440"/>
        <v>0.19999999999999973</v>
      </c>
      <c r="AD436" s="9">
        <f t="shared" si="441"/>
        <v>0.86313382508160341</v>
      </c>
      <c r="AE436" s="9">
        <f t="shared" si="442"/>
        <v>0.2317137785453966</v>
      </c>
      <c r="AF436" s="9">
        <f t="shared" si="443"/>
        <v>0.36637165272365585</v>
      </c>
      <c r="AG436" s="9" t="s">
        <v>193</v>
      </c>
      <c r="AI436" s="9" t="s">
        <v>1307</v>
      </c>
      <c r="AJ436" s="9" t="s">
        <v>328</v>
      </c>
      <c r="AM436" s="8" t="s">
        <v>1257</v>
      </c>
      <c r="AN436" s="8" t="s">
        <v>157</v>
      </c>
    </row>
    <row r="437" spans="1:40" hidden="1" x14ac:dyDescent="0.2">
      <c r="A437" s="4">
        <v>1989</v>
      </c>
      <c r="B437" s="6">
        <v>2567265</v>
      </c>
      <c r="C437" s="4" t="s">
        <v>1082</v>
      </c>
      <c r="D437" s="4"/>
      <c r="E437" s="4"/>
      <c r="F437" s="4" t="s">
        <v>1083</v>
      </c>
      <c r="G437" s="4" t="s">
        <v>1084</v>
      </c>
      <c r="H437" s="4" t="s">
        <v>1084</v>
      </c>
      <c r="I437" s="4">
        <v>25</v>
      </c>
      <c r="J437" s="4" t="s">
        <v>811</v>
      </c>
      <c r="K437" s="4" t="s">
        <v>61</v>
      </c>
      <c r="L437" s="4" t="s">
        <v>294</v>
      </c>
      <c r="M437" s="4" t="s">
        <v>903</v>
      </c>
      <c r="N437" s="4" t="s">
        <v>766</v>
      </c>
      <c r="O437" s="4"/>
      <c r="P437" s="8" t="s">
        <v>809</v>
      </c>
      <c r="Q437" s="8">
        <v>3</v>
      </c>
      <c r="R437" s="8">
        <v>15</v>
      </c>
      <c r="S437" s="8">
        <v>26</v>
      </c>
      <c r="T437" s="31">
        <v>0</v>
      </c>
      <c r="U437" s="8" t="s">
        <v>1259</v>
      </c>
      <c r="V437" s="8" t="s">
        <v>642</v>
      </c>
      <c r="W437" s="9">
        <v>3.6</v>
      </c>
      <c r="X437" s="9">
        <v>4</v>
      </c>
      <c r="Y437" s="9">
        <v>1.4</v>
      </c>
      <c r="Z437" s="9">
        <v>1.2</v>
      </c>
      <c r="AA437" s="14">
        <v>15</v>
      </c>
      <c r="AB437" s="14">
        <v>15</v>
      </c>
      <c r="AC437" s="9">
        <f t="shared" si="440"/>
        <v>-0.39999999999999991</v>
      </c>
      <c r="AD437" s="9">
        <f t="shared" si="441"/>
        <v>1.3038404810405297</v>
      </c>
      <c r="AE437" s="9">
        <f t="shared" si="442"/>
        <v>-0.30678599553894809</v>
      </c>
      <c r="AF437" s="9">
        <f t="shared" si="443"/>
        <v>0.36729002271272454</v>
      </c>
      <c r="AG437" s="9" t="s">
        <v>193</v>
      </c>
      <c r="AI437" s="9" t="s">
        <v>1307</v>
      </c>
      <c r="AJ437" s="9" t="s">
        <v>348</v>
      </c>
      <c r="AM437" s="8" t="s">
        <v>1257</v>
      </c>
      <c r="AN437" s="8" t="s">
        <v>157</v>
      </c>
    </row>
    <row r="438" spans="1:40" hidden="1" x14ac:dyDescent="0.2">
      <c r="A438" s="4">
        <v>1989</v>
      </c>
      <c r="B438" s="6">
        <v>2567265</v>
      </c>
      <c r="C438" s="4" t="s">
        <v>1082</v>
      </c>
      <c r="D438" s="4"/>
      <c r="E438" s="4"/>
      <c r="F438" s="4" t="s">
        <v>1083</v>
      </c>
      <c r="G438" s="4" t="s">
        <v>1084</v>
      </c>
      <c r="H438" s="4" t="s">
        <v>1084</v>
      </c>
      <c r="I438" s="4">
        <v>25</v>
      </c>
      <c r="J438" s="4" t="s">
        <v>811</v>
      </c>
      <c r="K438" s="4" t="s">
        <v>61</v>
      </c>
      <c r="L438" s="4" t="s">
        <v>294</v>
      </c>
      <c r="M438" s="4" t="s">
        <v>903</v>
      </c>
      <c r="N438" s="4" t="s">
        <v>766</v>
      </c>
      <c r="O438" s="4"/>
      <c r="P438" s="8" t="s">
        <v>809</v>
      </c>
      <c r="Q438" s="8">
        <v>3</v>
      </c>
      <c r="R438" s="8">
        <v>15</v>
      </c>
      <c r="S438" s="8">
        <v>26</v>
      </c>
      <c r="T438" s="31">
        <v>0</v>
      </c>
      <c r="U438" s="8" t="s">
        <v>1260</v>
      </c>
      <c r="V438" s="8" t="s">
        <v>635</v>
      </c>
      <c r="W438" s="9">
        <v>3.2</v>
      </c>
      <c r="X438" s="9">
        <v>2.5</v>
      </c>
      <c r="Y438" s="9">
        <v>1.1000000000000001</v>
      </c>
      <c r="Z438" s="9">
        <v>0.6</v>
      </c>
      <c r="AA438" s="14">
        <v>15</v>
      </c>
      <c r="AB438" s="14">
        <v>15</v>
      </c>
      <c r="AC438" s="9">
        <f t="shared" si="440"/>
        <v>0.70000000000000018</v>
      </c>
      <c r="AD438" s="9">
        <f t="shared" si="441"/>
        <v>0.88600225733346749</v>
      </c>
      <c r="AE438" s="9">
        <f t="shared" si="442"/>
        <v>0.79006570717634073</v>
      </c>
      <c r="AF438" s="9">
        <f t="shared" si="443"/>
        <v>0.37912627231693424</v>
      </c>
      <c r="AG438" s="9" t="s">
        <v>193</v>
      </c>
      <c r="AI438" s="9" t="s">
        <v>1307</v>
      </c>
      <c r="AJ438" s="9" t="s">
        <v>328</v>
      </c>
      <c r="AM438" s="8" t="s">
        <v>1257</v>
      </c>
      <c r="AN438" s="8" t="s">
        <v>157</v>
      </c>
    </row>
    <row r="439" spans="1:40" hidden="1" x14ac:dyDescent="0.2">
      <c r="A439" s="4">
        <v>1989</v>
      </c>
      <c r="B439" s="6">
        <v>2567265</v>
      </c>
      <c r="C439" s="4" t="s">
        <v>1082</v>
      </c>
      <c r="D439" s="4"/>
      <c r="E439" s="4"/>
      <c r="F439" s="4" t="s">
        <v>1083</v>
      </c>
      <c r="G439" s="4" t="s">
        <v>1084</v>
      </c>
      <c r="H439" s="4" t="s">
        <v>1084</v>
      </c>
      <c r="I439" s="4">
        <v>25</v>
      </c>
      <c r="J439" s="4" t="s">
        <v>811</v>
      </c>
      <c r="K439" s="4" t="s">
        <v>61</v>
      </c>
      <c r="L439" s="4" t="s">
        <v>294</v>
      </c>
      <c r="M439" s="4" t="s">
        <v>903</v>
      </c>
      <c r="N439" s="4" t="s">
        <v>766</v>
      </c>
      <c r="O439" s="4"/>
      <c r="P439" s="8" t="s">
        <v>809</v>
      </c>
      <c r="Q439" s="8">
        <v>3</v>
      </c>
      <c r="R439" s="8">
        <v>15</v>
      </c>
      <c r="S439" s="8">
        <v>26</v>
      </c>
      <c r="T439" s="31">
        <v>0</v>
      </c>
      <c r="U439" s="8" t="s">
        <v>1261</v>
      </c>
      <c r="V439" s="8" t="s">
        <v>635</v>
      </c>
      <c r="W439" s="9">
        <v>3.8</v>
      </c>
      <c r="X439" s="9">
        <v>2.9</v>
      </c>
      <c r="Y439" s="9">
        <v>1.2</v>
      </c>
      <c r="Z439" s="9">
        <v>0.8</v>
      </c>
      <c r="AA439" s="14">
        <v>15</v>
      </c>
      <c r="AB439" s="14">
        <v>15</v>
      </c>
      <c r="AC439" s="9">
        <f t="shared" si="440"/>
        <v>0.89999999999999991</v>
      </c>
      <c r="AD439" s="9">
        <f t="shared" si="441"/>
        <v>1.019803902718557</v>
      </c>
      <c r="AE439" s="9">
        <f t="shared" si="442"/>
        <v>0.88252260812182803</v>
      </c>
      <c r="AF439" s="9">
        <f t="shared" si="443"/>
        <v>0.38251026465194704</v>
      </c>
      <c r="AG439" s="9" t="s">
        <v>193</v>
      </c>
      <c r="AH439" s="9" t="s">
        <v>193</v>
      </c>
      <c r="AI439" s="9" t="s">
        <v>1307</v>
      </c>
      <c r="AJ439" s="9" t="s">
        <v>328</v>
      </c>
      <c r="AM439" s="8" t="s">
        <v>1257</v>
      </c>
      <c r="AN439" s="8" t="s">
        <v>157</v>
      </c>
    </row>
    <row r="440" spans="1:40" hidden="1" x14ac:dyDescent="0.2">
      <c r="A440" s="4">
        <v>1989</v>
      </c>
      <c r="B440" s="6">
        <v>2567265</v>
      </c>
      <c r="C440" s="4" t="s">
        <v>1082</v>
      </c>
      <c r="D440" s="4"/>
      <c r="E440" s="4"/>
      <c r="F440" s="4" t="s">
        <v>1083</v>
      </c>
      <c r="G440" s="4" t="s">
        <v>1084</v>
      </c>
      <c r="H440" s="4" t="s">
        <v>1084</v>
      </c>
      <c r="I440" s="4">
        <v>25</v>
      </c>
      <c r="J440" s="4" t="s">
        <v>811</v>
      </c>
      <c r="K440" s="4" t="s">
        <v>61</v>
      </c>
      <c r="L440" s="4" t="s">
        <v>294</v>
      </c>
      <c r="M440" s="4" t="s">
        <v>903</v>
      </c>
      <c r="N440" s="4" t="s">
        <v>766</v>
      </c>
      <c r="P440" s="8" t="s">
        <v>809</v>
      </c>
      <c r="Q440" s="8">
        <v>3</v>
      </c>
      <c r="R440" s="8">
        <v>15</v>
      </c>
      <c r="S440" s="8">
        <v>26</v>
      </c>
      <c r="T440" s="31">
        <v>0</v>
      </c>
      <c r="U440" s="8" t="s">
        <v>1262</v>
      </c>
      <c r="V440" s="8" t="s">
        <v>635</v>
      </c>
      <c r="W440" s="9">
        <v>2.5</v>
      </c>
      <c r="X440" s="9">
        <v>2.1</v>
      </c>
      <c r="Y440" s="9">
        <v>0.9</v>
      </c>
      <c r="Z440" s="9">
        <v>0.5</v>
      </c>
      <c r="AA440" s="14">
        <v>15</v>
      </c>
      <c r="AB440" s="14">
        <v>15</v>
      </c>
      <c r="AC440" s="9">
        <f t="shared" si="440"/>
        <v>0.39999999999999991</v>
      </c>
      <c r="AD440" s="9">
        <f t="shared" si="441"/>
        <v>0.72801098892805183</v>
      </c>
      <c r="AE440" s="9">
        <f t="shared" si="442"/>
        <v>0.54944225579475592</v>
      </c>
      <c r="AF440" s="9">
        <f t="shared" si="443"/>
        <v>0.37197416560053448</v>
      </c>
      <c r="AG440" s="9" t="s">
        <v>193</v>
      </c>
      <c r="AI440" s="9" t="s">
        <v>1307</v>
      </c>
      <c r="AJ440" s="9" t="s">
        <v>328</v>
      </c>
      <c r="AM440" s="8" t="s">
        <v>1257</v>
      </c>
      <c r="AN440" s="8" t="s">
        <v>157</v>
      </c>
    </row>
    <row r="441" spans="1:40" s="11" customFormat="1" x14ac:dyDescent="0.2">
      <c r="A441" s="6">
        <v>2013</v>
      </c>
      <c r="B441" s="25">
        <v>23323567</v>
      </c>
      <c r="C441" s="6" t="s">
        <v>1069</v>
      </c>
      <c r="D441" s="6"/>
      <c r="F441" s="6" t="s">
        <v>1071</v>
      </c>
      <c r="G441" s="6" t="s">
        <v>1072</v>
      </c>
      <c r="H441" s="6" t="s">
        <v>1072</v>
      </c>
      <c r="I441" s="6">
        <v>27.7</v>
      </c>
      <c r="J441" s="6" t="s">
        <v>1070</v>
      </c>
      <c r="K441" s="6" t="s">
        <v>1270</v>
      </c>
      <c r="L441" s="6" t="s">
        <v>156</v>
      </c>
      <c r="M441" s="6" t="s">
        <v>902</v>
      </c>
      <c r="N441" s="6" t="s">
        <v>766</v>
      </c>
      <c r="O441" s="4" t="s">
        <v>1271</v>
      </c>
      <c r="P441" s="11" t="s">
        <v>911</v>
      </c>
      <c r="Q441" s="11">
        <v>2</v>
      </c>
      <c r="R441" s="11">
        <v>35</v>
      </c>
      <c r="S441" s="11">
        <v>77</v>
      </c>
      <c r="T441" s="36">
        <v>100</v>
      </c>
      <c r="U441" s="11" t="s">
        <v>1274</v>
      </c>
      <c r="V441" s="11" t="s">
        <v>635</v>
      </c>
      <c r="W441" s="18">
        <v>40</v>
      </c>
      <c r="X441" s="18">
        <v>-0.3</v>
      </c>
      <c r="Y441" s="18">
        <f>SQRT(AA441) * ((72.5-9.4)/3.92)</f>
        <v>68.293527387047661</v>
      </c>
      <c r="Z441" s="18">
        <f>SQRT(AB441) * ((72.5-9.4)/3.92)</f>
        <v>66.369378820529178</v>
      </c>
      <c r="AA441" s="17">
        <v>18</v>
      </c>
      <c r="AB441" s="17">
        <v>17</v>
      </c>
      <c r="AC441" s="18">
        <f t="shared" si="440"/>
        <v>40.299999999999997</v>
      </c>
      <c r="AD441" s="18">
        <f t="shared" ref="AD441" si="444">SQRT(((AA441-1)*Y441^2+(AB441-1)*Z441^2)/(AA441+AB441-2))</f>
        <v>67.367470598739899</v>
      </c>
      <c r="AE441" s="18">
        <f t="shared" ref="AE441" si="445">AC441/AD441</f>
        <v>0.5982115647481917</v>
      </c>
      <c r="AF441" s="18">
        <f t="shared" ref="AF441" si="446">SQRT(((AA441+AB441)/(AA441*AB441)+(AE441^2/(2*(AA441+AB441)))))</f>
        <v>0.34567517832932815</v>
      </c>
      <c r="AG441" s="18" t="s">
        <v>193</v>
      </c>
      <c r="AH441" s="18" t="s">
        <v>193</v>
      </c>
      <c r="AI441" s="18" t="s">
        <v>781</v>
      </c>
      <c r="AJ441" s="18" t="s">
        <v>348</v>
      </c>
      <c r="AK441" s="18" t="s">
        <v>1275</v>
      </c>
      <c r="AL441" s="18"/>
      <c r="AM441" s="11" t="s">
        <v>1269</v>
      </c>
      <c r="AN441" s="11" t="s">
        <v>157</v>
      </c>
    </row>
    <row r="442" spans="1:40" x14ac:dyDescent="0.2">
      <c r="A442" s="4">
        <v>2013</v>
      </c>
      <c r="B442" s="25">
        <v>23972694</v>
      </c>
      <c r="C442" s="4" t="s">
        <v>1073</v>
      </c>
      <c r="D442" s="4"/>
      <c r="F442" s="4" t="s">
        <v>1075</v>
      </c>
      <c r="G442" s="4" t="s">
        <v>1076</v>
      </c>
      <c r="H442" s="4" t="s">
        <v>1076</v>
      </c>
      <c r="I442" s="4">
        <v>17</v>
      </c>
      <c r="J442" s="4" t="s">
        <v>1074</v>
      </c>
      <c r="K442" s="8" t="s">
        <v>1276</v>
      </c>
      <c r="L442" s="8" t="s">
        <v>294</v>
      </c>
      <c r="M442" s="4" t="s">
        <v>902</v>
      </c>
      <c r="N442" s="4" t="s">
        <v>766</v>
      </c>
      <c r="O442" s="4" t="s">
        <v>1282</v>
      </c>
      <c r="P442" s="8" t="s">
        <v>809</v>
      </c>
      <c r="Q442" s="8">
        <v>3</v>
      </c>
      <c r="R442" s="4">
        <v>121</v>
      </c>
      <c r="S442" s="8">
        <v>9</v>
      </c>
      <c r="T442" s="31">
        <v>32</v>
      </c>
      <c r="U442" s="8" t="s">
        <v>1277</v>
      </c>
      <c r="V442" s="8" t="s">
        <v>642</v>
      </c>
      <c r="W442" s="9">
        <v>-20</v>
      </c>
      <c r="X442" s="9">
        <v>-20.399999999999999</v>
      </c>
      <c r="Y442" s="9">
        <f>1.23*SQRT(AA442)</f>
        <v>12.72321893232998</v>
      </c>
      <c r="Z442" s="9">
        <f>1.19*SQRT(AB442)</f>
        <v>12.705723119917259</v>
      </c>
      <c r="AA442" s="14">
        <v>107</v>
      </c>
      <c r="AB442" s="14">
        <v>114</v>
      </c>
      <c r="AC442" s="18">
        <f t="shared" ref="AC442" si="447">W442-X442</f>
        <v>0.39999999999999858</v>
      </c>
      <c r="AD442" s="18">
        <f t="shared" ref="AD442" si="448">SQRT(((AA442-1)*Y442^2+(AB442-1)*Z442^2)/(AA442+AB442-2))</f>
        <v>12.714194419074589</v>
      </c>
      <c r="AE442" s="18">
        <f t="shared" ref="AE442" si="449">AC442/AD442</f>
        <v>3.1460900062995324E-2</v>
      </c>
      <c r="AF442" s="18">
        <f t="shared" ref="AF442" si="450">SQRT(((AA442+AB442)/(AA442*AB442)+(AE442^2/(2*(AA442+AB442)))))</f>
        <v>0.13461041399898421</v>
      </c>
      <c r="AG442" s="18" t="s">
        <v>193</v>
      </c>
      <c r="AH442" s="18" t="s">
        <v>193</v>
      </c>
      <c r="AI442" s="9" t="s">
        <v>39</v>
      </c>
      <c r="AJ442" s="9" t="s">
        <v>348</v>
      </c>
      <c r="AK442" s="9" t="s">
        <v>960</v>
      </c>
      <c r="AM442" s="8" t="s">
        <v>1281</v>
      </c>
      <c r="AN442" s="8" t="s">
        <v>157</v>
      </c>
    </row>
  </sheetData>
  <autoFilter ref="A1:AN442" xr:uid="{51E9739C-F8BA-E340-A9A6-2852C56F13E8}">
    <filterColumn colId="0">
      <filters>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 val="2019"/>
        <filter val="2020"/>
        <filter val="2021"/>
      </filters>
    </filterColumn>
  </autoFilter>
  <pageMargins left="0.75" right="0.75" top="1" bottom="1" header="0.5" footer="0.5"/>
  <pageSetup orientation="portrait" horizontalDpi="0" verticalDpi="0"/>
  <ignoredErrors>
    <ignoredError sqref="Y339 Y245:Z245 Y260 Y253:Z254 Y251:Z251 Y41:Z41 Z272 Z275 Y422 Y425:Z42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9"/>
  <sheetViews>
    <sheetView zoomScale="120" zoomScaleNormal="120" workbookViewId="0">
      <pane ySplit="1" topLeftCell="A78" activePane="bottomLeft" state="frozen"/>
      <selection pane="bottomLeft" activeCell="M98" sqref="M98"/>
    </sheetView>
  </sheetViews>
  <sheetFormatPr baseColWidth="10" defaultRowHeight="16" x14ac:dyDescent="0.2"/>
  <cols>
    <col min="1" max="1" width="6.5" style="1" customWidth="1"/>
    <col min="2" max="2" width="18.5" style="1" customWidth="1"/>
    <col min="3" max="3" width="33.6640625" style="1" customWidth="1"/>
    <col min="4" max="4" width="9.33203125" style="1" customWidth="1"/>
    <col min="5" max="5" width="19.33203125" style="1" customWidth="1"/>
    <col min="6" max="6" width="14" style="1" customWidth="1"/>
    <col min="7" max="7" width="12" style="1" customWidth="1"/>
    <col min="8" max="8" width="6.83203125" style="1" customWidth="1"/>
    <col min="9" max="9" width="7.33203125" style="1" customWidth="1"/>
    <col min="10" max="10" width="13.5" style="1" customWidth="1"/>
    <col min="11" max="11" width="9.1640625" style="1" customWidth="1"/>
    <col min="12" max="12" width="7.33203125" style="1" customWidth="1"/>
    <col min="13" max="13" width="12.5" style="1" customWidth="1"/>
    <col min="14" max="14" width="15.1640625" style="1" customWidth="1"/>
    <col min="15" max="15" width="29.1640625" style="1" customWidth="1"/>
    <col min="16" max="16" width="25.1640625" style="1" customWidth="1"/>
    <col min="17" max="16384" width="10.83203125" style="1"/>
  </cols>
  <sheetData>
    <row r="1" spans="1:15" x14ac:dyDescent="0.2">
      <c r="A1" s="1" t="s">
        <v>154</v>
      </c>
      <c r="B1" s="6" t="s">
        <v>1190</v>
      </c>
      <c r="C1" s="1" t="s">
        <v>207</v>
      </c>
      <c r="D1" s="1" t="s">
        <v>171</v>
      </c>
      <c r="E1" s="1" t="s">
        <v>172</v>
      </c>
      <c r="F1" s="1" t="s">
        <v>1143</v>
      </c>
      <c r="G1" s="1" t="s">
        <v>1144</v>
      </c>
      <c r="H1" s="1" t="s">
        <v>173</v>
      </c>
      <c r="I1" s="1" t="s">
        <v>174</v>
      </c>
      <c r="J1" s="1" t="s">
        <v>151</v>
      </c>
      <c r="K1" s="1" t="s">
        <v>347</v>
      </c>
      <c r="L1" s="1" t="s">
        <v>152</v>
      </c>
      <c r="M1" s="4" t="s">
        <v>159</v>
      </c>
      <c r="N1" s="4" t="s">
        <v>158</v>
      </c>
      <c r="O1" s="1" t="s">
        <v>178</v>
      </c>
    </row>
    <row r="2" spans="1:15" x14ac:dyDescent="0.2">
      <c r="A2" s="1">
        <v>1985</v>
      </c>
      <c r="B2" s="22">
        <v>3883493</v>
      </c>
      <c r="C2" s="1" t="s">
        <v>370</v>
      </c>
      <c r="D2" s="1" t="s">
        <v>1</v>
      </c>
      <c r="E2" s="1" t="s">
        <v>2</v>
      </c>
      <c r="F2" s="1" t="s">
        <v>3</v>
      </c>
      <c r="G2" s="1" t="s">
        <v>3</v>
      </c>
      <c r="H2" s="1">
        <v>0.5</v>
      </c>
      <c r="I2" s="1">
        <v>0.5</v>
      </c>
      <c r="J2" s="1" t="s">
        <v>369</v>
      </c>
      <c r="K2" s="1">
        <v>31</v>
      </c>
      <c r="L2" s="1">
        <v>2</v>
      </c>
      <c r="M2" s="4" t="s">
        <v>372</v>
      </c>
      <c r="N2" s="4" t="s">
        <v>373</v>
      </c>
      <c r="O2" s="1" t="s">
        <v>371</v>
      </c>
    </row>
    <row r="3" spans="1:15" x14ac:dyDescent="0.2">
      <c r="A3" s="1">
        <v>1990</v>
      </c>
      <c r="B3" s="22">
        <v>2179481</v>
      </c>
      <c r="C3" s="1" t="s">
        <v>374</v>
      </c>
      <c r="D3" s="1" t="s">
        <v>1</v>
      </c>
      <c r="E3" s="1" t="s">
        <v>2</v>
      </c>
      <c r="F3" s="1" t="s">
        <v>3</v>
      </c>
      <c r="G3" s="1" t="s">
        <v>3</v>
      </c>
      <c r="H3" s="1">
        <v>0.5</v>
      </c>
      <c r="I3" s="1">
        <v>0.5</v>
      </c>
      <c r="J3" s="1" t="s">
        <v>369</v>
      </c>
      <c r="K3" s="1">
        <v>31</v>
      </c>
      <c r="L3" s="1">
        <v>2</v>
      </c>
      <c r="M3" s="4" t="s">
        <v>377</v>
      </c>
      <c r="N3" s="4" t="s">
        <v>375</v>
      </c>
      <c r="O3" s="1" t="s">
        <v>376</v>
      </c>
    </row>
    <row r="4" spans="1:15" x14ac:dyDescent="0.2">
      <c r="A4" s="1">
        <v>1997</v>
      </c>
      <c r="B4" s="22">
        <v>9291901</v>
      </c>
      <c r="C4" s="1" t="s">
        <v>0</v>
      </c>
      <c r="D4" s="1" t="s">
        <v>1</v>
      </c>
      <c r="E4" s="1" t="s">
        <v>2</v>
      </c>
      <c r="F4" s="1" t="s">
        <v>3</v>
      </c>
      <c r="G4" s="1" t="s">
        <v>3</v>
      </c>
      <c r="H4" s="1">
        <v>0.5</v>
      </c>
      <c r="I4" s="1">
        <v>0.5</v>
      </c>
      <c r="J4" s="1" t="s">
        <v>4</v>
      </c>
      <c r="K4" s="1">
        <v>186</v>
      </c>
      <c r="L4" s="1">
        <v>2</v>
      </c>
      <c r="M4" s="1" t="s">
        <v>244</v>
      </c>
      <c r="N4" s="1" t="s">
        <v>251</v>
      </c>
      <c r="O4" s="1" t="s">
        <v>243</v>
      </c>
    </row>
    <row r="5" spans="1:15" x14ac:dyDescent="0.2">
      <c r="A5" s="1">
        <v>1990</v>
      </c>
      <c r="B5" s="22">
        <v>2348469</v>
      </c>
      <c r="C5" s="1" t="s">
        <v>5</v>
      </c>
      <c r="D5" s="1" t="s">
        <v>1</v>
      </c>
      <c r="E5" s="1" t="s">
        <v>2</v>
      </c>
      <c r="F5" s="1" t="s">
        <v>3</v>
      </c>
      <c r="G5" s="1" t="s">
        <v>3</v>
      </c>
      <c r="H5" s="1">
        <v>0.5</v>
      </c>
      <c r="I5" s="1">
        <v>0.5</v>
      </c>
      <c r="J5" s="1" t="s">
        <v>6</v>
      </c>
      <c r="K5" s="1">
        <v>23</v>
      </c>
      <c r="L5" s="1">
        <v>2</v>
      </c>
      <c r="M5" s="4"/>
      <c r="N5" s="4"/>
    </row>
    <row r="6" spans="1:15" x14ac:dyDescent="0.2">
      <c r="A6" s="1">
        <v>1994</v>
      </c>
      <c r="B6" s="22">
        <v>7932825</v>
      </c>
      <c r="C6" s="1" t="s">
        <v>0</v>
      </c>
      <c r="D6" s="1" t="s">
        <v>1</v>
      </c>
      <c r="E6" s="1" t="s">
        <v>2</v>
      </c>
      <c r="F6" s="1" t="s">
        <v>3</v>
      </c>
      <c r="G6" s="1" t="s">
        <v>3</v>
      </c>
      <c r="H6" s="1">
        <v>0.5</v>
      </c>
      <c r="I6" s="1">
        <v>0.5</v>
      </c>
      <c r="J6" s="1" t="s">
        <v>4</v>
      </c>
      <c r="K6" s="1">
        <v>92</v>
      </c>
      <c r="L6" s="1">
        <v>2</v>
      </c>
      <c r="M6" s="1" t="s">
        <v>247</v>
      </c>
      <c r="N6" s="1" t="s">
        <v>245</v>
      </c>
      <c r="O6" s="1" t="s">
        <v>246</v>
      </c>
    </row>
    <row r="7" spans="1:15" x14ac:dyDescent="0.2">
      <c r="A7" s="1">
        <v>2000</v>
      </c>
      <c r="B7" s="22">
        <v>10813713</v>
      </c>
      <c r="C7" s="1" t="s">
        <v>7</v>
      </c>
      <c r="D7" s="1" t="s">
        <v>8</v>
      </c>
      <c r="E7" s="1" t="s">
        <v>9</v>
      </c>
      <c r="F7" s="1" t="s">
        <v>10</v>
      </c>
      <c r="G7" s="1" t="s">
        <v>10</v>
      </c>
      <c r="J7" s="1" t="s">
        <v>11</v>
      </c>
      <c r="K7" s="1">
        <v>24</v>
      </c>
      <c r="L7" s="1">
        <v>2</v>
      </c>
      <c r="M7" s="1" t="s">
        <v>250</v>
      </c>
      <c r="N7" s="1" t="s">
        <v>248</v>
      </c>
      <c r="O7" s="1" t="s">
        <v>249</v>
      </c>
    </row>
    <row r="8" spans="1:15" x14ac:dyDescent="0.2">
      <c r="A8" s="1">
        <v>2006</v>
      </c>
      <c r="B8" s="22">
        <v>16877722</v>
      </c>
      <c r="C8" s="1" t="s">
        <v>0</v>
      </c>
      <c r="D8" s="1" t="s">
        <v>1</v>
      </c>
      <c r="E8" s="1" t="s">
        <v>2</v>
      </c>
      <c r="F8" s="1" t="s">
        <v>3</v>
      </c>
      <c r="G8" s="1" t="s">
        <v>3</v>
      </c>
      <c r="H8" s="1">
        <v>0.5</v>
      </c>
      <c r="I8" s="1">
        <v>0.5</v>
      </c>
      <c r="J8" s="1" t="s">
        <v>4</v>
      </c>
      <c r="K8" s="1">
        <v>564</v>
      </c>
      <c r="L8" s="1">
        <v>2</v>
      </c>
      <c r="M8" s="1" t="s">
        <v>254</v>
      </c>
      <c r="N8" s="1" t="s">
        <v>252</v>
      </c>
      <c r="O8" s="1" t="s">
        <v>253</v>
      </c>
    </row>
    <row r="9" spans="1:15" x14ac:dyDescent="0.2">
      <c r="A9" s="1">
        <v>2009</v>
      </c>
      <c r="B9" s="22">
        <v>18805649</v>
      </c>
      <c r="C9" s="1" t="s">
        <v>12</v>
      </c>
      <c r="D9" s="1" t="s">
        <v>13</v>
      </c>
      <c r="E9" s="1" t="s">
        <v>12</v>
      </c>
      <c r="F9" s="1" t="s">
        <v>14</v>
      </c>
      <c r="G9" s="1" t="s">
        <v>14</v>
      </c>
      <c r="J9" s="1" t="s">
        <v>15</v>
      </c>
      <c r="K9" s="1">
        <v>216</v>
      </c>
      <c r="L9" s="1">
        <v>2</v>
      </c>
      <c r="M9" s="1" t="s">
        <v>260</v>
      </c>
      <c r="N9" s="1" t="s">
        <v>258</v>
      </c>
      <c r="O9" s="1" t="s">
        <v>259</v>
      </c>
    </row>
    <row r="10" spans="1:15" x14ac:dyDescent="0.2">
      <c r="A10" s="1">
        <v>2009</v>
      </c>
      <c r="B10" s="22">
        <v>19412843</v>
      </c>
      <c r="C10" s="1" t="s">
        <v>12</v>
      </c>
      <c r="D10" s="1" t="s">
        <v>13</v>
      </c>
      <c r="E10" s="1" t="s">
        <v>12</v>
      </c>
      <c r="F10" s="1" t="s">
        <v>14</v>
      </c>
      <c r="G10" s="1" t="s">
        <v>14</v>
      </c>
      <c r="J10" s="1" t="s">
        <v>15</v>
      </c>
      <c r="K10" s="1">
        <v>212</v>
      </c>
      <c r="L10" s="1">
        <v>2</v>
      </c>
      <c r="M10" s="1" t="s">
        <v>263</v>
      </c>
      <c r="N10" s="1" t="s">
        <v>261</v>
      </c>
      <c r="O10" s="1" t="s">
        <v>262</v>
      </c>
    </row>
    <row r="11" spans="1:15" x14ac:dyDescent="0.2">
      <c r="A11" s="1">
        <v>2010</v>
      </c>
      <c r="B11" s="22">
        <v>19622596</v>
      </c>
      <c r="C11" s="1" t="s">
        <v>16</v>
      </c>
      <c r="D11" s="1" t="s">
        <v>1</v>
      </c>
      <c r="E11" s="1" t="s">
        <v>2</v>
      </c>
      <c r="F11" s="1" t="s">
        <v>3</v>
      </c>
      <c r="G11" s="1" t="s">
        <v>3</v>
      </c>
      <c r="H11" s="1">
        <v>0.5</v>
      </c>
      <c r="I11" s="1">
        <v>0.5</v>
      </c>
      <c r="J11" s="1" t="s">
        <v>17</v>
      </c>
      <c r="K11" s="1">
        <v>141</v>
      </c>
      <c r="L11" s="1">
        <v>2</v>
      </c>
      <c r="M11" s="1" t="s">
        <v>266</v>
      </c>
      <c r="N11" s="1" t="s">
        <v>264</v>
      </c>
      <c r="O11" s="1" t="s">
        <v>265</v>
      </c>
    </row>
    <row r="12" spans="1:15" x14ac:dyDescent="0.2">
      <c r="A12" s="1">
        <v>2010</v>
      </c>
      <c r="B12" s="22">
        <v>20162717</v>
      </c>
      <c r="C12" s="1" t="s">
        <v>12</v>
      </c>
      <c r="D12" s="1" t="s">
        <v>13</v>
      </c>
      <c r="E12" s="1" t="s">
        <v>12</v>
      </c>
      <c r="F12" s="1" t="s">
        <v>14</v>
      </c>
      <c r="G12" s="1" t="s">
        <v>14</v>
      </c>
      <c r="J12" s="1" t="s">
        <v>18</v>
      </c>
      <c r="K12" s="1">
        <v>229</v>
      </c>
      <c r="L12" s="1">
        <v>2</v>
      </c>
      <c r="M12" s="1" t="s">
        <v>269</v>
      </c>
      <c r="N12" s="1" t="s">
        <v>267</v>
      </c>
      <c r="O12" s="1" t="s">
        <v>268</v>
      </c>
    </row>
    <row r="13" spans="1:15" x14ac:dyDescent="0.2">
      <c r="A13" s="1">
        <v>2011</v>
      </c>
      <c r="B13" s="22">
        <v>20830691</v>
      </c>
      <c r="C13" s="1" t="s">
        <v>19</v>
      </c>
      <c r="D13" s="1" t="s">
        <v>13</v>
      </c>
      <c r="E13" s="1" t="s">
        <v>12</v>
      </c>
      <c r="F13" s="1" t="s">
        <v>14</v>
      </c>
      <c r="G13" s="1" t="s">
        <v>14</v>
      </c>
      <c r="J13" s="1" t="s">
        <v>20</v>
      </c>
      <c r="K13" s="1">
        <v>97</v>
      </c>
      <c r="L13" s="1">
        <v>2</v>
      </c>
      <c r="M13" s="1" t="s">
        <v>271</v>
      </c>
      <c r="N13" s="1" t="s">
        <v>270</v>
      </c>
      <c r="O13" s="1" t="s">
        <v>272</v>
      </c>
    </row>
    <row r="14" spans="1:15" x14ac:dyDescent="0.2">
      <c r="A14" s="1">
        <v>2013</v>
      </c>
      <c r="B14" s="22">
        <v>23839874</v>
      </c>
      <c r="C14" s="1" t="s">
        <v>21</v>
      </c>
      <c r="D14" s="1" t="s">
        <v>13</v>
      </c>
      <c r="E14" s="1" t="s">
        <v>12</v>
      </c>
      <c r="F14" s="1" t="s">
        <v>14</v>
      </c>
      <c r="G14" s="1" t="s">
        <v>14</v>
      </c>
      <c r="J14" s="1" t="s">
        <v>20</v>
      </c>
      <c r="K14" s="1">
        <v>437</v>
      </c>
      <c r="L14" s="1">
        <v>2</v>
      </c>
      <c r="M14" s="1" t="s">
        <v>274</v>
      </c>
      <c r="N14" s="1" t="s">
        <v>273</v>
      </c>
      <c r="O14" s="1" t="s">
        <v>275</v>
      </c>
    </row>
    <row r="15" spans="1:15" x14ac:dyDescent="0.2">
      <c r="A15" s="1">
        <v>2013</v>
      </c>
      <c r="B15" s="22">
        <v>23816561</v>
      </c>
      <c r="C15" s="1" t="s">
        <v>22</v>
      </c>
      <c r="D15" s="1" t="s">
        <v>1</v>
      </c>
      <c r="E15" s="1" t="s">
        <v>2</v>
      </c>
      <c r="F15" s="1" t="s">
        <v>3</v>
      </c>
      <c r="G15" s="1" t="s">
        <v>3</v>
      </c>
      <c r="H15" s="1">
        <v>0.5</v>
      </c>
      <c r="I15" s="1">
        <v>0.5</v>
      </c>
      <c r="J15" s="1" t="s">
        <v>23</v>
      </c>
      <c r="K15" s="1">
        <v>124</v>
      </c>
      <c r="L15" s="1">
        <v>2</v>
      </c>
      <c r="M15" s="1" t="s">
        <v>278</v>
      </c>
      <c r="N15" s="1" t="s">
        <v>276</v>
      </c>
      <c r="O15" s="1" t="s">
        <v>277</v>
      </c>
    </row>
    <row r="16" spans="1:15" x14ac:dyDescent="0.2">
      <c r="A16" s="1">
        <v>2014</v>
      </c>
      <c r="B16" s="22">
        <v>24385471</v>
      </c>
      <c r="C16" s="1" t="s">
        <v>12</v>
      </c>
      <c r="D16" s="1" t="s">
        <v>13</v>
      </c>
      <c r="E16" s="1" t="s">
        <v>12</v>
      </c>
      <c r="F16" s="1" t="s">
        <v>14</v>
      </c>
      <c r="G16" s="1" t="s">
        <v>14</v>
      </c>
      <c r="J16" s="1" t="s">
        <v>24</v>
      </c>
      <c r="K16" s="1">
        <v>395</v>
      </c>
      <c r="L16" s="1">
        <v>2</v>
      </c>
      <c r="M16" s="1" t="s">
        <v>281</v>
      </c>
      <c r="N16" s="1" t="s">
        <v>279</v>
      </c>
      <c r="O16" s="1" t="s">
        <v>280</v>
      </c>
    </row>
    <row r="17" spans="1:15" x14ac:dyDescent="0.2">
      <c r="A17" s="1">
        <v>2015</v>
      </c>
      <c r="B17" s="22">
        <v>26093951</v>
      </c>
      <c r="C17" s="1" t="s">
        <v>25</v>
      </c>
      <c r="D17" s="1" t="s">
        <v>1</v>
      </c>
      <c r="E17" s="1" t="s">
        <v>2</v>
      </c>
      <c r="F17" s="1" t="s">
        <v>3</v>
      </c>
      <c r="G17" s="1" t="s">
        <v>3</v>
      </c>
      <c r="H17" s="1">
        <v>0.5</v>
      </c>
      <c r="I17" s="1">
        <v>0.5</v>
      </c>
      <c r="J17" s="1" t="s">
        <v>26</v>
      </c>
      <c r="K17" s="1">
        <v>61</v>
      </c>
      <c r="L17" s="1">
        <v>2</v>
      </c>
      <c r="M17" s="1" t="s">
        <v>284</v>
      </c>
      <c r="N17" s="1" t="s">
        <v>282</v>
      </c>
      <c r="O17" s="1" t="s">
        <v>283</v>
      </c>
    </row>
    <row r="18" spans="1:15" x14ac:dyDescent="0.2">
      <c r="A18" s="1">
        <v>2015</v>
      </c>
      <c r="B18" s="22">
        <v>26813432</v>
      </c>
      <c r="C18" s="1" t="s">
        <v>27</v>
      </c>
      <c r="D18" s="1" t="s">
        <v>1</v>
      </c>
      <c r="E18" s="1" t="s">
        <v>2</v>
      </c>
      <c r="F18" s="1" t="s">
        <v>3</v>
      </c>
      <c r="G18" s="1" t="s">
        <v>3</v>
      </c>
      <c r="H18" s="1">
        <v>0.5</v>
      </c>
      <c r="I18" s="1">
        <v>0.5</v>
      </c>
      <c r="J18" s="1" t="s">
        <v>28</v>
      </c>
      <c r="K18" s="1">
        <v>66</v>
      </c>
      <c r="L18" s="1">
        <v>2</v>
      </c>
      <c r="M18" s="1" t="s">
        <v>287</v>
      </c>
      <c r="N18" s="1" t="s">
        <v>285</v>
      </c>
      <c r="O18" s="1" t="s">
        <v>286</v>
      </c>
    </row>
    <row r="19" spans="1:15" x14ac:dyDescent="0.2">
      <c r="A19" s="1">
        <v>2016</v>
      </c>
      <c r="B19" s="22">
        <v>26818960</v>
      </c>
      <c r="C19" s="1" t="s">
        <v>12</v>
      </c>
      <c r="D19" s="1" t="s">
        <v>13</v>
      </c>
      <c r="E19" s="1" t="s">
        <v>12</v>
      </c>
      <c r="F19" s="1" t="s">
        <v>14</v>
      </c>
      <c r="G19" s="1" t="s">
        <v>14</v>
      </c>
      <c r="J19" s="1" t="s">
        <v>29</v>
      </c>
      <c r="K19" s="1">
        <v>409</v>
      </c>
      <c r="L19" s="1">
        <v>2</v>
      </c>
      <c r="M19" s="1" t="s">
        <v>290</v>
      </c>
      <c r="N19" s="1" t="s">
        <v>288</v>
      </c>
      <c r="O19" s="1" t="s">
        <v>289</v>
      </c>
    </row>
    <row r="20" spans="1:15" x14ac:dyDescent="0.2">
      <c r="A20" s="1">
        <v>2016</v>
      </c>
      <c r="B20" s="22">
        <v>27806623</v>
      </c>
      <c r="C20" s="1" t="s">
        <v>12</v>
      </c>
      <c r="D20" s="1" t="s">
        <v>13</v>
      </c>
      <c r="E20" s="1" t="s">
        <v>12</v>
      </c>
      <c r="F20" s="1" t="s">
        <v>14</v>
      </c>
      <c r="G20" s="1" t="s">
        <v>14</v>
      </c>
      <c r="J20" s="1" t="s">
        <v>30</v>
      </c>
      <c r="K20" s="1">
        <v>755</v>
      </c>
      <c r="L20" s="1">
        <v>3</v>
      </c>
      <c r="M20" s="1" t="s">
        <v>293</v>
      </c>
      <c r="N20" s="1" t="s">
        <v>291</v>
      </c>
      <c r="O20" s="1" t="s">
        <v>292</v>
      </c>
    </row>
    <row r="21" spans="1:15" x14ac:dyDescent="0.2">
      <c r="A21" s="1">
        <v>2017</v>
      </c>
      <c r="B21" s="22">
        <v>28061531</v>
      </c>
      <c r="C21" s="1" t="s">
        <v>12</v>
      </c>
      <c r="D21" s="1" t="s">
        <v>13</v>
      </c>
      <c r="E21" s="1" t="s">
        <v>12</v>
      </c>
      <c r="F21" s="1" t="s">
        <v>14</v>
      </c>
      <c r="G21" s="1" t="s">
        <v>14</v>
      </c>
      <c r="J21" s="1" t="s">
        <v>31</v>
      </c>
      <c r="K21" s="1">
        <v>194</v>
      </c>
      <c r="L21" s="1">
        <v>3</v>
      </c>
      <c r="M21" s="1" t="s">
        <v>297</v>
      </c>
      <c r="N21" s="1" t="s">
        <v>295</v>
      </c>
      <c r="O21" s="1" t="s">
        <v>296</v>
      </c>
    </row>
    <row r="22" spans="1:15" x14ac:dyDescent="0.2">
      <c r="A22" s="1">
        <v>2018</v>
      </c>
      <c r="B22" s="22">
        <v>29144178</v>
      </c>
      <c r="C22" s="1" t="s">
        <v>27</v>
      </c>
      <c r="D22" s="1" t="s">
        <v>1</v>
      </c>
      <c r="E22" s="1" t="s">
        <v>2</v>
      </c>
      <c r="F22" s="1" t="s">
        <v>3</v>
      </c>
      <c r="G22" s="1" t="s">
        <v>3</v>
      </c>
      <c r="H22" s="1">
        <v>0.5</v>
      </c>
      <c r="I22" s="1">
        <v>0.5</v>
      </c>
      <c r="J22" s="1" t="s">
        <v>32</v>
      </c>
      <c r="K22" s="1">
        <v>9</v>
      </c>
      <c r="L22" s="1">
        <v>2</v>
      </c>
      <c r="M22" s="1" t="s">
        <v>299</v>
      </c>
      <c r="N22" s="1" t="s">
        <v>298</v>
      </c>
      <c r="O22" s="1" t="s">
        <v>300</v>
      </c>
    </row>
    <row r="23" spans="1:15" x14ac:dyDescent="0.2">
      <c r="A23" s="1">
        <v>2018</v>
      </c>
      <c r="B23" s="22">
        <v>29215933</v>
      </c>
      <c r="C23" s="1" t="s">
        <v>25</v>
      </c>
      <c r="D23" s="1" t="s">
        <v>1</v>
      </c>
      <c r="E23" s="1" t="s">
        <v>2</v>
      </c>
      <c r="F23" s="1" t="s">
        <v>3</v>
      </c>
      <c r="G23" s="1" t="s">
        <v>3</v>
      </c>
      <c r="H23" s="1">
        <v>0.5</v>
      </c>
      <c r="I23" s="1">
        <v>0.5</v>
      </c>
      <c r="J23" s="1" t="s">
        <v>33</v>
      </c>
      <c r="K23" s="1">
        <v>148</v>
      </c>
      <c r="L23" s="1">
        <v>2</v>
      </c>
      <c r="M23" s="1" t="s">
        <v>303</v>
      </c>
      <c r="N23" s="1" t="s">
        <v>301</v>
      </c>
      <c r="O23" s="1" t="s">
        <v>302</v>
      </c>
    </row>
    <row r="24" spans="1:15" x14ac:dyDescent="0.2">
      <c r="A24" s="1">
        <v>2016</v>
      </c>
      <c r="B24" s="25">
        <v>27129425</v>
      </c>
      <c r="C24" s="1" t="s">
        <v>34</v>
      </c>
      <c r="D24" s="1" t="s">
        <v>35</v>
      </c>
      <c r="E24" s="1" t="s">
        <v>36</v>
      </c>
      <c r="F24" s="1" t="s">
        <v>37</v>
      </c>
      <c r="G24" s="1" t="s">
        <v>37</v>
      </c>
      <c r="J24" s="1" t="s">
        <v>38</v>
      </c>
      <c r="K24" s="1">
        <v>276</v>
      </c>
      <c r="L24" s="1">
        <v>2</v>
      </c>
      <c r="M24" s="1" t="s">
        <v>317</v>
      </c>
      <c r="N24" s="1" t="s">
        <v>316</v>
      </c>
      <c r="O24" s="1" t="s">
        <v>315</v>
      </c>
    </row>
    <row r="25" spans="1:15" x14ac:dyDescent="0.2">
      <c r="A25" s="1">
        <v>1992</v>
      </c>
      <c r="B25" s="25">
        <v>1456570</v>
      </c>
      <c r="C25" s="1" t="s">
        <v>40</v>
      </c>
      <c r="D25" s="1" t="s">
        <v>41</v>
      </c>
      <c r="E25" s="1" t="s">
        <v>1104</v>
      </c>
      <c r="F25" s="1" t="s">
        <v>42</v>
      </c>
      <c r="G25" s="1" t="s">
        <v>43</v>
      </c>
      <c r="H25" s="1">
        <v>2.5</v>
      </c>
      <c r="I25" s="1">
        <v>2.5</v>
      </c>
      <c r="J25" s="1" t="s">
        <v>44</v>
      </c>
      <c r="K25" s="1">
        <v>8</v>
      </c>
      <c r="L25" s="1">
        <v>3</v>
      </c>
      <c r="M25" s="1" t="s">
        <v>564</v>
      </c>
      <c r="N25" s="1" t="s">
        <v>565</v>
      </c>
      <c r="O25" s="1" t="s">
        <v>563</v>
      </c>
    </row>
    <row r="26" spans="1:15" x14ac:dyDescent="0.2">
      <c r="A26" s="1">
        <v>1995</v>
      </c>
      <c r="B26" s="23">
        <v>7842769</v>
      </c>
      <c r="C26" s="1" t="s">
        <v>47</v>
      </c>
      <c r="D26" s="1" t="s">
        <v>41</v>
      </c>
      <c r="E26" s="1" t="s">
        <v>45</v>
      </c>
      <c r="F26" s="1" t="s">
        <v>46</v>
      </c>
      <c r="G26" s="1" t="s">
        <v>46</v>
      </c>
      <c r="J26" s="1" t="s">
        <v>44</v>
      </c>
      <c r="K26" s="1">
        <v>29</v>
      </c>
      <c r="L26" s="1">
        <v>2</v>
      </c>
      <c r="M26" s="1" t="s">
        <v>562</v>
      </c>
      <c r="N26" s="1" t="s">
        <v>561</v>
      </c>
      <c r="O26" s="1" t="s">
        <v>560</v>
      </c>
    </row>
    <row r="27" spans="1:15" x14ac:dyDescent="0.2">
      <c r="A27" s="1">
        <v>1987</v>
      </c>
      <c r="B27" s="25">
        <v>3315272</v>
      </c>
      <c r="C27" s="1" t="s">
        <v>48</v>
      </c>
      <c r="D27" s="1" t="s">
        <v>41</v>
      </c>
      <c r="E27" s="1" t="s">
        <v>49</v>
      </c>
      <c r="F27" s="1" t="s">
        <v>1171</v>
      </c>
      <c r="G27" s="1" t="s">
        <v>1171</v>
      </c>
      <c r="H27" s="1">
        <v>24</v>
      </c>
      <c r="I27" s="1">
        <v>24</v>
      </c>
      <c r="J27" s="1" t="s">
        <v>44</v>
      </c>
      <c r="K27" s="1">
        <v>8</v>
      </c>
      <c r="L27" s="1">
        <v>3</v>
      </c>
      <c r="M27" s="1" t="s">
        <v>556</v>
      </c>
      <c r="N27" s="1" t="s">
        <v>558</v>
      </c>
      <c r="O27" s="1" t="s">
        <v>557</v>
      </c>
    </row>
    <row r="28" spans="1:15" x14ac:dyDescent="0.2">
      <c r="A28" s="1">
        <v>1990</v>
      </c>
      <c r="B28" s="23">
        <v>2195936</v>
      </c>
      <c r="C28" s="1" t="s">
        <v>50</v>
      </c>
      <c r="D28" s="1" t="s">
        <v>41</v>
      </c>
      <c r="E28" s="1" t="s">
        <v>49</v>
      </c>
      <c r="F28" s="1" t="s">
        <v>1171</v>
      </c>
      <c r="G28" s="1" t="s">
        <v>1171</v>
      </c>
      <c r="H28" s="1">
        <v>8</v>
      </c>
      <c r="I28" s="1">
        <v>8</v>
      </c>
      <c r="J28" s="1" t="s">
        <v>44</v>
      </c>
      <c r="K28" s="1">
        <v>15</v>
      </c>
      <c r="L28" s="1">
        <v>2</v>
      </c>
      <c r="M28" s="1" t="s">
        <v>553</v>
      </c>
      <c r="N28" s="1" t="s">
        <v>555</v>
      </c>
      <c r="O28" s="1" t="s">
        <v>554</v>
      </c>
    </row>
    <row r="29" spans="1:15" x14ac:dyDescent="0.2">
      <c r="A29" s="1">
        <v>1982</v>
      </c>
      <c r="B29" s="25">
        <v>6279351</v>
      </c>
      <c r="C29" s="1" t="s">
        <v>51</v>
      </c>
      <c r="D29" s="1" t="s">
        <v>52</v>
      </c>
      <c r="E29" s="1" t="s">
        <v>45</v>
      </c>
      <c r="F29" s="1" t="s">
        <v>46</v>
      </c>
      <c r="G29" s="1" t="s">
        <v>46</v>
      </c>
      <c r="H29" s="1">
        <v>0.03</v>
      </c>
      <c r="I29" s="1">
        <v>0.03</v>
      </c>
      <c r="J29" s="1" t="s">
        <v>44</v>
      </c>
      <c r="K29" s="1">
        <v>5</v>
      </c>
      <c r="L29" s="1">
        <v>4</v>
      </c>
      <c r="M29" s="1" t="s">
        <v>551</v>
      </c>
      <c r="N29" s="1" t="s">
        <v>552</v>
      </c>
      <c r="O29" s="1" t="s">
        <v>550</v>
      </c>
    </row>
    <row r="30" spans="1:15" x14ac:dyDescent="0.2">
      <c r="A30" s="1">
        <v>1988</v>
      </c>
      <c r="B30" s="25">
        <v>3219758</v>
      </c>
      <c r="C30" s="1" t="s">
        <v>53</v>
      </c>
      <c r="D30" s="1" t="s">
        <v>52</v>
      </c>
      <c r="E30" s="1" t="s">
        <v>45</v>
      </c>
      <c r="F30" s="1" t="s">
        <v>46</v>
      </c>
      <c r="G30" s="1" t="s">
        <v>46</v>
      </c>
      <c r="H30" s="1">
        <v>6</v>
      </c>
      <c r="I30" s="1">
        <v>6</v>
      </c>
      <c r="J30" s="1" t="s">
        <v>44</v>
      </c>
      <c r="K30" s="1">
        <v>6</v>
      </c>
      <c r="L30" s="1">
        <v>4</v>
      </c>
      <c r="M30" s="1" t="s">
        <v>548</v>
      </c>
      <c r="N30" s="1" t="s">
        <v>549</v>
      </c>
      <c r="O30" s="1" t="s">
        <v>547</v>
      </c>
    </row>
    <row r="31" spans="1:15" x14ac:dyDescent="0.2">
      <c r="A31" s="1">
        <v>1988</v>
      </c>
      <c r="B31" s="25">
        <v>3132275</v>
      </c>
      <c r="C31" s="1" t="s">
        <v>54</v>
      </c>
      <c r="D31" s="1" t="s">
        <v>35</v>
      </c>
      <c r="E31" s="1" t="s">
        <v>55</v>
      </c>
      <c r="F31" s="1" t="s">
        <v>1131</v>
      </c>
      <c r="G31" s="1" t="s">
        <v>1131</v>
      </c>
      <c r="H31" s="1">
        <v>3</v>
      </c>
      <c r="I31" s="1">
        <v>3</v>
      </c>
      <c r="J31" s="1" t="s">
        <v>44</v>
      </c>
      <c r="K31" s="1">
        <v>10</v>
      </c>
      <c r="L31" s="1">
        <v>2</v>
      </c>
      <c r="M31" s="1" t="s">
        <v>544</v>
      </c>
      <c r="N31" s="1" t="s">
        <v>545</v>
      </c>
      <c r="O31" s="1" t="s">
        <v>543</v>
      </c>
    </row>
    <row r="32" spans="1:15" x14ac:dyDescent="0.2">
      <c r="A32" s="1">
        <v>2003</v>
      </c>
      <c r="B32" s="25">
        <v>14514937</v>
      </c>
      <c r="C32" s="1" t="s">
        <v>57</v>
      </c>
      <c r="D32" s="1" t="s">
        <v>41</v>
      </c>
      <c r="E32" s="1" t="s">
        <v>55</v>
      </c>
      <c r="F32" s="1" t="s">
        <v>1131</v>
      </c>
      <c r="G32" s="1" t="s">
        <v>1131</v>
      </c>
      <c r="H32" s="1">
        <v>48</v>
      </c>
      <c r="I32" s="1">
        <v>48</v>
      </c>
      <c r="J32" s="1" t="s">
        <v>58</v>
      </c>
      <c r="K32" s="1">
        <v>121</v>
      </c>
      <c r="L32" s="1">
        <v>2</v>
      </c>
      <c r="M32" s="1" t="s">
        <v>541</v>
      </c>
      <c r="N32" s="1" t="s">
        <v>542</v>
      </c>
      <c r="O32" s="1" t="s">
        <v>540</v>
      </c>
    </row>
    <row r="33" spans="1:15" x14ac:dyDescent="0.2">
      <c r="A33" s="1">
        <v>1995</v>
      </c>
      <c r="B33" s="25">
        <v>8824658</v>
      </c>
      <c r="C33" s="1" t="s">
        <v>59</v>
      </c>
      <c r="D33" s="1" t="s">
        <v>41</v>
      </c>
      <c r="E33" s="1" t="s">
        <v>60</v>
      </c>
      <c r="F33" s="1" t="s">
        <v>1111</v>
      </c>
      <c r="G33" s="1" t="s">
        <v>1111</v>
      </c>
      <c r="H33" s="1">
        <v>0.5</v>
      </c>
      <c r="I33" s="1">
        <v>0.5</v>
      </c>
      <c r="J33" s="1" t="s">
        <v>61</v>
      </c>
      <c r="K33" s="1">
        <v>17</v>
      </c>
      <c r="L33" s="1">
        <v>2</v>
      </c>
      <c r="M33" s="1" t="s">
        <v>538</v>
      </c>
      <c r="N33" s="1" t="s">
        <v>537</v>
      </c>
      <c r="O33" s="1" t="s">
        <v>536</v>
      </c>
    </row>
    <row r="34" spans="1:15" x14ac:dyDescent="0.2">
      <c r="A34" s="1">
        <v>2003</v>
      </c>
      <c r="B34" s="22">
        <v>14616152</v>
      </c>
      <c r="C34" s="1" t="s">
        <v>62</v>
      </c>
      <c r="D34" s="1" t="s">
        <v>41</v>
      </c>
      <c r="E34" s="1" t="s">
        <v>60</v>
      </c>
      <c r="F34" s="1" t="s">
        <v>1111</v>
      </c>
      <c r="G34" s="1" t="s">
        <v>1111</v>
      </c>
      <c r="H34" s="1">
        <v>1.5</v>
      </c>
      <c r="I34" s="1">
        <v>1.5</v>
      </c>
      <c r="J34" s="1" t="s">
        <v>61</v>
      </c>
      <c r="K34" s="1">
        <v>20</v>
      </c>
      <c r="L34" s="1">
        <v>2</v>
      </c>
      <c r="M34" s="1" t="s">
        <v>533</v>
      </c>
      <c r="N34" s="1" t="s">
        <v>535</v>
      </c>
      <c r="O34" s="1" t="s">
        <v>534</v>
      </c>
    </row>
    <row r="35" spans="1:15" x14ac:dyDescent="0.2">
      <c r="A35" s="1">
        <v>1964</v>
      </c>
      <c r="B35" s="23">
        <v>14130037</v>
      </c>
      <c r="C35" s="1" t="s">
        <v>40</v>
      </c>
      <c r="D35" s="1" t="s">
        <v>41</v>
      </c>
      <c r="E35" s="1" t="s">
        <v>42</v>
      </c>
      <c r="F35" s="1" t="s">
        <v>43</v>
      </c>
      <c r="G35" s="1" t="s">
        <v>43</v>
      </c>
      <c r="H35" s="1">
        <v>2.5</v>
      </c>
      <c r="I35" s="1">
        <v>2.5</v>
      </c>
      <c r="J35" s="1" t="s">
        <v>63</v>
      </c>
      <c r="K35" s="1">
        <v>56</v>
      </c>
      <c r="L35" s="1">
        <v>2</v>
      </c>
      <c r="M35" s="1" t="s">
        <v>530</v>
      </c>
      <c r="N35" s="1" t="s">
        <v>531</v>
      </c>
      <c r="O35" s="1" t="s">
        <v>532</v>
      </c>
    </row>
    <row r="36" spans="1:15" x14ac:dyDescent="0.2">
      <c r="A36" s="1">
        <v>1981</v>
      </c>
      <c r="B36" s="23">
        <v>7272159</v>
      </c>
      <c r="C36" s="1" t="s">
        <v>65</v>
      </c>
      <c r="D36" s="1" t="s">
        <v>41</v>
      </c>
      <c r="E36" s="1" t="s">
        <v>66</v>
      </c>
      <c r="F36" s="1" t="s">
        <v>66</v>
      </c>
      <c r="G36" s="1" t="s">
        <v>66</v>
      </c>
      <c r="H36" s="1">
        <v>5</v>
      </c>
      <c r="I36" s="1">
        <v>5</v>
      </c>
      <c r="J36" s="1" t="s">
        <v>63</v>
      </c>
      <c r="K36" s="1">
        <v>17</v>
      </c>
      <c r="L36" s="1">
        <v>3</v>
      </c>
      <c r="M36" s="1" t="s">
        <v>528</v>
      </c>
      <c r="N36" s="1" t="s">
        <v>529</v>
      </c>
      <c r="O36" s="1" t="s">
        <v>527</v>
      </c>
    </row>
    <row r="37" spans="1:15" x14ac:dyDescent="0.2">
      <c r="A37" s="1">
        <v>1984</v>
      </c>
      <c r="B37" s="23">
        <v>6395813</v>
      </c>
      <c r="C37" s="1" t="s">
        <v>40</v>
      </c>
      <c r="D37" s="1" t="s">
        <v>41</v>
      </c>
      <c r="E37" s="1" t="s">
        <v>1104</v>
      </c>
      <c r="F37" s="1" t="s">
        <v>42</v>
      </c>
      <c r="G37" s="1" t="s">
        <v>43</v>
      </c>
      <c r="H37" s="1">
        <v>2.5</v>
      </c>
      <c r="I37" s="1">
        <v>2.5</v>
      </c>
      <c r="J37" s="1" t="s">
        <v>63</v>
      </c>
      <c r="K37" s="1">
        <v>41</v>
      </c>
      <c r="L37" s="1">
        <v>2</v>
      </c>
      <c r="M37" s="1" t="s">
        <v>526</v>
      </c>
      <c r="N37" s="1" t="s">
        <v>525</v>
      </c>
      <c r="O37" s="1" t="s">
        <v>524</v>
      </c>
    </row>
    <row r="38" spans="1:15" x14ac:dyDescent="0.2">
      <c r="A38" s="1">
        <v>1997</v>
      </c>
      <c r="B38" s="25">
        <v>9059137</v>
      </c>
      <c r="C38" s="1" t="s">
        <v>40</v>
      </c>
      <c r="D38" s="1" t="s">
        <v>41</v>
      </c>
      <c r="E38" s="1" t="s">
        <v>1104</v>
      </c>
      <c r="F38" s="1" t="s">
        <v>42</v>
      </c>
      <c r="G38" s="1" t="s">
        <v>43</v>
      </c>
      <c r="H38" s="1">
        <v>2.5</v>
      </c>
      <c r="I38" s="1">
        <v>2.5</v>
      </c>
      <c r="J38" s="1" t="s">
        <v>63</v>
      </c>
      <c r="K38" s="1">
        <v>26</v>
      </c>
      <c r="L38" s="1">
        <v>2</v>
      </c>
      <c r="M38" s="1" t="s">
        <v>521</v>
      </c>
      <c r="N38" s="1" t="s">
        <v>523</v>
      </c>
      <c r="O38" s="1" t="s">
        <v>522</v>
      </c>
    </row>
    <row r="39" spans="1:15" x14ac:dyDescent="0.2">
      <c r="A39" s="1">
        <v>2008</v>
      </c>
      <c r="B39" s="25">
        <v>18207016</v>
      </c>
      <c r="C39" s="1" t="s">
        <v>40</v>
      </c>
      <c r="D39" s="1" t="s">
        <v>41</v>
      </c>
      <c r="E39" s="1" t="s">
        <v>1104</v>
      </c>
      <c r="F39" s="1" t="s">
        <v>42</v>
      </c>
      <c r="G39" s="1" t="s">
        <v>43</v>
      </c>
      <c r="H39" s="1">
        <v>2.5</v>
      </c>
      <c r="I39" s="1">
        <v>2.5</v>
      </c>
      <c r="J39" s="1" t="s">
        <v>63</v>
      </c>
      <c r="K39" s="1">
        <v>288</v>
      </c>
      <c r="L39" s="1">
        <v>2</v>
      </c>
      <c r="M39" s="1" t="s">
        <v>520</v>
      </c>
      <c r="N39" s="1" t="s">
        <v>519</v>
      </c>
      <c r="O39" s="1" t="s">
        <v>518</v>
      </c>
    </row>
    <row r="40" spans="1:15" x14ac:dyDescent="0.2">
      <c r="A40" s="1">
        <v>2014</v>
      </c>
      <c r="B40" s="22">
        <v>24265159</v>
      </c>
      <c r="C40" s="1" t="s">
        <v>67</v>
      </c>
      <c r="D40" s="1" t="s">
        <v>41</v>
      </c>
      <c r="E40" s="1" t="s">
        <v>1139</v>
      </c>
      <c r="F40" s="1" t="s">
        <v>3</v>
      </c>
      <c r="G40" s="1" t="s">
        <v>3</v>
      </c>
      <c r="H40" s="1">
        <v>6</v>
      </c>
      <c r="I40" s="1">
        <v>6</v>
      </c>
      <c r="J40" s="1" t="s">
        <v>330</v>
      </c>
      <c r="K40" s="1">
        <v>532</v>
      </c>
      <c r="L40" s="1">
        <v>3</v>
      </c>
      <c r="M40" s="1" t="s">
        <v>335</v>
      </c>
      <c r="N40" s="1" t="s">
        <v>336</v>
      </c>
      <c r="O40" s="1" t="s">
        <v>334</v>
      </c>
    </row>
    <row r="41" spans="1:15" x14ac:dyDescent="0.2">
      <c r="A41" s="1">
        <v>1985</v>
      </c>
      <c r="B41" s="22">
        <v>2866334</v>
      </c>
      <c r="C41" s="1" t="s">
        <v>67</v>
      </c>
      <c r="D41" s="1" t="s">
        <v>329</v>
      </c>
      <c r="E41" s="1" t="s">
        <v>1139</v>
      </c>
      <c r="F41" s="1" t="s">
        <v>3</v>
      </c>
      <c r="G41" s="1" t="s">
        <v>3</v>
      </c>
      <c r="H41" s="1">
        <v>6</v>
      </c>
      <c r="I41" s="1">
        <v>6</v>
      </c>
      <c r="J41" s="1" t="s">
        <v>330</v>
      </c>
      <c r="K41" s="1">
        <v>118</v>
      </c>
      <c r="L41" s="1">
        <v>2</v>
      </c>
      <c r="M41" s="1" t="s">
        <v>333</v>
      </c>
      <c r="N41" s="1" t="s">
        <v>332</v>
      </c>
      <c r="O41" s="1" t="s">
        <v>331</v>
      </c>
    </row>
    <row r="42" spans="1:15" x14ac:dyDescent="0.2">
      <c r="A42" s="4">
        <v>1985</v>
      </c>
      <c r="B42" s="22">
        <v>3880688</v>
      </c>
      <c r="C42" s="1" t="s">
        <v>68</v>
      </c>
      <c r="D42" s="1" t="s">
        <v>41</v>
      </c>
      <c r="E42" s="1" t="s">
        <v>66</v>
      </c>
      <c r="F42" s="1" t="s">
        <v>66</v>
      </c>
      <c r="G42" s="1" t="s">
        <v>66</v>
      </c>
      <c r="H42" s="1">
        <v>4.5</v>
      </c>
      <c r="I42" s="1">
        <v>4.5</v>
      </c>
      <c r="J42" s="1" t="s">
        <v>69</v>
      </c>
      <c r="K42" s="1">
        <v>66</v>
      </c>
      <c r="L42" s="1">
        <v>3</v>
      </c>
      <c r="M42" s="1" t="s">
        <v>515</v>
      </c>
      <c r="N42" s="1" t="s">
        <v>517</v>
      </c>
      <c r="O42" s="1" t="s">
        <v>516</v>
      </c>
    </row>
    <row r="43" spans="1:15" x14ac:dyDescent="0.2">
      <c r="A43" s="1">
        <v>2017</v>
      </c>
      <c r="B43" s="25">
        <v>29107324</v>
      </c>
      <c r="C43" s="1" t="s">
        <v>70</v>
      </c>
      <c r="D43" s="1" t="s">
        <v>71</v>
      </c>
      <c r="E43" s="1" t="s">
        <v>72</v>
      </c>
      <c r="F43" s="1" t="s">
        <v>72</v>
      </c>
      <c r="G43" s="1" t="s">
        <v>72</v>
      </c>
      <c r="J43" s="1" t="s">
        <v>73</v>
      </c>
      <c r="K43" s="1">
        <v>596</v>
      </c>
      <c r="L43" s="1">
        <v>2</v>
      </c>
      <c r="M43" s="1" t="s">
        <v>512</v>
      </c>
      <c r="N43" s="1" t="s">
        <v>510</v>
      </c>
      <c r="O43" s="1" t="s">
        <v>511</v>
      </c>
    </row>
    <row r="44" spans="1:15" x14ac:dyDescent="0.2">
      <c r="A44" s="1">
        <v>2017</v>
      </c>
      <c r="B44" s="25">
        <v>29107324</v>
      </c>
      <c r="C44" s="1" t="s">
        <v>70</v>
      </c>
      <c r="D44" s="1" t="s">
        <v>71</v>
      </c>
      <c r="E44" s="1" t="s">
        <v>72</v>
      </c>
      <c r="F44" s="1" t="s">
        <v>72</v>
      </c>
      <c r="G44" s="1" t="s">
        <v>72</v>
      </c>
      <c r="J44" s="1" t="s">
        <v>73</v>
      </c>
      <c r="K44" s="1">
        <v>88</v>
      </c>
      <c r="L44" s="1">
        <v>2</v>
      </c>
      <c r="M44" s="1" t="s">
        <v>512</v>
      </c>
      <c r="N44" s="1" t="s">
        <v>510</v>
      </c>
      <c r="O44" s="1" t="s">
        <v>511</v>
      </c>
    </row>
    <row r="45" spans="1:15" x14ac:dyDescent="0.2">
      <c r="A45" s="1">
        <v>2016</v>
      </c>
      <c r="B45" s="25">
        <v>26644369</v>
      </c>
      <c r="C45" s="1" t="s">
        <v>74</v>
      </c>
      <c r="D45" s="1" t="s">
        <v>41</v>
      </c>
      <c r="E45" s="1" t="s">
        <v>75</v>
      </c>
      <c r="F45" s="1" t="s">
        <v>75</v>
      </c>
      <c r="G45" s="1" t="s">
        <v>75</v>
      </c>
      <c r="H45" s="1">
        <v>7</v>
      </c>
      <c r="I45" s="1">
        <v>7</v>
      </c>
      <c r="J45" s="1" t="s">
        <v>76</v>
      </c>
      <c r="K45" s="1">
        <v>16</v>
      </c>
      <c r="L45" s="1">
        <v>2</v>
      </c>
      <c r="M45" s="1" t="s">
        <v>507</v>
      </c>
      <c r="N45" s="1" t="s">
        <v>509</v>
      </c>
      <c r="O45" s="1" t="s">
        <v>508</v>
      </c>
    </row>
    <row r="46" spans="1:15" x14ac:dyDescent="0.2">
      <c r="A46" s="1">
        <v>1991</v>
      </c>
      <c r="B46" s="25">
        <v>2065035</v>
      </c>
      <c r="C46" s="1" t="s">
        <v>77</v>
      </c>
      <c r="D46" s="1" t="s">
        <v>41</v>
      </c>
      <c r="E46" s="1" t="s">
        <v>78</v>
      </c>
      <c r="F46" s="1" t="s">
        <v>78</v>
      </c>
      <c r="G46" s="1" t="s">
        <v>78</v>
      </c>
      <c r="H46" s="1">
        <v>3</v>
      </c>
      <c r="I46" s="1">
        <v>3</v>
      </c>
      <c r="J46" s="1" t="s">
        <v>79</v>
      </c>
      <c r="K46" s="1">
        <v>172</v>
      </c>
      <c r="L46" s="1">
        <v>2</v>
      </c>
      <c r="M46" s="1" t="s">
        <v>506</v>
      </c>
      <c r="N46" s="1" t="s">
        <v>505</v>
      </c>
      <c r="O46" s="1" t="s">
        <v>504</v>
      </c>
    </row>
    <row r="47" spans="1:15" x14ac:dyDescent="0.2">
      <c r="A47" s="1">
        <v>1996</v>
      </c>
      <c r="B47" s="23">
        <v>8844442</v>
      </c>
      <c r="C47" s="1" t="s">
        <v>80</v>
      </c>
      <c r="D47" s="1" t="s">
        <v>41</v>
      </c>
      <c r="E47" s="1" t="s">
        <v>78</v>
      </c>
      <c r="F47" s="1" t="s">
        <v>78</v>
      </c>
      <c r="G47" s="1" t="s">
        <v>78</v>
      </c>
      <c r="H47" s="1">
        <v>25</v>
      </c>
      <c r="I47" s="1">
        <v>25</v>
      </c>
      <c r="J47" s="1" t="s">
        <v>770</v>
      </c>
      <c r="K47" s="1">
        <v>16</v>
      </c>
      <c r="L47" s="1">
        <v>2</v>
      </c>
      <c r="M47" s="1" t="s">
        <v>501</v>
      </c>
      <c r="N47" s="1" t="s">
        <v>503</v>
      </c>
      <c r="O47" s="1" t="s">
        <v>502</v>
      </c>
    </row>
    <row r="48" spans="1:15" x14ac:dyDescent="0.2">
      <c r="A48" s="1">
        <v>2002</v>
      </c>
      <c r="B48" s="25">
        <v>12356401</v>
      </c>
      <c r="C48" s="1" t="s">
        <v>77</v>
      </c>
      <c r="D48" s="1" t="s">
        <v>41</v>
      </c>
      <c r="E48" s="1" t="s">
        <v>78</v>
      </c>
      <c r="F48" s="1" t="s">
        <v>78</v>
      </c>
      <c r="G48" s="1" t="s">
        <v>78</v>
      </c>
      <c r="H48" s="1">
        <v>3</v>
      </c>
      <c r="I48" s="1">
        <v>3</v>
      </c>
      <c r="J48" s="1" t="s">
        <v>79</v>
      </c>
      <c r="K48" s="1">
        <v>25</v>
      </c>
      <c r="L48" s="1">
        <v>2</v>
      </c>
      <c r="M48" s="1" t="s">
        <v>499</v>
      </c>
      <c r="N48" s="1" t="s">
        <v>500</v>
      </c>
      <c r="O48" s="1" t="s">
        <v>498</v>
      </c>
    </row>
    <row r="49" spans="1:15" x14ac:dyDescent="0.2">
      <c r="A49" s="1">
        <v>2003</v>
      </c>
      <c r="B49" s="25">
        <v>14525878</v>
      </c>
      <c r="C49" s="1" t="s">
        <v>77</v>
      </c>
      <c r="D49" s="1" t="s">
        <v>41</v>
      </c>
      <c r="E49" s="1" t="s">
        <v>78</v>
      </c>
      <c r="F49" s="1" t="s">
        <v>78</v>
      </c>
      <c r="G49" s="1" t="s">
        <v>78</v>
      </c>
      <c r="H49" s="1">
        <v>3</v>
      </c>
      <c r="I49" s="1">
        <v>3</v>
      </c>
      <c r="J49" s="1" t="s">
        <v>79</v>
      </c>
      <c r="K49" s="1">
        <v>57</v>
      </c>
      <c r="L49" s="1">
        <v>2</v>
      </c>
      <c r="M49" s="1" t="s">
        <v>497</v>
      </c>
      <c r="N49" s="1" t="s">
        <v>496</v>
      </c>
      <c r="O49" s="1" t="s">
        <v>495</v>
      </c>
    </row>
    <row r="50" spans="1:15" x14ac:dyDescent="0.2">
      <c r="A50" s="1">
        <v>2015</v>
      </c>
      <c r="B50" s="25">
        <v>25528311</v>
      </c>
      <c r="C50" s="1" t="s">
        <v>961</v>
      </c>
      <c r="D50" s="1" t="s">
        <v>41</v>
      </c>
      <c r="E50" s="1" t="s">
        <v>962</v>
      </c>
      <c r="F50" s="1" t="s">
        <v>78</v>
      </c>
      <c r="G50" s="1" t="s">
        <v>78</v>
      </c>
      <c r="H50" s="1">
        <v>3</v>
      </c>
      <c r="I50" s="1">
        <v>3</v>
      </c>
      <c r="J50" s="1" t="s">
        <v>963</v>
      </c>
      <c r="K50" s="1">
        <v>78</v>
      </c>
      <c r="L50" s="1">
        <v>2</v>
      </c>
      <c r="M50" s="1" t="s">
        <v>966</v>
      </c>
      <c r="N50" s="1" t="s">
        <v>964</v>
      </c>
      <c r="O50" s="1" t="s">
        <v>965</v>
      </c>
    </row>
    <row r="51" spans="1:15" x14ac:dyDescent="0.2">
      <c r="A51" s="1">
        <v>2005</v>
      </c>
      <c r="B51" s="26">
        <v>16303904</v>
      </c>
      <c r="C51" s="1" t="s">
        <v>80</v>
      </c>
      <c r="D51" s="1" t="s">
        <v>41</v>
      </c>
      <c r="E51" s="1" t="s">
        <v>78</v>
      </c>
      <c r="F51" s="1" t="s">
        <v>78</v>
      </c>
      <c r="G51" s="1" t="s">
        <v>78</v>
      </c>
      <c r="H51" s="1">
        <v>25</v>
      </c>
      <c r="I51" s="1">
        <v>25</v>
      </c>
      <c r="J51" s="1" t="s">
        <v>79</v>
      </c>
      <c r="K51" s="1">
        <v>64</v>
      </c>
      <c r="L51" s="1">
        <v>2</v>
      </c>
      <c r="M51" s="1" t="s">
        <v>492</v>
      </c>
      <c r="N51" s="1" t="s">
        <v>494</v>
      </c>
      <c r="O51" s="1" t="s">
        <v>493</v>
      </c>
    </row>
    <row r="52" spans="1:15" x14ac:dyDescent="0.2">
      <c r="A52" s="1">
        <v>2006</v>
      </c>
      <c r="B52" s="24">
        <v>16377282</v>
      </c>
      <c r="C52" s="1" t="s">
        <v>80</v>
      </c>
      <c r="D52" s="1" t="s">
        <v>41</v>
      </c>
      <c r="E52" s="1" t="s">
        <v>78</v>
      </c>
      <c r="F52" s="1" t="s">
        <v>78</v>
      </c>
      <c r="G52" s="1" t="s">
        <v>78</v>
      </c>
      <c r="H52" s="1">
        <v>25</v>
      </c>
      <c r="I52" s="1">
        <v>25</v>
      </c>
      <c r="J52" s="1" t="s">
        <v>488</v>
      </c>
      <c r="K52" s="1">
        <v>125</v>
      </c>
      <c r="L52" s="1">
        <v>2</v>
      </c>
      <c r="M52" s="1" t="s">
        <v>490</v>
      </c>
      <c r="N52" s="1" t="s">
        <v>491</v>
      </c>
      <c r="O52" s="1" t="s">
        <v>489</v>
      </c>
    </row>
    <row r="53" spans="1:15" x14ac:dyDescent="0.2">
      <c r="A53" s="1">
        <v>2010</v>
      </c>
      <c r="B53" s="25">
        <v>21294404</v>
      </c>
      <c r="C53" s="1" t="s">
        <v>77</v>
      </c>
      <c r="D53" s="1" t="s">
        <v>41</v>
      </c>
      <c r="E53" s="1" t="s">
        <v>78</v>
      </c>
      <c r="F53" s="1" t="s">
        <v>78</v>
      </c>
      <c r="G53" s="1" t="s">
        <v>78</v>
      </c>
      <c r="H53" s="1">
        <v>3</v>
      </c>
      <c r="I53" s="1">
        <v>3</v>
      </c>
      <c r="J53" s="1" t="s">
        <v>79</v>
      </c>
      <c r="K53" s="1">
        <v>52</v>
      </c>
      <c r="L53" s="1">
        <v>2</v>
      </c>
      <c r="M53" s="1" t="s">
        <v>486</v>
      </c>
      <c r="N53" s="1" t="s">
        <v>487</v>
      </c>
      <c r="O53" s="1" t="s">
        <v>485</v>
      </c>
    </row>
    <row r="54" spans="1:15" x14ac:dyDescent="0.2">
      <c r="A54" s="4">
        <v>2011</v>
      </c>
      <c r="B54" s="26">
        <v>21693699</v>
      </c>
      <c r="C54" s="1" t="s">
        <v>81</v>
      </c>
      <c r="D54" s="1" t="s">
        <v>41</v>
      </c>
      <c r="E54" s="1" t="s">
        <v>78</v>
      </c>
      <c r="F54" s="1" t="s">
        <v>78</v>
      </c>
      <c r="G54" s="1" t="s">
        <v>78</v>
      </c>
      <c r="H54" s="1" t="s">
        <v>484</v>
      </c>
      <c r="I54" s="1">
        <v>3</v>
      </c>
      <c r="J54" s="1" t="s">
        <v>79</v>
      </c>
      <c r="K54" s="1">
        <v>171</v>
      </c>
      <c r="L54" s="1">
        <v>2</v>
      </c>
      <c r="M54" s="1" t="s">
        <v>483</v>
      </c>
      <c r="N54" s="1" t="s">
        <v>481</v>
      </c>
      <c r="O54" s="1" t="s">
        <v>482</v>
      </c>
    </row>
    <row r="55" spans="1:15" x14ac:dyDescent="0.2">
      <c r="A55" s="4">
        <v>2013</v>
      </c>
      <c r="B55" s="26">
        <v>23998970</v>
      </c>
      <c r="C55" s="1" t="s">
        <v>82</v>
      </c>
      <c r="D55" s="1" t="s">
        <v>41</v>
      </c>
      <c r="E55" s="1" t="s">
        <v>78</v>
      </c>
      <c r="F55" s="1" t="s">
        <v>78</v>
      </c>
      <c r="G55" s="1" t="s">
        <v>78</v>
      </c>
      <c r="H55" s="1">
        <v>22</v>
      </c>
      <c r="I55" s="1">
        <v>22</v>
      </c>
      <c r="J55" s="1" t="s">
        <v>79</v>
      </c>
      <c r="K55" s="1">
        <v>132</v>
      </c>
      <c r="L55" s="1">
        <v>2</v>
      </c>
      <c r="M55" s="1" t="s">
        <v>479</v>
      </c>
      <c r="N55" s="1" t="s">
        <v>480</v>
      </c>
      <c r="O55" s="1" t="s">
        <v>478</v>
      </c>
    </row>
    <row r="56" spans="1:15" x14ac:dyDescent="0.2">
      <c r="A56" s="4">
        <v>2014</v>
      </c>
      <c r="B56" s="23">
        <v>24996489</v>
      </c>
      <c r="C56" s="1" t="s">
        <v>82</v>
      </c>
      <c r="D56" s="1" t="s">
        <v>41</v>
      </c>
      <c r="E56" s="1" t="s">
        <v>78</v>
      </c>
      <c r="F56" s="1" t="s">
        <v>78</v>
      </c>
      <c r="G56" s="1" t="s">
        <v>78</v>
      </c>
      <c r="H56" s="1">
        <v>22</v>
      </c>
      <c r="I56" s="1">
        <v>22</v>
      </c>
      <c r="J56" s="1" t="s">
        <v>79</v>
      </c>
      <c r="K56" s="1">
        <v>122</v>
      </c>
      <c r="L56" s="1">
        <v>2</v>
      </c>
      <c r="M56" s="1" t="s">
        <v>475</v>
      </c>
      <c r="N56" s="1" t="s">
        <v>476</v>
      </c>
      <c r="O56" s="1" t="s">
        <v>477</v>
      </c>
    </row>
    <row r="57" spans="1:15" s="8" customFormat="1" x14ac:dyDescent="0.2">
      <c r="A57" s="10">
        <v>1988</v>
      </c>
      <c r="B57" s="37">
        <v>3366165</v>
      </c>
      <c r="C57" s="8" t="s">
        <v>83</v>
      </c>
      <c r="D57" s="8" t="s">
        <v>41</v>
      </c>
      <c r="E57" s="8" t="s">
        <v>1078</v>
      </c>
      <c r="F57" s="8" t="s">
        <v>1077</v>
      </c>
      <c r="G57" s="8" t="s">
        <v>1077</v>
      </c>
      <c r="H57" s="8">
        <v>4</v>
      </c>
      <c r="I57" s="8">
        <v>4</v>
      </c>
      <c r="J57" s="8" t="s">
        <v>86</v>
      </c>
      <c r="K57" s="8">
        <v>4</v>
      </c>
      <c r="L57" s="8">
        <v>3</v>
      </c>
      <c r="M57" s="8" t="s">
        <v>761</v>
      </c>
      <c r="N57" s="8" t="s">
        <v>760</v>
      </c>
      <c r="O57" s="8" t="s">
        <v>759</v>
      </c>
    </row>
    <row r="58" spans="1:15" s="8" customFormat="1" x14ac:dyDescent="0.2">
      <c r="A58" s="10">
        <v>2013</v>
      </c>
      <c r="B58" s="37">
        <v>23660686</v>
      </c>
      <c r="C58" s="8" t="s">
        <v>358</v>
      </c>
      <c r="D58" s="8" t="s">
        <v>41</v>
      </c>
      <c r="E58" s="8" t="s">
        <v>559</v>
      </c>
      <c r="F58" s="8" t="s">
        <v>559</v>
      </c>
      <c r="G58" s="8" t="s">
        <v>559</v>
      </c>
      <c r="J58" s="8" t="s">
        <v>930</v>
      </c>
      <c r="K58" s="8">
        <v>60</v>
      </c>
      <c r="L58" s="8">
        <v>2</v>
      </c>
      <c r="M58" s="8" t="s">
        <v>931</v>
      </c>
      <c r="N58" s="8" t="s">
        <v>932</v>
      </c>
      <c r="O58" s="8" t="s">
        <v>933</v>
      </c>
    </row>
    <row r="59" spans="1:15" s="8" customFormat="1" x14ac:dyDescent="0.2">
      <c r="A59" s="10">
        <v>2016</v>
      </c>
      <c r="B59" s="38">
        <v>26399404</v>
      </c>
      <c r="C59" s="8" t="s">
        <v>358</v>
      </c>
      <c r="D59" s="8" t="s">
        <v>41</v>
      </c>
      <c r="E59" s="8" t="s">
        <v>559</v>
      </c>
      <c r="F59" s="8" t="s">
        <v>559</v>
      </c>
      <c r="G59" s="8" t="s">
        <v>559</v>
      </c>
      <c r="J59" s="8" t="s">
        <v>1012</v>
      </c>
      <c r="K59" s="8">
        <v>2012</v>
      </c>
      <c r="L59" s="8">
        <v>2</v>
      </c>
      <c r="M59" s="8" t="s">
        <v>1015</v>
      </c>
      <c r="N59" s="8" t="s">
        <v>1014</v>
      </c>
      <c r="O59" s="8" t="s">
        <v>1013</v>
      </c>
    </row>
    <row r="60" spans="1:15" s="8" customFormat="1" x14ac:dyDescent="0.2">
      <c r="A60" s="10">
        <v>2013</v>
      </c>
      <c r="B60" s="38">
        <v>23098134</v>
      </c>
      <c r="C60" s="8" t="s">
        <v>358</v>
      </c>
      <c r="D60" s="8" t="s">
        <v>41</v>
      </c>
      <c r="E60" s="8" t="s">
        <v>559</v>
      </c>
      <c r="F60" s="8" t="s">
        <v>559</v>
      </c>
      <c r="G60" s="8" t="s">
        <v>559</v>
      </c>
      <c r="J60" s="8" t="s">
        <v>1001</v>
      </c>
      <c r="K60" s="8">
        <v>2659</v>
      </c>
      <c r="L60" s="8">
        <v>2</v>
      </c>
      <c r="M60" s="8" t="s">
        <v>1003</v>
      </c>
      <c r="N60" s="8" t="s">
        <v>1002</v>
      </c>
      <c r="O60" s="8" t="s">
        <v>1000</v>
      </c>
    </row>
    <row r="61" spans="1:15" s="8" customFormat="1" x14ac:dyDescent="0.2">
      <c r="A61" s="10">
        <v>1991</v>
      </c>
      <c r="B61" s="39">
        <v>1886635</v>
      </c>
      <c r="C61" s="8" t="s">
        <v>87</v>
      </c>
      <c r="D61" s="8" t="s">
        <v>35</v>
      </c>
      <c r="E61" s="8" t="s">
        <v>88</v>
      </c>
      <c r="F61" s="8" t="s">
        <v>89</v>
      </c>
      <c r="G61" s="8" t="s">
        <v>89</v>
      </c>
      <c r="H61" s="8">
        <v>0.3</v>
      </c>
      <c r="I61" s="8">
        <v>0.3</v>
      </c>
      <c r="J61" s="8" t="s">
        <v>86</v>
      </c>
      <c r="K61" s="8">
        <v>12</v>
      </c>
      <c r="L61" s="8">
        <v>3</v>
      </c>
      <c r="M61" s="8" t="s">
        <v>756</v>
      </c>
      <c r="N61" s="8" t="s">
        <v>755</v>
      </c>
      <c r="O61" s="8" t="s">
        <v>754</v>
      </c>
    </row>
    <row r="62" spans="1:15" x14ac:dyDescent="0.2">
      <c r="A62" s="4">
        <v>1992</v>
      </c>
      <c r="B62" s="26">
        <v>1799931</v>
      </c>
      <c r="C62" s="1" t="s">
        <v>90</v>
      </c>
      <c r="D62" s="1" t="s">
        <v>41</v>
      </c>
      <c r="E62" s="1" t="s">
        <v>91</v>
      </c>
      <c r="F62" s="1" t="s">
        <v>752</v>
      </c>
      <c r="G62" s="1" t="s">
        <v>752</v>
      </c>
      <c r="H62" s="1" t="s">
        <v>92</v>
      </c>
      <c r="I62" s="1">
        <v>2</v>
      </c>
      <c r="J62" s="1" t="s">
        <v>86</v>
      </c>
      <c r="K62" s="1">
        <v>13</v>
      </c>
      <c r="L62" s="1">
        <v>2</v>
      </c>
      <c r="M62" s="1" t="s">
        <v>750</v>
      </c>
      <c r="N62" s="1" t="s">
        <v>751</v>
      </c>
      <c r="O62" s="1" t="s">
        <v>749</v>
      </c>
    </row>
    <row r="63" spans="1:15" x14ac:dyDescent="0.2">
      <c r="A63" s="1">
        <v>1992</v>
      </c>
      <c r="B63" s="23">
        <v>1575169</v>
      </c>
      <c r="C63" s="1" t="s">
        <v>93</v>
      </c>
      <c r="D63" s="1" t="s">
        <v>41</v>
      </c>
      <c r="E63" s="1" t="s">
        <v>94</v>
      </c>
      <c r="F63" s="1" t="s">
        <v>95</v>
      </c>
      <c r="G63" s="1" t="s">
        <v>95</v>
      </c>
      <c r="H63" s="1">
        <v>3</v>
      </c>
      <c r="I63" s="1">
        <v>3</v>
      </c>
      <c r="J63" s="1" t="s">
        <v>86</v>
      </c>
      <c r="K63" s="1">
        <v>18</v>
      </c>
      <c r="L63" s="1">
        <v>2</v>
      </c>
      <c r="M63" s="1" t="s">
        <v>738</v>
      </c>
      <c r="N63" s="1" t="s">
        <v>739</v>
      </c>
      <c r="O63" s="1" t="s">
        <v>737</v>
      </c>
    </row>
    <row r="64" spans="1:15" x14ac:dyDescent="0.2">
      <c r="A64" s="1">
        <v>1993</v>
      </c>
      <c r="B64" s="25" t="s">
        <v>682</v>
      </c>
      <c r="C64" s="1" t="s">
        <v>98</v>
      </c>
      <c r="D64" s="1" t="s">
        <v>41</v>
      </c>
      <c r="E64" s="1" t="s">
        <v>94</v>
      </c>
      <c r="F64" s="1" t="s">
        <v>95</v>
      </c>
      <c r="G64" s="1" t="s">
        <v>95</v>
      </c>
      <c r="H64" s="1">
        <v>24</v>
      </c>
      <c r="I64" s="1">
        <v>24</v>
      </c>
      <c r="J64" s="1" t="s">
        <v>86</v>
      </c>
      <c r="K64" s="1">
        <v>33</v>
      </c>
      <c r="L64" s="1">
        <v>2</v>
      </c>
      <c r="M64" s="1" t="s">
        <v>681</v>
      </c>
      <c r="N64" s="1" t="s">
        <v>680</v>
      </c>
      <c r="O64" s="1" t="s">
        <v>679</v>
      </c>
    </row>
    <row r="65" spans="1:15" x14ac:dyDescent="0.2">
      <c r="A65" s="1">
        <v>1993</v>
      </c>
      <c r="B65" s="25">
        <v>8133022</v>
      </c>
      <c r="C65" s="1" t="s">
        <v>99</v>
      </c>
      <c r="D65" s="1" t="s">
        <v>41</v>
      </c>
      <c r="E65" s="1" t="s">
        <v>97</v>
      </c>
      <c r="F65" s="1" t="s">
        <v>1100</v>
      </c>
      <c r="G65" s="1" t="s">
        <v>1100</v>
      </c>
      <c r="H65" s="1">
        <v>40</v>
      </c>
      <c r="I65" s="1">
        <v>40</v>
      </c>
      <c r="J65" s="1" t="s">
        <v>86</v>
      </c>
      <c r="K65" s="1">
        <v>20</v>
      </c>
      <c r="L65" s="1">
        <v>2</v>
      </c>
      <c r="M65" s="1" t="s">
        <v>624</v>
      </c>
      <c r="N65" s="1" t="s">
        <v>625</v>
      </c>
      <c r="O65" s="1" t="s">
        <v>623</v>
      </c>
    </row>
    <row r="66" spans="1:15" x14ac:dyDescent="0.2">
      <c r="A66" s="1">
        <v>1993</v>
      </c>
      <c r="B66" s="25">
        <v>8448068</v>
      </c>
      <c r="C66" s="1" t="s">
        <v>100</v>
      </c>
      <c r="D66" s="1" t="s">
        <v>41</v>
      </c>
      <c r="E66" s="1" t="s">
        <v>97</v>
      </c>
      <c r="F66" s="1" t="s">
        <v>1100</v>
      </c>
      <c r="G66" s="1" t="s">
        <v>1100</v>
      </c>
      <c r="H66" s="1">
        <v>12</v>
      </c>
      <c r="I66" s="1">
        <v>12</v>
      </c>
      <c r="J66" s="1" t="s">
        <v>86</v>
      </c>
      <c r="K66" s="1">
        <v>18</v>
      </c>
      <c r="L66" s="1">
        <v>2</v>
      </c>
      <c r="M66" s="1" t="s">
        <v>621</v>
      </c>
      <c r="N66" s="1" t="s">
        <v>622</v>
      </c>
      <c r="O66" s="1" t="s">
        <v>620</v>
      </c>
    </row>
    <row r="67" spans="1:15" x14ac:dyDescent="0.2">
      <c r="A67" s="1">
        <v>2016</v>
      </c>
      <c r="B67" s="25">
        <v>27920083</v>
      </c>
      <c r="C67" s="1" t="s">
        <v>101</v>
      </c>
      <c r="D67" s="1" t="s">
        <v>41</v>
      </c>
      <c r="E67" s="1" t="s">
        <v>94</v>
      </c>
      <c r="F67" s="1" t="s">
        <v>95</v>
      </c>
      <c r="G67" s="1" t="s">
        <v>95</v>
      </c>
      <c r="H67" s="1">
        <v>35</v>
      </c>
      <c r="I67" s="1">
        <v>35</v>
      </c>
      <c r="J67" s="1" t="s">
        <v>1021</v>
      </c>
      <c r="K67" s="1">
        <v>24</v>
      </c>
      <c r="L67" s="1">
        <v>2</v>
      </c>
      <c r="M67" s="1" t="s">
        <v>1018</v>
      </c>
      <c r="N67" s="1" t="s">
        <v>1016</v>
      </c>
      <c r="O67" s="1" t="s">
        <v>1017</v>
      </c>
    </row>
    <row r="68" spans="1:15" x14ac:dyDescent="0.2">
      <c r="A68" s="1">
        <v>1993</v>
      </c>
      <c r="B68" s="25">
        <v>8394796</v>
      </c>
      <c r="C68" s="1" t="s">
        <v>101</v>
      </c>
      <c r="D68" s="1" t="s">
        <v>41</v>
      </c>
      <c r="E68" s="1" t="s">
        <v>94</v>
      </c>
      <c r="F68" s="1" t="s">
        <v>95</v>
      </c>
      <c r="G68" s="1" t="s">
        <v>95</v>
      </c>
      <c r="H68" s="1">
        <v>35</v>
      </c>
      <c r="I68" s="1">
        <v>35</v>
      </c>
      <c r="J68" s="1" t="s">
        <v>86</v>
      </c>
      <c r="K68" s="1">
        <v>8</v>
      </c>
      <c r="L68" s="1">
        <v>2</v>
      </c>
      <c r="M68" s="1" t="s">
        <v>618</v>
      </c>
      <c r="N68" s="1" t="s">
        <v>619</v>
      </c>
      <c r="O68" s="1" t="s">
        <v>617</v>
      </c>
    </row>
    <row r="69" spans="1:15" x14ac:dyDescent="0.2">
      <c r="A69" s="4">
        <v>1993</v>
      </c>
      <c r="B69" s="25">
        <v>8335427</v>
      </c>
      <c r="C69" s="1" t="s">
        <v>102</v>
      </c>
      <c r="D69" s="1" t="s">
        <v>41</v>
      </c>
      <c r="E69" s="1" t="s">
        <v>94</v>
      </c>
      <c r="F69" s="1" t="s">
        <v>95</v>
      </c>
      <c r="G69" s="1" t="s">
        <v>95</v>
      </c>
      <c r="H69" s="1">
        <v>21.4</v>
      </c>
      <c r="I69" s="1">
        <v>21.4</v>
      </c>
      <c r="J69" s="1" t="s">
        <v>86</v>
      </c>
      <c r="K69" s="1">
        <v>10</v>
      </c>
      <c r="L69" s="1">
        <v>2</v>
      </c>
      <c r="M69" s="1" t="s">
        <v>616</v>
      </c>
      <c r="N69" s="1" t="s">
        <v>615</v>
      </c>
      <c r="O69" s="1" t="s">
        <v>614</v>
      </c>
    </row>
    <row r="70" spans="1:15" x14ac:dyDescent="0.2">
      <c r="A70" s="1">
        <v>1994</v>
      </c>
      <c r="B70" s="25">
        <v>8282361</v>
      </c>
      <c r="C70" s="1" t="s">
        <v>96</v>
      </c>
      <c r="D70" s="1" t="s">
        <v>41</v>
      </c>
      <c r="E70" s="1" t="s">
        <v>97</v>
      </c>
      <c r="F70" s="1" t="s">
        <v>1100</v>
      </c>
      <c r="G70" s="1" t="s">
        <v>1100</v>
      </c>
      <c r="H70" s="1">
        <v>12</v>
      </c>
      <c r="I70" s="1">
        <v>12</v>
      </c>
      <c r="J70" s="1" t="s">
        <v>86</v>
      </c>
      <c r="K70" s="1">
        <v>6</v>
      </c>
      <c r="L70" s="1">
        <v>3</v>
      </c>
      <c r="M70" s="1" t="s">
        <v>613</v>
      </c>
      <c r="N70" s="1" t="s">
        <v>612</v>
      </c>
      <c r="O70" s="1" t="s">
        <v>611</v>
      </c>
    </row>
    <row r="71" spans="1:15" x14ac:dyDescent="0.2">
      <c r="A71" s="1">
        <v>1994</v>
      </c>
      <c r="B71" s="25">
        <v>7894213</v>
      </c>
      <c r="C71" s="1" t="s">
        <v>103</v>
      </c>
      <c r="D71" s="1" t="s">
        <v>41</v>
      </c>
      <c r="E71" s="1" t="s">
        <v>97</v>
      </c>
      <c r="F71" s="1" t="s">
        <v>1100</v>
      </c>
      <c r="G71" s="1" t="s">
        <v>1100</v>
      </c>
      <c r="H71" s="1">
        <v>24</v>
      </c>
      <c r="I71" s="1">
        <v>24</v>
      </c>
      <c r="J71" s="1" t="s">
        <v>86</v>
      </c>
      <c r="K71" s="1">
        <v>10</v>
      </c>
      <c r="L71" s="1">
        <v>2</v>
      </c>
      <c r="M71" s="1" t="s">
        <v>610</v>
      </c>
      <c r="N71" s="1" t="s">
        <v>609</v>
      </c>
      <c r="O71" s="1" t="s">
        <v>608</v>
      </c>
    </row>
    <row r="72" spans="1:15" x14ac:dyDescent="0.2">
      <c r="A72" s="1">
        <v>1995</v>
      </c>
      <c r="B72" s="23">
        <v>7546498</v>
      </c>
      <c r="C72" s="1" t="s">
        <v>100</v>
      </c>
      <c r="D72" s="1" t="s">
        <v>41</v>
      </c>
      <c r="E72" s="1" t="s">
        <v>97</v>
      </c>
      <c r="F72" s="1" t="s">
        <v>1100</v>
      </c>
      <c r="G72" s="1" t="s">
        <v>1100</v>
      </c>
      <c r="J72" s="1" t="s">
        <v>86</v>
      </c>
      <c r="K72" s="1">
        <v>16</v>
      </c>
      <c r="L72" s="1">
        <v>2</v>
      </c>
      <c r="M72" s="1" t="s">
        <v>607</v>
      </c>
      <c r="N72" s="1" t="s">
        <v>606</v>
      </c>
      <c r="O72" s="1" t="s">
        <v>605</v>
      </c>
    </row>
    <row r="73" spans="1:15" x14ac:dyDescent="0.2">
      <c r="A73" s="1">
        <v>1997</v>
      </c>
      <c r="B73" s="25">
        <v>9469797</v>
      </c>
      <c r="C73" s="1" t="s">
        <v>104</v>
      </c>
      <c r="D73" s="1" t="s">
        <v>41</v>
      </c>
      <c r="E73" s="1" t="s">
        <v>94</v>
      </c>
      <c r="F73" s="1" t="s">
        <v>95</v>
      </c>
      <c r="G73" s="1" t="s">
        <v>95</v>
      </c>
      <c r="H73" s="1">
        <v>30</v>
      </c>
      <c r="I73" s="1">
        <v>30</v>
      </c>
      <c r="J73" s="1" t="s">
        <v>86</v>
      </c>
      <c r="K73" s="1">
        <v>18</v>
      </c>
      <c r="L73" s="1">
        <v>2</v>
      </c>
      <c r="M73" s="1" t="s">
        <v>604</v>
      </c>
      <c r="N73" s="1" t="s">
        <v>603</v>
      </c>
      <c r="O73" s="1" t="s">
        <v>602</v>
      </c>
    </row>
    <row r="74" spans="1:15" x14ac:dyDescent="0.2">
      <c r="A74" s="1">
        <v>2017</v>
      </c>
      <c r="B74" s="25">
        <v>27974526</v>
      </c>
      <c r="C74" s="1" t="s">
        <v>104</v>
      </c>
      <c r="D74" s="1" t="s">
        <v>41</v>
      </c>
      <c r="E74" s="1" t="s">
        <v>94</v>
      </c>
      <c r="F74" s="1" t="s">
        <v>95</v>
      </c>
      <c r="G74" s="1" t="s">
        <v>95</v>
      </c>
      <c r="H74" s="1">
        <v>30</v>
      </c>
      <c r="I74" s="1">
        <v>30</v>
      </c>
      <c r="J74" s="1" t="s">
        <v>997</v>
      </c>
      <c r="K74" s="1">
        <v>79</v>
      </c>
      <c r="L74" s="1">
        <v>2</v>
      </c>
      <c r="M74" s="1" t="s">
        <v>995</v>
      </c>
      <c r="N74" s="1" t="s">
        <v>994</v>
      </c>
      <c r="O74" s="1" t="s">
        <v>996</v>
      </c>
    </row>
    <row r="75" spans="1:15" x14ac:dyDescent="0.2">
      <c r="A75" s="1">
        <v>1998</v>
      </c>
      <c r="B75" s="24">
        <v>10212327</v>
      </c>
      <c r="C75" s="1" t="s">
        <v>99</v>
      </c>
      <c r="D75" s="1" t="s">
        <v>41</v>
      </c>
      <c r="E75" s="1" t="s">
        <v>97</v>
      </c>
      <c r="F75" s="1" t="s">
        <v>1100</v>
      </c>
      <c r="G75" s="1" t="s">
        <v>1100</v>
      </c>
      <c r="H75" s="1">
        <v>40</v>
      </c>
      <c r="I75" s="1">
        <v>40</v>
      </c>
      <c r="J75" s="1" t="s">
        <v>86</v>
      </c>
      <c r="K75" s="1">
        <v>12</v>
      </c>
      <c r="L75" s="1">
        <v>2</v>
      </c>
      <c r="M75" s="1" t="s">
        <v>601</v>
      </c>
      <c r="N75" s="1" t="s">
        <v>600</v>
      </c>
      <c r="O75" s="1" t="s">
        <v>599</v>
      </c>
    </row>
    <row r="76" spans="1:15" x14ac:dyDescent="0.2">
      <c r="A76" s="1">
        <v>1999</v>
      </c>
      <c r="B76" s="25">
        <v>10480474</v>
      </c>
      <c r="C76" s="1" t="s">
        <v>105</v>
      </c>
      <c r="D76" s="1" t="s">
        <v>41</v>
      </c>
      <c r="E76" s="1" t="s">
        <v>97</v>
      </c>
      <c r="F76" s="1" t="s">
        <v>1100</v>
      </c>
      <c r="G76" s="1" t="s">
        <v>1100</v>
      </c>
      <c r="H76" s="1">
        <v>14</v>
      </c>
      <c r="I76" s="1">
        <v>14</v>
      </c>
      <c r="J76" s="1" t="s">
        <v>86</v>
      </c>
      <c r="K76" s="1">
        <v>80</v>
      </c>
      <c r="L76" s="1">
        <v>2</v>
      </c>
      <c r="M76" s="1" t="s">
        <v>598</v>
      </c>
      <c r="N76" s="1" t="s">
        <v>597</v>
      </c>
      <c r="O76" s="1" t="s">
        <v>596</v>
      </c>
    </row>
    <row r="77" spans="1:15" x14ac:dyDescent="0.2">
      <c r="A77" s="1">
        <v>2000</v>
      </c>
      <c r="B77" s="25">
        <v>10757465</v>
      </c>
      <c r="C77" s="1" t="s">
        <v>106</v>
      </c>
      <c r="D77" s="1" t="s">
        <v>41</v>
      </c>
      <c r="E77" s="1" t="s">
        <v>94</v>
      </c>
      <c r="F77" s="1" t="s">
        <v>95</v>
      </c>
      <c r="G77" s="1" t="s">
        <v>95</v>
      </c>
      <c r="H77" s="1">
        <v>15</v>
      </c>
      <c r="I77" s="1">
        <v>15</v>
      </c>
      <c r="J77" s="1" t="s">
        <v>86</v>
      </c>
      <c r="K77" s="1">
        <v>20</v>
      </c>
      <c r="L77" s="1">
        <v>2</v>
      </c>
      <c r="M77" s="1" t="s">
        <v>594</v>
      </c>
      <c r="N77" s="1" t="s">
        <v>595</v>
      </c>
      <c r="O77" s="1" t="s">
        <v>593</v>
      </c>
    </row>
    <row r="78" spans="1:15" x14ac:dyDescent="0.2">
      <c r="A78" s="1">
        <v>2003</v>
      </c>
      <c r="B78" s="25">
        <v>14618095</v>
      </c>
      <c r="C78" s="1" t="s">
        <v>99</v>
      </c>
      <c r="D78" s="1" t="s">
        <v>41</v>
      </c>
      <c r="E78" s="1" t="s">
        <v>97</v>
      </c>
      <c r="F78" s="1" t="s">
        <v>1100</v>
      </c>
      <c r="G78" s="1" t="s">
        <v>1100</v>
      </c>
      <c r="H78" s="1">
        <v>40</v>
      </c>
      <c r="I78" s="1">
        <v>40</v>
      </c>
      <c r="J78" s="1" t="s">
        <v>86</v>
      </c>
      <c r="K78" s="1">
        <v>62</v>
      </c>
      <c r="L78" s="1">
        <v>2</v>
      </c>
      <c r="M78" s="1" t="s">
        <v>591</v>
      </c>
      <c r="N78" s="1" t="s">
        <v>590</v>
      </c>
      <c r="O78" s="1" t="s">
        <v>589</v>
      </c>
    </row>
    <row r="79" spans="1:15" x14ac:dyDescent="0.2">
      <c r="A79" s="1">
        <v>2003</v>
      </c>
      <c r="B79" s="22">
        <v>12874091</v>
      </c>
      <c r="C79" s="1" t="s">
        <v>107</v>
      </c>
      <c r="D79" s="1" t="s">
        <v>41</v>
      </c>
      <c r="E79" s="1" t="s">
        <v>108</v>
      </c>
      <c r="F79" s="1" t="s">
        <v>109</v>
      </c>
      <c r="G79" s="1" t="s">
        <v>109</v>
      </c>
      <c r="H79" s="1">
        <v>7</v>
      </c>
      <c r="I79" s="1">
        <v>7</v>
      </c>
      <c r="J79" s="1" t="s">
        <v>86</v>
      </c>
      <c r="K79" s="1">
        <v>90</v>
      </c>
      <c r="L79" s="1">
        <v>2</v>
      </c>
      <c r="M79" s="1" t="s">
        <v>587</v>
      </c>
      <c r="N79" s="1" t="s">
        <v>588</v>
      </c>
      <c r="O79" s="1" t="s">
        <v>586</v>
      </c>
    </row>
    <row r="80" spans="1:15" x14ac:dyDescent="0.2">
      <c r="A80" s="1">
        <v>2004</v>
      </c>
      <c r="B80" s="25">
        <v>14668570</v>
      </c>
      <c r="C80" s="1" t="s">
        <v>110</v>
      </c>
      <c r="D80" s="1" t="s">
        <v>41</v>
      </c>
      <c r="E80" s="1" t="s">
        <v>97</v>
      </c>
      <c r="F80" s="1" t="s">
        <v>1100</v>
      </c>
      <c r="G80" s="1" t="s">
        <v>1100</v>
      </c>
      <c r="H80" s="1">
        <v>0.3</v>
      </c>
      <c r="I80" s="1">
        <v>0.3</v>
      </c>
      <c r="J80" s="1" t="s">
        <v>86</v>
      </c>
      <c r="K80" s="1">
        <v>13</v>
      </c>
      <c r="L80" s="1">
        <v>2</v>
      </c>
      <c r="M80" s="1" t="s">
        <v>584</v>
      </c>
      <c r="N80" s="1" t="s">
        <v>585</v>
      </c>
      <c r="O80" s="1" t="s">
        <v>583</v>
      </c>
    </row>
    <row r="81" spans="1:15" x14ac:dyDescent="0.2">
      <c r="A81" s="1">
        <v>2004</v>
      </c>
      <c r="B81" s="23">
        <v>15332347</v>
      </c>
      <c r="C81" s="1" t="s">
        <v>111</v>
      </c>
      <c r="D81" s="1" t="s">
        <v>41</v>
      </c>
      <c r="E81" s="1" t="s">
        <v>88</v>
      </c>
      <c r="F81" s="1" t="s">
        <v>89</v>
      </c>
      <c r="G81" s="1" t="s">
        <v>89</v>
      </c>
      <c r="H81" s="1">
        <v>22</v>
      </c>
      <c r="I81" s="1">
        <v>22</v>
      </c>
      <c r="J81" s="1" t="s">
        <v>86</v>
      </c>
      <c r="K81" s="1">
        <v>91</v>
      </c>
      <c r="L81" s="1">
        <v>2</v>
      </c>
      <c r="M81" s="1" t="s">
        <v>582</v>
      </c>
      <c r="N81" s="1" t="s">
        <v>581</v>
      </c>
      <c r="O81" s="1" t="s">
        <v>580</v>
      </c>
    </row>
    <row r="82" spans="1:15" x14ac:dyDescent="0.2">
      <c r="A82" s="1">
        <v>2004</v>
      </c>
      <c r="B82" s="23">
        <v>15055251</v>
      </c>
      <c r="C82" s="1" t="s">
        <v>112</v>
      </c>
      <c r="D82" s="1" t="s">
        <v>41</v>
      </c>
      <c r="E82" s="1" t="s">
        <v>94</v>
      </c>
      <c r="F82" s="1" t="s">
        <v>95</v>
      </c>
      <c r="G82" s="1" t="s">
        <v>95</v>
      </c>
      <c r="H82" s="1">
        <v>24</v>
      </c>
      <c r="I82" s="1">
        <v>24</v>
      </c>
      <c r="J82" s="1" t="s">
        <v>86</v>
      </c>
      <c r="K82" s="1">
        <v>37</v>
      </c>
      <c r="L82" s="1">
        <v>2</v>
      </c>
      <c r="M82" s="1" t="s">
        <v>579</v>
      </c>
      <c r="N82" s="1" t="s">
        <v>578</v>
      </c>
      <c r="O82" s="1" t="s">
        <v>577</v>
      </c>
    </row>
    <row r="83" spans="1:15" x14ac:dyDescent="0.2">
      <c r="A83" s="1">
        <v>2005</v>
      </c>
      <c r="B83" s="25">
        <v>16087788</v>
      </c>
      <c r="C83" s="1" t="s">
        <v>113</v>
      </c>
      <c r="D83" s="1" t="s">
        <v>41</v>
      </c>
      <c r="E83" s="1" t="s">
        <v>66</v>
      </c>
      <c r="F83" s="1" t="s">
        <v>66</v>
      </c>
      <c r="G83" s="1" t="s">
        <v>66</v>
      </c>
      <c r="H83" s="1">
        <v>1</v>
      </c>
      <c r="I83" s="1">
        <v>1</v>
      </c>
      <c r="J83" s="1" t="s">
        <v>86</v>
      </c>
      <c r="K83" s="1">
        <v>257</v>
      </c>
      <c r="L83" s="1">
        <v>2</v>
      </c>
      <c r="M83" s="1" t="s">
        <v>177</v>
      </c>
      <c r="N83" s="1" t="s">
        <v>176</v>
      </c>
      <c r="O83" s="1" t="s">
        <v>435</v>
      </c>
    </row>
    <row r="84" spans="1:15" x14ac:dyDescent="0.2">
      <c r="A84" s="1">
        <v>2005</v>
      </c>
      <c r="B84" s="25">
        <v>16147905</v>
      </c>
      <c r="C84" s="1" t="s">
        <v>107</v>
      </c>
      <c r="D84" s="1" t="s">
        <v>41</v>
      </c>
      <c r="E84" s="1" t="s">
        <v>108</v>
      </c>
      <c r="F84" s="1" t="s">
        <v>109</v>
      </c>
      <c r="G84" s="1" t="s">
        <v>109</v>
      </c>
      <c r="H84" s="1">
        <v>7</v>
      </c>
      <c r="I84" s="1">
        <v>7</v>
      </c>
      <c r="J84" s="1" t="s">
        <v>86</v>
      </c>
      <c r="K84" s="1">
        <v>100</v>
      </c>
      <c r="L84" s="1">
        <v>2</v>
      </c>
      <c r="M84" s="1" t="s">
        <v>576</v>
      </c>
      <c r="N84" s="1" t="s">
        <v>575</v>
      </c>
      <c r="O84" s="1" t="s">
        <v>574</v>
      </c>
    </row>
    <row r="85" spans="1:15" x14ac:dyDescent="0.2">
      <c r="A85" s="1">
        <v>2005</v>
      </c>
      <c r="B85" s="25">
        <v>16148616</v>
      </c>
      <c r="C85" s="1" t="s">
        <v>107</v>
      </c>
      <c r="D85" s="1" t="s">
        <v>41</v>
      </c>
      <c r="E85" s="1" t="s">
        <v>108</v>
      </c>
      <c r="F85" s="1" t="s">
        <v>109</v>
      </c>
      <c r="G85" s="1" t="s">
        <v>109</v>
      </c>
      <c r="H85" s="1">
        <v>7</v>
      </c>
      <c r="I85" s="1">
        <v>7</v>
      </c>
      <c r="J85" s="1" t="s">
        <v>86</v>
      </c>
      <c r="K85" s="1">
        <v>148</v>
      </c>
      <c r="L85" s="1">
        <v>2</v>
      </c>
      <c r="M85" s="1" t="s">
        <v>573</v>
      </c>
      <c r="N85" s="1" t="s">
        <v>572</v>
      </c>
      <c r="O85" s="1" t="s">
        <v>571</v>
      </c>
    </row>
    <row r="86" spans="1:15" x14ac:dyDescent="0.2">
      <c r="A86" s="1">
        <v>2007</v>
      </c>
      <c r="B86" s="25">
        <v>17635851</v>
      </c>
      <c r="C86" s="1" t="s">
        <v>114</v>
      </c>
      <c r="D86" s="1" t="s">
        <v>41</v>
      </c>
      <c r="E86" s="1" t="s">
        <v>108</v>
      </c>
      <c r="F86" s="1" t="s">
        <v>109</v>
      </c>
      <c r="G86" s="1" t="s">
        <v>109</v>
      </c>
      <c r="H86" s="1">
        <v>24</v>
      </c>
      <c r="I86" s="1">
        <v>24</v>
      </c>
      <c r="J86" s="1" t="s">
        <v>86</v>
      </c>
      <c r="K86" s="1">
        <v>215</v>
      </c>
      <c r="L86" s="1">
        <v>2</v>
      </c>
      <c r="M86" s="1" t="s">
        <v>568</v>
      </c>
      <c r="N86" s="1" t="s">
        <v>569</v>
      </c>
      <c r="O86" s="1" t="s">
        <v>567</v>
      </c>
    </row>
    <row r="87" spans="1:15" x14ac:dyDescent="0.2">
      <c r="A87" s="1">
        <v>2008</v>
      </c>
      <c r="B87" s="25">
        <v>19005898</v>
      </c>
      <c r="C87" s="1" t="s">
        <v>115</v>
      </c>
      <c r="D87" s="1" t="s">
        <v>41</v>
      </c>
      <c r="E87" s="1" t="s">
        <v>116</v>
      </c>
      <c r="F87" s="1" t="s">
        <v>116</v>
      </c>
      <c r="G87" s="1" t="s">
        <v>116</v>
      </c>
      <c r="H87" s="1">
        <v>3.5</v>
      </c>
      <c r="I87" s="1">
        <v>3.5</v>
      </c>
      <c r="J87" s="1" t="s">
        <v>86</v>
      </c>
      <c r="K87" s="1">
        <v>113</v>
      </c>
      <c r="L87" s="1">
        <v>2</v>
      </c>
      <c r="M87" s="1" t="s">
        <v>447</v>
      </c>
      <c r="N87" s="1" t="s">
        <v>448</v>
      </c>
      <c r="O87" s="1" t="s">
        <v>446</v>
      </c>
    </row>
    <row r="88" spans="1:15" x14ac:dyDescent="0.2">
      <c r="A88" s="1">
        <v>2012</v>
      </c>
      <c r="B88" s="25">
        <v>21810842</v>
      </c>
      <c r="C88" s="1" t="s">
        <v>113</v>
      </c>
      <c r="D88" s="1" t="s">
        <v>41</v>
      </c>
      <c r="E88" s="1" t="s">
        <v>66</v>
      </c>
      <c r="F88" s="1" t="s">
        <v>66</v>
      </c>
      <c r="G88" s="1" t="s">
        <v>66</v>
      </c>
      <c r="H88" s="1">
        <v>1</v>
      </c>
      <c r="I88" s="1">
        <v>1</v>
      </c>
      <c r="J88" s="1" t="s">
        <v>1034</v>
      </c>
      <c r="K88" s="1">
        <v>75</v>
      </c>
      <c r="L88" s="1">
        <v>2</v>
      </c>
      <c r="M88" s="1" t="s">
        <v>1037</v>
      </c>
      <c r="N88" s="1" t="s">
        <v>1036</v>
      </c>
      <c r="O88" s="1" t="s">
        <v>1035</v>
      </c>
    </row>
    <row r="89" spans="1:15" x14ac:dyDescent="0.2">
      <c r="A89" s="1">
        <v>2010</v>
      </c>
      <c r="B89" s="24">
        <v>20370474</v>
      </c>
      <c r="C89" s="1" t="s">
        <v>113</v>
      </c>
      <c r="D89" s="1" t="s">
        <v>41</v>
      </c>
      <c r="E89" s="1" t="s">
        <v>66</v>
      </c>
      <c r="F89" s="1" t="s">
        <v>66</v>
      </c>
      <c r="G89" s="1" t="s">
        <v>66</v>
      </c>
      <c r="H89" s="1">
        <v>1</v>
      </c>
      <c r="I89" s="1">
        <v>1</v>
      </c>
      <c r="J89" s="1" t="s">
        <v>1030</v>
      </c>
      <c r="K89" s="1">
        <v>316</v>
      </c>
      <c r="L89" s="1">
        <v>2</v>
      </c>
      <c r="M89" s="1" t="s">
        <v>1033</v>
      </c>
      <c r="N89" s="1" t="s">
        <v>1032</v>
      </c>
      <c r="O89" s="1" t="s">
        <v>1031</v>
      </c>
    </row>
    <row r="90" spans="1:15" x14ac:dyDescent="0.2">
      <c r="A90" s="1">
        <v>2009</v>
      </c>
      <c r="B90" s="25">
        <v>19407805</v>
      </c>
      <c r="C90" s="1" t="s">
        <v>113</v>
      </c>
      <c r="D90" s="1" t="s">
        <v>41</v>
      </c>
      <c r="E90" s="1" t="s">
        <v>66</v>
      </c>
      <c r="F90" s="1" t="s">
        <v>66</v>
      </c>
      <c r="G90" s="1" t="s">
        <v>66</v>
      </c>
      <c r="H90" s="1">
        <v>1</v>
      </c>
      <c r="I90" s="1">
        <v>1</v>
      </c>
      <c r="J90" s="1" t="s">
        <v>86</v>
      </c>
      <c r="K90" s="1">
        <v>244</v>
      </c>
      <c r="L90" s="1">
        <v>2</v>
      </c>
      <c r="M90" s="1" t="s">
        <v>445</v>
      </c>
      <c r="N90" s="1" t="s">
        <v>444</v>
      </c>
      <c r="O90" s="1" t="s">
        <v>443</v>
      </c>
    </row>
    <row r="91" spans="1:15" x14ac:dyDescent="0.2">
      <c r="A91" s="1">
        <v>2005</v>
      </c>
      <c r="B91" s="23">
        <v>16168278</v>
      </c>
      <c r="C91" s="1" t="s">
        <v>113</v>
      </c>
      <c r="D91" s="1" t="s">
        <v>41</v>
      </c>
      <c r="E91" s="1" t="s">
        <v>66</v>
      </c>
      <c r="F91" s="1" t="s">
        <v>66</v>
      </c>
      <c r="G91" s="1" t="s">
        <v>66</v>
      </c>
      <c r="H91" s="1">
        <v>1</v>
      </c>
      <c r="I91" s="1">
        <v>1</v>
      </c>
      <c r="J91" s="1" t="s">
        <v>86</v>
      </c>
      <c r="K91" s="1">
        <v>328</v>
      </c>
      <c r="L91" s="1">
        <v>2</v>
      </c>
      <c r="M91" s="1" t="s">
        <v>913</v>
      </c>
      <c r="N91" s="1" t="s">
        <v>914</v>
      </c>
      <c r="O91" s="1" t="s">
        <v>915</v>
      </c>
    </row>
    <row r="92" spans="1:15" x14ac:dyDescent="0.2">
      <c r="A92" s="1">
        <v>2003</v>
      </c>
      <c r="B92" s="23">
        <v>12623974</v>
      </c>
      <c r="C92" s="1" t="s">
        <v>113</v>
      </c>
      <c r="D92" s="1" t="s">
        <v>41</v>
      </c>
      <c r="E92" s="1" t="s">
        <v>66</v>
      </c>
      <c r="F92" s="1" t="s">
        <v>66</v>
      </c>
      <c r="G92" s="1" t="s">
        <v>66</v>
      </c>
      <c r="H92" s="1">
        <v>1</v>
      </c>
      <c r="I92" s="1">
        <v>1</v>
      </c>
      <c r="J92" s="1" t="s">
        <v>86</v>
      </c>
      <c r="K92" s="1">
        <v>341</v>
      </c>
      <c r="L92" s="1">
        <v>3</v>
      </c>
      <c r="M92" s="1" t="s">
        <v>918</v>
      </c>
      <c r="N92" s="1" t="s">
        <v>917</v>
      </c>
      <c r="O92" s="1" t="s">
        <v>916</v>
      </c>
    </row>
    <row r="93" spans="1:15" x14ac:dyDescent="0.2">
      <c r="A93" s="1">
        <v>2015</v>
      </c>
      <c r="B93" s="25">
        <v>25704020</v>
      </c>
      <c r="C93" s="1" t="s">
        <v>117</v>
      </c>
      <c r="D93" s="1" t="s">
        <v>41</v>
      </c>
      <c r="E93" s="1" t="s">
        <v>108</v>
      </c>
      <c r="F93" s="1" t="s">
        <v>109</v>
      </c>
      <c r="G93" s="1" t="s">
        <v>109</v>
      </c>
      <c r="H93" s="1">
        <v>13</v>
      </c>
      <c r="I93" s="1">
        <v>13</v>
      </c>
      <c r="J93" s="1" t="s">
        <v>981</v>
      </c>
      <c r="K93" s="1">
        <v>23</v>
      </c>
      <c r="L93" s="1">
        <v>2</v>
      </c>
      <c r="M93" s="1" t="s">
        <v>983</v>
      </c>
      <c r="N93" s="1" t="s">
        <v>982</v>
      </c>
      <c r="O93" s="1" t="s">
        <v>984</v>
      </c>
    </row>
    <row r="94" spans="1:15" x14ac:dyDescent="0.2">
      <c r="A94" s="1">
        <v>2013</v>
      </c>
      <c r="B94" s="25">
        <v>23013888</v>
      </c>
      <c r="C94" s="1" t="s">
        <v>117</v>
      </c>
      <c r="D94" s="1" t="s">
        <v>41</v>
      </c>
      <c r="E94" s="1" t="s">
        <v>108</v>
      </c>
      <c r="F94" s="1" t="s">
        <v>109</v>
      </c>
      <c r="G94" s="1" t="s">
        <v>109</v>
      </c>
      <c r="H94" s="1">
        <v>13</v>
      </c>
      <c r="I94" s="1">
        <v>13</v>
      </c>
      <c r="J94" s="1" t="s">
        <v>86</v>
      </c>
      <c r="K94" s="1">
        <v>188</v>
      </c>
      <c r="L94" s="1">
        <v>2</v>
      </c>
      <c r="M94" s="1" t="s">
        <v>973</v>
      </c>
      <c r="N94" s="1" t="s">
        <v>974</v>
      </c>
      <c r="O94" s="1" t="s">
        <v>975</v>
      </c>
    </row>
    <row r="95" spans="1:15" x14ac:dyDescent="0.2">
      <c r="A95" s="1">
        <v>2009</v>
      </c>
      <c r="B95" s="25">
        <v>19142758</v>
      </c>
      <c r="C95" s="1" t="s">
        <v>117</v>
      </c>
      <c r="D95" s="1" t="s">
        <v>41</v>
      </c>
      <c r="E95" s="1" t="s">
        <v>108</v>
      </c>
      <c r="F95" s="1" t="s">
        <v>109</v>
      </c>
      <c r="G95" s="1" t="s">
        <v>109</v>
      </c>
      <c r="H95" s="1">
        <v>13</v>
      </c>
      <c r="I95" s="1">
        <v>13</v>
      </c>
      <c r="J95" s="1" t="s">
        <v>86</v>
      </c>
      <c r="K95" s="1">
        <v>123</v>
      </c>
      <c r="L95" s="1">
        <v>2</v>
      </c>
      <c r="M95" s="1" t="s">
        <v>442</v>
      </c>
      <c r="N95" s="1" t="s">
        <v>441</v>
      </c>
      <c r="O95" s="1" t="s">
        <v>440</v>
      </c>
    </row>
    <row r="96" spans="1:15" x14ac:dyDescent="0.2">
      <c r="A96" s="1">
        <v>2009</v>
      </c>
      <c r="B96" s="25">
        <v>18600215</v>
      </c>
      <c r="C96" s="1" t="s">
        <v>103</v>
      </c>
      <c r="D96" s="1" t="s">
        <v>41</v>
      </c>
      <c r="E96" s="1" t="s">
        <v>97</v>
      </c>
      <c r="F96" s="1" t="s">
        <v>1100</v>
      </c>
      <c r="G96" s="1" t="s">
        <v>1100</v>
      </c>
      <c r="H96" s="1">
        <v>24</v>
      </c>
      <c r="I96" s="1">
        <v>24</v>
      </c>
      <c r="J96" s="1" t="s">
        <v>86</v>
      </c>
      <c r="K96" s="1">
        <v>180</v>
      </c>
      <c r="L96" s="1">
        <v>2</v>
      </c>
      <c r="M96" s="1" t="s">
        <v>439</v>
      </c>
      <c r="N96" s="1" t="s">
        <v>438</v>
      </c>
      <c r="O96" s="1" t="s">
        <v>437</v>
      </c>
    </row>
    <row r="97" spans="1:15" x14ac:dyDescent="0.2">
      <c r="A97" s="1">
        <v>2009</v>
      </c>
      <c r="B97" s="25">
        <v>19433778</v>
      </c>
      <c r="C97" s="1" t="s">
        <v>98</v>
      </c>
      <c r="D97" s="1" t="s">
        <v>41</v>
      </c>
      <c r="E97" s="1" t="s">
        <v>94</v>
      </c>
      <c r="F97" s="1" t="s">
        <v>95</v>
      </c>
      <c r="G97" s="1" t="s">
        <v>95</v>
      </c>
      <c r="H97" s="1">
        <v>24</v>
      </c>
      <c r="I97" s="1">
        <v>24</v>
      </c>
      <c r="J97" s="1" t="s">
        <v>86</v>
      </c>
      <c r="K97" s="1">
        <v>115</v>
      </c>
      <c r="L97" s="1">
        <v>2</v>
      </c>
      <c r="M97" s="1" t="s">
        <v>433</v>
      </c>
      <c r="N97" s="1" t="s">
        <v>434</v>
      </c>
      <c r="O97" s="1" t="s">
        <v>432</v>
      </c>
    </row>
    <row r="98" spans="1:15" x14ac:dyDescent="0.2">
      <c r="A98" s="1">
        <v>2010</v>
      </c>
      <c r="B98" s="25">
        <v>20524801</v>
      </c>
      <c r="C98" s="1" t="s">
        <v>118</v>
      </c>
      <c r="D98" s="1" t="s">
        <v>41</v>
      </c>
      <c r="E98" s="1" t="s">
        <v>94</v>
      </c>
      <c r="F98" s="1" t="s">
        <v>95</v>
      </c>
      <c r="G98" s="1" t="s">
        <v>95</v>
      </c>
      <c r="H98" s="1">
        <v>40</v>
      </c>
      <c r="I98" s="1">
        <v>40</v>
      </c>
      <c r="J98" s="1" t="s">
        <v>86</v>
      </c>
      <c r="K98" s="1">
        <v>165</v>
      </c>
      <c r="L98" s="1">
        <v>2</v>
      </c>
      <c r="M98" s="1" t="s">
        <v>431</v>
      </c>
      <c r="N98" s="1" t="s">
        <v>430</v>
      </c>
      <c r="O98" s="1" t="s">
        <v>429</v>
      </c>
    </row>
    <row r="99" spans="1:15" x14ac:dyDescent="0.2">
      <c r="A99" s="1">
        <v>2010</v>
      </c>
      <c r="B99" s="25">
        <v>20828223</v>
      </c>
      <c r="C99" s="1" t="s">
        <v>119</v>
      </c>
      <c r="D99" s="1" t="s">
        <v>41</v>
      </c>
      <c r="E99" s="1" t="s">
        <v>120</v>
      </c>
      <c r="F99" s="1" t="s">
        <v>1110</v>
      </c>
      <c r="G99" s="1" t="s">
        <v>1110</v>
      </c>
      <c r="H99" s="1" t="s">
        <v>121</v>
      </c>
      <c r="I99" s="1">
        <v>13</v>
      </c>
      <c r="J99" s="1" t="s">
        <v>86</v>
      </c>
      <c r="K99" s="1">
        <v>31</v>
      </c>
      <c r="L99" s="1">
        <v>2</v>
      </c>
      <c r="M99" s="1" t="s">
        <v>428</v>
      </c>
      <c r="N99" s="1" t="s">
        <v>427</v>
      </c>
      <c r="O99" s="1" t="s">
        <v>426</v>
      </c>
    </row>
    <row r="100" spans="1:15" x14ac:dyDescent="0.2">
      <c r="A100" s="4">
        <v>2010</v>
      </c>
      <c r="B100" s="25">
        <v>20653455</v>
      </c>
      <c r="C100" s="1" t="s">
        <v>122</v>
      </c>
      <c r="D100" s="1" t="s">
        <v>41</v>
      </c>
      <c r="E100" s="1" t="s">
        <v>120</v>
      </c>
      <c r="F100" s="1" t="s">
        <v>1110</v>
      </c>
      <c r="G100" s="1" t="s">
        <v>1110</v>
      </c>
      <c r="H100" s="1" t="s">
        <v>123</v>
      </c>
      <c r="I100" s="1">
        <v>7</v>
      </c>
      <c r="J100" s="1" t="s">
        <v>86</v>
      </c>
      <c r="K100" s="1">
        <v>203</v>
      </c>
      <c r="L100" s="1">
        <v>2</v>
      </c>
      <c r="M100" s="1" t="s">
        <v>425</v>
      </c>
      <c r="N100" s="1" t="s">
        <v>424</v>
      </c>
      <c r="O100" s="1" t="s">
        <v>423</v>
      </c>
    </row>
    <row r="101" spans="1:15" x14ac:dyDescent="0.2">
      <c r="A101" s="1">
        <v>2011</v>
      </c>
      <c r="B101" s="25">
        <v>21372694</v>
      </c>
      <c r="C101" s="1" t="s">
        <v>122</v>
      </c>
      <c r="D101" s="1" t="s">
        <v>41</v>
      </c>
      <c r="E101" s="1" t="s">
        <v>120</v>
      </c>
      <c r="F101" s="1" t="s">
        <v>1110</v>
      </c>
      <c r="G101" s="1" t="s">
        <v>1110</v>
      </c>
      <c r="H101" s="1" t="s">
        <v>123</v>
      </c>
      <c r="I101" s="1">
        <v>7</v>
      </c>
      <c r="J101" s="1" t="s">
        <v>86</v>
      </c>
      <c r="K101" s="1">
        <v>463</v>
      </c>
      <c r="L101" s="1">
        <v>2</v>
      </c>
      <c r="M101" s="1" t="s">
        <v>420</v>
      </c>
      <c r="N101" s="1" t="s">
        <v>421</v>
      </c>
      <c r="O101" s="1" t="s">
        <v>419</v>
      </c>
    </row>
    <row r="102" spans="1:15" x14ac:dyDescent="0.2">
      <c r="A102" s="1">
        <v>2017</v>
      </c>
      <c r="B102" s="25">
        <v>29106031</v>
      </c>
      <c r="C102" s="1" t="s">
        <v>122</v>
      </c>
      <c r="D102" s="1" t="s">
        <v>41</v>
      </c>
      <c r="E102" s="1" t="s">
        <v>120</v>
      </c>
      <c r="F102" s="1" t="s">
        <v>1110</v>
      </c>
      <c r="G102" s="1" t="s">
        <v>1110</v>
      </c>
      <c r="H102" s="1" t="s">
        <v>123</v>
      </c>
      <c r="I102" s="1">
        <v>7</v>
      </c>
      <c r="J102" s="1" t="s">
        <v>876</v>
      </c>
      <c r="K102" s="1">
        <v>23</v>
      </c>
      <c r="L102" s="1">
        <v>2</v>
      </c>
      <c r="M102" s="1" t="s">
        <v>936</v>
      </c>
      <c r="N102" s="1" t="s">
        <v>935</v>
      </c>
      <c r="O102" s="1" t="s">
        <v>937</v>
      </c>
    </row>
    <row r="103" spans="1:15" x14ac:dyDescent="0.2">
      <c r="A103" s="1">
        <v>2015</v>
      </c>
      <c r="B103" s="25">
        <v>25318654</v>
      </c>
      <c r="C103" s="1" t="s">
        <v>122</v>
      </c>
      <c r="D103" s="1" t="s">
        <v>41</v>
      </c>
      <c r="E103" s="1" t="s">
        <v>120</v>
      </c>
      <c r="F103" s="1" t="s">
        <v>1110</v>
      </c>
      <c r="G103" s="1" t="s">
        <v>1110</v>
      </c>
      <c r="H103" s="1" t="s">
        <v>123</v>
      </c>
      <c r="I103" s="1">
        <v>7</v>
      </c>
      <c r="J103" s="1" t="s">
        <v>993</v>
      </c>
      <c r="K103" s="1">
        <v>41</v>
      </c>
      <c r="L103" s="1">
        <v>2</v>
      </c>
      <c r="M103" s="1" t="s">
        <v>989</v>
      </c>
      <c r="N103" s="1" t="s">
        <v>991</v>
      </c>
      <c r="O103" s="1" t="s">
        <v>990</v>
      </c>
    </row>
    <row r="104" spans="1:15" x14ac:dyDescent="0.2">
      <c r="A104" s="1">
        <v>2016</v>
      </c>
      <c r="B104" s="25">
        <v>26989846</v>
      </c>
      <c r="C104" s="1" t="s">
        <v>956</v>
      </c>
      <c r="D104" s="1" t="s">
        <v>41</v>
      </c>
      <c r="E104" s="1" t="s">
        <v>120</v>
      </c>
      <c r="F104" s="1" t="s">
        <v>1110</v>
      </c>
      <c r="G104" s="1" t="s">
        <v>1110</v>
      </c>
      <c r="H104" s="1" t="s">
        <v>951</v>
      </c>
      <c r="I104" s="1">
        <v>24</v>
      </c>
      <c r="J104" s="1" t="s">
        <v>952</v>
      </c>
      <c r="K104" s="1">
        <v>68</v>
      </c>
      <c r="L104" s="1">
        <v>2</v>
      </c>
      <c r="M104" s="1" t="s">
        <v>953</v>
      </c>
      <c r="N104" s="1" t="s">
        <v>954</v>
      </c>
      <c r="O104" s="1" t="s">
        <v>955</v>
      </c>
    </row>
    <row r="105" spans="1:15" x14ac:dyDescent="0.2">
      <c r="A105" s="1">
        <v>2015</v>
      </c>
      <c r="B105" s="25">
        <v>26770548</v>
      </c>
      <c r="C105" s="1" t="s">
        <v>940</v>
      </c>
      <c r="D105" s="1" t="s">
        <v>41</v>
      </c>
      <c r="E105" s="1" t="s">
        <v>941</v>
      </c>
      <c r="F105" s="1" t="s">
        <v>942</v>
      </c>
      <c r="G105" s="1" t="s">
        <v>942</v>
      </c>
      <c r="H105" s="1" t="s">
        <v>943</v>
      </c>
      <c r="I105" s="1">
        <v>2</v>
      </c>
      <c r="J105" s="1" t="s">
        <v>944</v>
      </c>
      <c r="K105" s="1">
        <v>86</v>
      </c>
      <c r="L105" s="1">
        <v>2</v>
      </c>
      <c r="M105" s="1" t="s">
        <v>945</v>
      </c>
      <c r="N105" s="1" t="s">
        <v>946</v>
      </c>
      <c r="O105" s="1" t="s">
        <v>947</v>
      </c>
    </row>
    <row r="106" spans="1:15" x14ac:dyDescent="0.2">
      <c r="A106" s="4">
        <v>2011</v>
      </c>
      <c r="B106" s="25">
        <v>21471971</v>
      </c>
      <c r="C106" s="1" t="s">
        <v>124</v>
      </c>
      <c r="D106" s="1" t="s">
        <v>41</v>
      </c>
      <c r="E106" s="1" t="s">
        <v>125</v>
      </c>
      <c r="F106" s="1" t="s">
        <v>1101</v>
      </c>
      <c r="G106" s="1" t="s">
        <v>1101</v>
      </c>
      <c r="H106" s="1" t="s">
        <v>126</v>
      </c>
      <c r="I106" s="1">
        <v>6</v>
      </c>
      <c r="J106" s="1" t="s">
        <v>86</v>
      </c>
      <c r="K106" s="1">
        <v>80</v>
      </c>
      <c r="L106" s="1">
        <v>2</v>
      </c>
      <c r="M106" s="1" t="s">
        <v>411</v>
      </c>
      <c r="N106" s="1" t="s">
        <v>400</v>
      </c>
      <c r="O106" s="1" t="s">
        <v>410</v>
      </c>
    </row>
    <row r="107" spans="1:15" x14ac:dyDescent="0.2">
      <c r="A107" s="4">
        <v>2010</v>
      </c>
      <c r="B107" s="23">
        <v>20404743</v>
      </c>
      <c r="C107" s="1" t="s">
        <v>127</v>
      </c>
      <c r="D107" s="1" t="s">
        <v>41</v>
      </c>
      <c r="E107" s="1" t="s">
        <v>108</v>
      </c>
      <c r="F107" s="1" t="s">
        <v>109</v>
      </c>
      <c r="G107" s="1" t="s">
        <v>109</v>
      </c>
      <c r="H107" s="1">
        <v>9</v>
      </c>
      <c r="I107" s="1">
        <v>9</v>
      </c>
      <c r="J107" s="1" t="s">
        <v>86</v>
      </c>
      <c r="K107" s="1">
        <v>450</v>
      </c>
      <c r="L107" s="1">
        <v>2</v>
      </c>
      <c r="M107" s="1" t="s">
        <v>418</v>
      </c>
      <c r="N107" s="1" t="s">
        <v>417</v>
      </c>
      <c r="O107" s="1" t="s">
        <v>416</v>
      </c>
    </row>
    <row r="108" spans="1:15" x14ac:dyDescent="0.2">
      <c r="A108" s="1">
        <v>2013</v>
      </c>
      <c r="B108" s="25">
        <v>23004922</v>
      </c>
      <c r="C108" s="1" t="s">
        <v>113</v>
      </c>
      <c r="D108" s="1" t="s">
        <v>41</v>
      </c>
      <c r="E108" s="1" t="s">
        <v>66</v>
      </c>
      <c r="F108" s="1" t="s">
        <v>128</v>
      </c>
      <c r="G108" s="1" t="s">
        <v>128</v>
      </c>
      <c r="H108" s="1">
        <v>1</v>
      </c>
      <c r="I108" s="1">
        <v>1</v>
      </c>
      <c r="J108" s="1" t="s">
        <v>128</v>
      </c>
      <c r="K108" s="1">
        <v>350</v>
      </c>
      <c r="L108" s="1">
        <v>3</v>
      </c>
      <c r="M108" s="1" t="s">
        <v>409</v>
      </c>
      <c r="N108" s="1" t="s">
        <v>408</v>
      </c>
      <c r="O108" s="1" t="s">
        <v>407</v>
      </c>
    </row>
    <row r="109" spans="1:15" x14ac:dyDescent="0.2">
      <c r="A109" s="1">
        <v>2013</v>
      </c>
      <c r="B109" s="25">
        <v>23282124</v>
      </c>
      <c r="C109" s="1" t="s">
        <v>107</v>
      </c>
      <c r="D109" s="1" t="s">
        <v>41</v>
      </c>
      <c r="E109" s="1" t="s">
        <v>108</v>
      </c>
      <c r="F109" s="1" t="s">
        <v>109</v>
      </c>
      <c r="G109" s="1" t="s">
        <v>109</v>
      </c>
      <c r="H109" s="1">
        <v>7</v>
      </c>
      <c r="I109" s="1">
        <v>7</v>
      </c>
      <c r="J109" s="1" t="s">
        <v>86</v>
      </c>
      <c r="K109" s="1">
        <v>60</v>
      </c>
      <c r="L109" s="1">
        <v>2</v>
      </c>
      <c r="M109" s="1" t="s">
        <v>406</v>
      </c>
      <c r="N109" s="1" t="s">
        <v>404</v>
      </c>
      <c r="O109" s="1" t="s">
        <v>405</v>
      </c>
    </row>
    <row r="110" spans="1:15" x14ac:dyDescent="0.2">
      <c r="A110" s="1">
        <v>2015</v>
      </c>
      <c r="B110" s="25">
        <v>25259546</v>
      </c>
      <c r="C110" s="1" t="s">
        <v>107</v>
      </c>
      <c r="D110" s="1" t="s">
        <v>41</v>
      </c>
      <c r="E110" s="1" t="s">
        <v>108</v>
      </c>
      <c r="F110" s="1" t="s">
        <v>109</v>
      </c>
      <c r="G110" s="1" t="s">
        <v>109</v>
      </c>
      <c r="H110" s="1">
        <v>7</v>
      </c>
      <c r="I110" s="1">
        <v>7</v>
      </c>
      <c r="J110" s="1" t="s">
        <v>86</v>
      </c>
      <c r="K110" s="1">
        <v>639</v>
      </c>
      <c r="L110" s="1">
        <v>2</v>
      </c>
      <c r="M110" s="1" t="s">
        <v>402</v>
      </c>
      <c r="N110" s="1" t="s">
        <v>401</v>
      </c>
      <c r="O110" s="1" t="s">
        <v>403</v>
      </c>
    </row>
    <row r="111" spans="1:15" x14ac:dyDescent="0.2">
      <c r="A111" s="1">
        <v>2015</v>
      </c>
      <c r="B111" s="25">
        <v>25691622</v>
      </c>
      <c r="C111" s="1" t="s">
        <v>113</v>
      </c>
      <c r="D111" s="1" t="s">
        <v>41</v>
      </c>
      <c r="E111" s="1" t="s">
        <v>66</v>
      </c>
      <c r="F111" s="1" t="s">
        <v>66</v>
      </c>
      <c r="G111" s="1" t="s">
        <v>66</v>
      </c>
      <c r="H111" s="1">
        <v>1</v>
      </c>
      <c r="I111" s="1">
        <v>1</v>
      </c>
      <c r="J111" s="1" t="s">
        <v>86</v>
      </c>
      <c r="K111" s="1">
        <v>133</v>
      </c>
      <c r="L111" s="1">
        <v>2</v>
      </c>
      <c r="M111" s="1" t="s">
        <v>398</v>
      </c>
      <c r="N111" s="1" t="s">
        <v>397</v>
      </c>
      <c r="O111" s="1" t="s">
        <v>399</v>
      </c>
    </row>
    <row r="112" spans="1:15" x14ac:dyDescent="0.2">
      <c r="A112" s="1">
        <v>1966</v>
      </c>
      <c r="B112" s="25">
        <v>4379946</v>
      </c>
      <c r="C112" s="1" t="s">
        <v>129</v>
      </c>
      <c r="D112" s="1" t="s">
        <v>41</v>
      </c>
      <c r="E112" s="1" t="s">
        <v>1084</v>
      </c>
      <c r="F112" s="4" t="s">
        <v>1152</v>
      </c>
      <c r="G112" s="4" t="s">
        <v>1153</v>
      </c>
      <c r="H112" s="1">
        <v>8</v>
      </c>
      <c r="I112" s="1">
        <v>8</v>
      </c>
      <c r="J112" s="1" t="s">
        <v>131</v>
      </c>
      <c r="K112" s="1">
        <v>6</v>
      </c>
      <c r="L112" s="1">
        <v>2</v>
      </c>
      <c r="M112" s="1" t="s">
        <v>395</v>
      </c>
      <c r="N112" s="1" t="s">
        <v>394</v>
      </c>
      <c r="O112" s="1" t="s">
        <v>393</v>
      </c>
    </row>
    <row r="113" spans="1:15" x14ac:dyDescent="0.2">
      <c r="A113" s="1">
        <v>1978</v>
      </c>
      <c r="B113" s="25">
        <v>32044</v>
      </c>
      <c r="C113" s="1" t="s">
        <v>133</v>
      </c>
      <c r="D113" s="1" t="s">
        <v>41</v>
      </c>
      <c r="E113" s="1" t="s">
        <v>1084</v>
      </c>
      <c r="F113" s="4" t="s">
        <v>1152</v>
      </c>
      <c r="G113" s="4" t="s">
        <v>1153</v>
      </c>
      <c r="H113" s="1">
        <v>3.5</v>
      </c>
      <c r="I113" s="1">
        <v>3.5</v>
      </c>
      <c r="J113" s="1" t="s">
        <v>131</v>
      </c>
      <c r="K113" s="1">
        <v>10</v>
      </c>
      <c r="L113" s="1">
        <v>2</v>
      </c>
      <c r="M113" s="1" t="s">
        <v>391</v>
      </c>
      <c r="N113" s="1" t="s">
        <v>390</v>
      </c>
      <c r="O113" s="1" t="s">
        <v>392</v>
      </c>
    </row>
    <row r="114" spans="1:15" x14ac:dyDescent="0.2">
      <c r="A114" s="1">
        <v>2005</v>
      </c>
      <c r="B114" s="25">
        <v>15686600</v>
      </c>
      <c r="C114" s="1" t="s">
        <v>134</v>
      </c>
      <c r="D114" s="1" t="s">
        <v>41</v>
      </c>
      <c r="E114" s="1" t="s">
        <v>1084</v>
      </c>
      <c r="F114" s="4" t="s">
        <v>1152</v>
      </c>
      <c r="G114" s="4" t="s">
        <v>1153</v>
      </c>
      <c r="H114" s="1">
        <v>50</v>
      </c>
      <c r="I114" s="1">
        <v>50</v>
      </c>
      <c r="J114" s="1" t="s">
        <v>135</v>
      </c>
      <c r="K114" s="1">
        <v>663</v>
      </c>
      <c r="L114" s="1">
        <v>2</v>
      </c>
      <c r="M114" s="1" t="s">
        <v>389</v>
      </c>
      <c r="N114" s="1" t="s">
        <v>388</v>
      </c>
      <c r="O114" s="1" t="s">
        <v>387</v>
      </c>
    </row>
    <row r="115" spans="1:15" x14ac:dyDescent="0.2">
      <c r="A115" s="1">
        <v>2018</v>
      </c>
      <c r="B115" s="23">
        <v>30175249</v>
      </c>
      <c r="C115" s="1" t="s">
        <v>136</v>
      </c>
      <c r="D115" s="1" t="s">
        <v>71</v>
      </c>
      <c r="E115" s="1" t="s">
        <v>72</v>
      </c>
      <c r="F115" s="1" t="s">
        <v>136</v>
      </c>
      <c r="G115" s="1" t="s">
        <v>136</v>
      </c>
      <c r="J115" s="1" t="s">
        <v>137</v>
      </c>
      <c r="K115" s="1">
        <v>13</v>
      </c>
      <c r="L115" s="1">
        <v>2</v>
      </c>
      <c r="M115" s="1" t="s">
        <v>385</v>
      </c>
      <c r="N115" s="1" t="s">
        <v>384</v>
      </c>
      <c r="O115" s="1" t="s">
        <v>386</v>
      </c>
    </row>
    <row r="116" spans="1:15" x14ac:dyDescent="0.2">
      <c r="A116" s="1">
        <v>2013</v>
      </c>
      <c r="B116" s="25">
        <v>23536584</v>
      </c>
      <c r="C116" s="1" t="s">
        <v>138</v>
      </c>
      <c r="D116" s="1" t="s">
        <v>35</v>
      </c>
      <c r="E116" s="1" t="s">
        <v>139</v>
      </c>
      <c r="F116" s="1" t="s">
        <v>140</v>
      </c>
      <c r="G116" s="1" t="s">
        <v>140</v>
      </c>
      <c r="H116" s="1">
        <v>3</v>
      </c>
      <c r="I116" s="1">
        <v>3</v>
      </c>
      <c r="J116" s="1" t="s">
        <v>140</v>
      </c>
      <c r="K116" s="1">
        <v>680</v>
      </c>
      <c r="L116" s="1">
        <v>2</v>
      </c>
      <c r="M116" s="1" t="s">
        <v>383</v>
      </c>
      <c r="N116" s="1" t="s">
        <v>381</v>
      </c>
      <c r="O116" s="1" t="s">
        <v>382</v>
      </c>
    </row>
    <row r="117" spans="1:15" x14ac:dyDescent="0.2">
      <c r="A117" s="1">
        <v>2010</v>
      </c>
      <c r="B117" s="25">
        <v>21149757</v>
      </c>
      <c r="C117" s="1" t="s">
        <v>141</v>
      </c>
      <c r="D117" s="1" t="s">
        <v>41</v>
      </c>
      <c r="E117" s="1" t="s">
        <v>142</v>
      </c>
      <c r="F117" s="1" t="s">
        <v>349</v>
      </c>
      <c r="G117" s="1" t="s">
        <v>349</v>
      </c>
      <c r="H117" s="1">
        <v>48</v>
      </c>
      <c r="I117" s="1">
        <v>48</v>
      </c>
      <c r="J117" s="1" t="s">
        <v>143</v>
      </c>
      <c r="K117" s="1">
        <v>90</v>
      </c>
      <c r="L117" s="1">
        <v>2</v>
      </c>
      <c r="M117" s="1" t="s">
        <v>380</v>
      </c>
      <c r="N117" s="1" t="s">
        <v>379</v>
      </c>
      <c r="O117" s="1" t="s">
        <v>378</v>
      </c>
    </row>
    <row r="118" spans="1:15" x14ac:dyDescent="0.2">
      <c r="A118" s="1">
        <v>2011</v>
      </c>
      <c r="B118" s="25">
        <v>21785690</v>
      </c>
      <c r="C118" s="1" t="s">
        <v>141</v>
      </c>
      <c r="D118" s="1" t="s">
        <v>41</v>
      </c>
      <c r="E118" s="1" t="s">
        <v>142</v>
      </c>
      <c r="F118" s="1" t="s">
        <v>349</v>
      </c>
      <c r="G118" s="1" t="s">
        <v>349</v>
      </c>
      <c r="H118" s="1">
        <v>48</v>
      </c>
      <c r="I118" s="1">
        <v>48</v>
      </c>
      <c r="J118" s="1" t="s">
        <v>143</v>
      </c>
      <c r="K118" s="1">
        <v>152</v>
      </c>
      <c r="L118" s="1">
        <v>2</v>
      </c>
      <c r="M118" s="1" t="s">
        <v>368</v>
      </c>
      <c r="N118" s="1" t="s">
        <v>367</v>
      </c>
      <c r="O118" s="1" t="s">
        <v>366</v>
      </c>
    </row>
    <row r="119" spans="1:15" x14ac:dyDescent="0.2">
      <c r="A119" s="1">
        <v>2006</v>
      </c>
      <c r="B119" s="22">
        <v>17050216</v>
      </c>
      <c r="C119" s="1" t="s">
        <v>144</v>
      </c>
      <c r="D119" s="1" t="s">
        <v>41</v>
      </c>
      <c r="E119" s="1" t="s">
        <v>145</v>
      </c>
      <c r="F119" s="1" t="s">
        <v>146</v>
      </c>
      <c r="G119" s="1" t="s">
        <v>146</v>
      </c>
      <c r="H119" s="1" t="s">
        <v>340</v>
      </c>
      <c r="I119" s="1">
        <v>12</v>
      </c>
      <c r="J119" s="1" t="s">
        <v>146</v>
      </c>
      <c r="K119" s="1">
        <v>103</v>
      </c>
      <c r="L119" s="1">
        <v>2</v>
      </c>
      <c r="M119" s="1" t="s">
        <v>365</v>
      </c>
      <c r="N119" s="1" t="s">
        <v>363</v>
      </c>
      <c r="O119" s="1" t="s">
        <v>364</v>
      </c>
    </row>
    <row r="120" spans="1:15" x14ac:dyDescent="0.2">
      <c r="A120" s="1">
        <v>1996</v>
      </c>
      <c r="B120" s="23">
        <v>8973994</v>
      </c>
      <c r="C120" s="1" t="s">
        <v>147</v>
      </c>
      <c r="D120" s="1" t="s">
        <v>41</v>
      </c>
      <c r="E120" s="1" t="s">
        <v>148</v>
      </c>
      <c r="F120" s="1" t="s">
        <v>149</v>
      </c>
      <c r="G120" s="1" t="s">
        <v>149</v>
      </c>
      <c r="H120" s="1">
        <v>4.5</v>
      </c>
      <c r="I120" s="1">
        <v>4.5</v>
      </c>
      <c r="J120" s="1" t="s">
        <v>150</v>
      </c>
      <c r="K120" s="1">
        <v>10</v>
      </c>
      <c r="L120" s="1">
        <v>2</v>
      </c>
      <c r="M120" s="1" t="s">
        <v>362</v>
      </c>
      <c r="N120" s="1" t="s">
        <v>360</v>
      </c>
      <c r="O120" s="1" t="s">
        <v>361</v>
      </c>
    </row>
    <row r="121" spans="1:15" x14ac:dyDescent="0.2">
      <c r="A121" s="1">
        <v>2020</v>
      </c>
      <c r="B121" s="25">
        <v>32959110</v>
      </c>
      <c r="C121" s="1" t="s">
        <v>113</v>
      </c>
      <c r="D121" s="1" t="s">
        <v>41</v>
      </c>
      <c r="E121" s="1" t="s">
        <v>66</v>
      </c>
      <c r="F121" s="1" t="s">
        <v>66</v>
      </c>
      <c r="G121" s="1" t="s">
        <v>66</v>
      </c>
      <c r="H121" s="1">
        <v>1</v>
      </c>
      <c r="I121" s="1">
        <v>1</v>
      </c>
      <c r="J121" s="1" t="s">
        <v>153</v>
      </c>
      <c r="K121" s="1">
        <v>114</v>
      </c>
      <c r="L121" s="1">
        <v>2</v>
      </c>
      <c r="M121" s="1" t="s">
        <v>183</v>
      </c>
      <c r="N121" s="1" t="s">
        <v>163</v>
      </c>
      <c r="O121" s="1" t="s">
        <v>216</v>
      </c>
    </row>
    <row r="122" spans="1:15" x14ac:dyDescent="0.2">
      <c r="A122" s="1">
        <v>2018</v>
      </c>
      <c r="B122" s="25">
        <v>30484269</v>
      </c>
      <c r="C122" s="1" t="s">
        <v>113</v>
      </c>
      <c r="D122" s="1" t="s">
        <v>41</v>
      </c>
      <c r="E122" s="1" t="s">
        <v>66</v>
      </c>
      <c r="F122" s="1" t="s">
        <v>66</v>
      </c>
      <c r="G122" s="1" t="s">
        <v>66</v>
      </c>
      <c r="H122" s="1">
        <v>1</v>
      </c>
      <c r="I122" s="1">
        <v>1</v>
      </c>
      <c r="J122" s="1" t="s">
        <v>153</v>
      </c>
      <c r="K122" s="1">
        <v>175</v>
      </c>
      <c r="L122" s="1">
        <v>2</v>
      </c>
      <c r="M122" s="3" t="s">
        <v>184</v>
      </c>
      <c r="N122" s="1" t="s">
        <v>164</v>
      </c>
      <c r="O122" s="1" t="s">
        <v>215</v>
      </c>
    </row>
    <row r="123" spans="1:15" x14ac:dyDescent="0.2">
      <c r="A123" s="1">
        <v>2020</v>
      </c>
      <c r="B123" s="25">
        <v>32692732</v>
      </c>
      <c r="C123" s="1" t="s">
        <v>160</v>
      </c>
      <c r="D123" s="1" t="s">
        <v>35</v>
      </c>
      <c r="E123" s="1" t="s">
        <v>36</v>
      </c>
      <c r="F123" s="1" t="s">
        <v>161</v>
      </c>
      <c r="G123" s="1" t="s">
        <v>161</v>
      </c>
      <c r="J123" s="1" t="s">
        <v>162</v>
      </c>
      <c r="K123" s="1">
        <v>54</v>
      </c>
      <c r="L123" s="1">
        <v>2</v>
      </c>
      <c r="M123" s="1" t="s">
        <v>180</v>
      </c>
      <c r="N123" s="1" t="s">
        <v>168</v>
      </c>
      <c r="O123" s="1" t="s">
        <v>214</v>
      </c>
    </row>
    <row r="124" spans="1:15" x14ac:dyDescent="0.2">
      <c r="A124" s="1">
        <v>1967</v>
      </c>
      <c r="B124" s="23">
        <v>4864056</v>
      </c>
      <c r="C124" s="1" t="s">
        <v>310</v>
      </c>
      <c r="D124" s="1" t="s">
        <v>35</v>
      </c>
      <c r="E124" s="1" t="s">
        <v>36</v>
      </c>
      <c r="F124" s="1" t="s">
        <v>304</v>
      </c>
      <c r="G124" s="1" t="s">
        <v>304</v>
      </c>
      <c r="J124" s="1" t="s">
        <v>305</v>
      </c>
      <c r="K124" s="1">
        <v>40</v>
      </c>
      <c r="L124" s="1">
        <v>2</v>
      </c>
      <c r="M124" s="1" t="s">
        <v>309</v>
      </c>
      <c r="N124" s="1" t="s">
        <v>308</v>
      </c>
      <c r="O124" s="1" t="s">
        <v>307</v>
      </c>
    </row>
    <row r="125" spans="1:15" x14ac:dyDescent="0.2">
      <c r="A125" s="1">
        <v>2008</v>
      </c>
      <c r="B125" s="23">
        <v>18346041</v>
      </c>
      <c r="C125" s="1" t="s">
        <v>311</v>
      </c>
      <c r="D125" s="1" t="s">
        <v>35</v>
      </c>
      <c r="E125" s="1" t="s">
        <v>36</v>
      </c>
      <c r="F125" s="1" t="s">
        <v>312</v>
      </c>
      <c r="G125" s="1" t="s">
        <v>312</v>
      </c>
      <c r="J125" s="1" t="s">
        <v>313</v>
      </c>
      <c r="K125" s="1">
        <v>75</v>
      </c>
      <c r="L125" s="1">
        <v>2</v>
      </c>
      <c r="M125" s="1" t="s">
        <v>318</v>
      </c>
      <c r="N125" s="1" t="s">
        <v>319</v>
      </c>
      <c r="O125" s="1" t="s">
        <v>320</v>
      </c>
    </row>
    <row r="126" spans="1:15" x14ac:dyDescent="0.2">
      <c r="A126" s="1">
        <v>2008</v>
      </c>
      <c r="B126" s="23">
        <v>18346041</v>
      </c>
      <c r="C126" s="1" t="s">
        <v>314</v>
      </c>
      <c r="D126" s="1" t="s">
        <v>35</v>
      </c>
      <c r="E126" s="1" t="s">
        <v>36</v>
      </c>
      <c r="F126" s="1" t="s">
        <v>37</v>
      </c>
      <c r="G126" s="1" t="s">
        <v>37</v>
      </c>
      <c r="J126" s="1" t="s">
        <v>38</v>
      </c>
      <c r="K126" s="1">
        <v>89</v>
      </c>
      <c r="L126" s="1">
        <v>2</v>
      </c>
      <c r="M126" s="1" t="s">
        <v>318</v>
      </c>
      <c r="N126" s="1" t="s">
        <v>319</v>
      </c>
      <c r="O126" s="1" t="s">
        <v>320</v>
      </c>
    </row>
    <row r="127" spans="1:15" x14ac:dyDescent="0.2">
      <c r="A127" s="1">
        <v>2020</v>
      </c>
      <c r="B127" s="22">
        <v>32319740</v>
      </c>
      <c r="C127" s="1" t="s">
        <v>165</v>
      </c>
      <c r="D127" s="1" t="s">
        <v>1</v>
      </c>
      <c r="E127" s="1" t="s">
        <v>2</v>
      </c>
      <c r="F127" s="1" t="s">
        <v>3</v>
      </c>
      <c r="G127" s="1" t="s">
        <v>3</v>
      </c>
      <c r="H127" s="1">
        <v>9</v>
      </c>
      <c r="I127" s="1">
        <v>9</v>
      </c>
      <c r="J127" s="1" t="s">
        <v>4</v>
      </c>
      <c r="K127" s="1">
        <v>193</v>
      </c>
      <c r="L127" s="1">
        <v>6</v>
      </c>
      <c r="M127" s="1" t="s">
        <v>182</v>
      </c>
      <c r="N127" s="1" t="s">
        <v>167</v>
      </c>
      <c r="O127" s="1" t="s">
        <v>179</v>
      </c>
    </row>
    <row r="128" spans="1:15" x14ac:dyDescent="0.2">
      <c r="A128" s="4">
        <v>2019</v>
      </c>
      <c r="B128" s="22">
        <v>31982124</v>
      </c>
      <c r="C128" s="1" t="s">
        <v>170</v>
      </c>
      <c r="D128" s="1" t="s">
        <v>71</v>
      </c>
      <c r="E128" s="1" t="s">
        <v>72</v>
      </c>
      <c r="F128" s="1" t="s">
        <v>72</v>
      </c>
      <c r="G128" s="1" t="s">
        <v>72</v>
      </c>
      <c r="J128" s="1" t="s">
        <v>73</v>
      </c>
      <c r="K128" s="1">
        <v>14078</v>
      </c>
      <c r="L128" s="1">
        <v>2</v>
      </c>
      <c r="M128" s="1" t="s">
        <v>181</v>
      </c>
      <c r="N128" s="1" t="s">
        <v>175</v>
      </c>
      <c r="O128" s="1" t="s">
        <v>213</v>
      </c>
    </row>
    <row r="129" spans="1:15" x14ac:dyDescent="0.2">
      <c r="A129" s="4">
        <v>2007</v>
      </c>
      <c r="B129" s="22">
        <v>17239207</v>
      </c>
      <c r="C129" s="1" t="s">
        <v>185</v>
      </c>
      <c r="D129" s="1" t="s">
        <v>71</v>
      </c>
      <c r="E129" s="1" t="s">
        <v>72</v>
      </c>
      <c r="F129" s="1" t="s">
        <v>72</v>
      </c>
      <c r="G129" s="1" t="s">
        <v>72</v>
      </c>
      <c r="J129" s="1" t="s">
        <v>73</v>
      </c>
      <c r="K129" s="1">
        <v>3140</v>
      </c>
      <c r="L129" s="1">
        <v>2</v>
      </c>
      <c r="M129" s="1" t="s">
        <v>186</v>
      </c>
      <c r="N129" s="1" t="s">
        <v>188</v>
      </c>
      <c r="O129" s="1" t="s">
        <v>187</v>
      </c>
    </row>
    <row r="130" spans="1:15" x14ac:dyDescent="0.2">
      <c r="A130" s="4">
        <v>2009</v>
      </c>
      <c r="B130" s="22">
        <v>20029251</v>
      </c>
      <c r="C130" s="1" t="s">
        <v>185</v>
      </c>
      <c r="D130" s="1" t="s">
        <v>71</v>
      </c>
      <c r="E130" s="1" t="s">
        <v>72</v>
      </c>
      <c r="F130" s="1" t="s">
        <v>72</v>
      </c>
      <c r="G130" s="1" t="s">
        <v>72</v>
      </c>
      <c r="J130" s="1" t="s">
        <v>73</v>
      </c>
      <c r="K130" s="1">
        <v>18597</v>
      </c>
      <c r="L130" s="1">
        <v>11</v>
      </c>
      <c r="M130" s="1" t="s">
        <v>189</v>
      </c>
      <c r="N130" s="1" t="s">
        <v>191</v>
      </c>
      <c r="O130" s="1" t="s">
        <v>190</v>
      </c>
    </row>
    <row r="131" spans="1:15" x14ac:dyDescent="0.2">
      <c r="A131" s="1">
        <v>2019</v>
      </c>
      <c r="B131" s="25">
        <v>31641769</v>
      </c>
      <c r="C131" s="1" t="s">
        <v>358</v>
      </c>
      <c r="D131" s="1" t="s">
        <v>41</v>
      </c>
      <c r="E131" s="1" t="s">
        <v>559</v>
      </c>
      <c r="F131" s="1" t="s">
        <v>559</v>
      </c>
      <c r="G131" s="1" t="s">
        <v>559</v>
      </c>
      <c r="J131" s="1" t="s">
        <v>86</v>
      </c>
      <c r="K131" s="1">
        <v>19084</v>
      </c>
      <c r="L131" s="1">
        <v>2</v>
      </c>
      <c r="M131" s="1" t="s">
        <v>196</v>
      </c>
      <c r="N131" s="1" t="s">
        <v>194</v>
      </c>
      <c r="O131" s="1" t="s">
        <v>195</v>
      </c>
    </row>
    <row r="132" spans="1:15" x14ac:dyDescent="0.2">
      <c r="A132" s="6">
        <v>2019</v>
      </c>
      <c r="B132" s="25">
        <v>31575744</v>
      </c>
      <c r="C132" s="1" t="s">
        <v>199</v>
      </c>
      <c r="D132" s="1" t="s">
        <v>197</v>
      </c>
      <c r="E132" s="1" t="s">
        <v>198</v>
      </c>
      <c r="F132" s="1" t="s">
        <v>1100</v>
      </c>
      <c r="G132" s="1" t="s">
        <v>1100</v>
      </c>
      <c r="H132" s="1">
        <v>4</v>
      </c>
      <c r="I132" s="1">
        <v>4</v>
      </c>
      <c r="J132" s="1" t="s">
        <v>86</v>
      </c>
      <c r="K132" s="5">
        <v>1000</v>
      </c>
      <c r="L132" s="1" t="s">
        <v>166</v>
      </c>
      <c r="M132" s="1" t="s">
        <v>210</v>
      </c>
      <c r="N132" s="1" t="s">
        <v>200</v>
      </c>
      <c r="O132" s="1" t="s">
        <v>201</v>
      </c>
    </row>
    <row r="133" spans="1:15" x14ac:dyDescent="0.2">
      <c r="A133" s="4">
        <v>2020</v>
      </c>
      <c r="B133" s="22">
        <v>33065051</v>
      </c>
      <c r="C133" s="1" t="s">
        <v>202</v>
      </c>
      <c r="D133" s="1" t="s">
        <v>71</v>
      </c>
      <c r="E133" s="1" t="s">
        <v>72</v>
      </c>
      <c r="F133" s="1" t="s">
        <v>202</v>
      </c>
      <c r="G133" s="1" t="s">
        <v>202</v>
      </c>
      <c r="J133" s="1" t="s">
        <v>203</v>
      </c>
      <c r="K133" s="1">
        <v>187</v>
      </c>
      <c r="L133" s="1">
        <v>2</v>
      </c>
      <c r="M133" s="1" t="s">
        <v>204</v>
      </c>
      <c r="N133" s="1" t="s">
        <v>205</v>
      </c>
      <c r="O133" s="1" t="s">
        <v>206</v>
      </c>
    </row>
    <row r="134" spans="1:15" x14ac:dyDescent="0.2">
      <c r="A134" s="1">
        <v>2019</v>
      </c>
      <c r="B134" s="25">
        <v>31399175</v>
      </c>
      <c r="C134" s="1" t="s">
        <v>136</v>
      </c>
      <c r="D134" s="1" t="s">
        <v>71</v>
      </c>
      <c r="E134" s="1" t="s">
        <v>72</v>
      </c>
      <c r="F134" s="1" t="s">
        <v>136</v>
      </c>
      <c r="G134" s="1" t="s">
        <v>136</v>
      </c>
      <c r="J134" s="1" t="s">
        <v>208</v>
      </c>
      <c r="K134" s="1">
        <v>147</v>
      </c>
      <c r="L134" s="1">
        <v>2</v>
      </c>
      <c r="M134" s="1" t="s">
        <v>211</v>
      </c>
      <c r="N134" s="1" t="s">
        <v>209</v>
      </c>
      <c r="O134" s="1" t="s">
        <v>212</v>
      </c>
    </row>
    <row r="135" spans="1:15" x14ac:dyDescent="0.2">
      <c r="A135" s="1">
        <v>2018</v>
      </c>
      <c r="B135" s="25">
        <v>30364286</v>
      </c>
      <c r="C135" s="1" t="s">
        <v>217</v>
      </c>
      <c r="D135" s="1" t="s">
        <v>41</v>
      </c>
      <c r="E135" s="1" t="s">
        <v>218</v>
      </c>
      <c r="F135" s="1" t="s">
        <v>218</v>
      </c>
      <c r="G135" s="1" t="s">
        <v>218</v>
      </c>
      <c r="H135" s="1">
        <v>94</v>
      </c>
      <c r="I135" s="1">
        <v>94</v>
      </c>
      <c r="J135" s="1" t="s">
        <v>219</v>
      </c>
      <c r="K135" s="1">
        <v>143</v>
      </c>
      <c r="L135" s="1">
        <v>2</v>
      </c>
      <c r="M135" s="1" t="s">
        <v>221</v>
      </c>
      <c r="N135" s="1" t="s">
        <v>223</v>
      </c>
      <c r="O135" s="1" t="s">
        <v>222</v>
      </c>
    </row>
    <row r="136" spans="1:15" x14ac:dyDescent="0.2">
      <c r="A136" s="1">
        <v>2009</v>
      </c>
      <c r="B136" s="25">
        <v>19584184</v>
      </c>
      <c r="C136" s="1" t="s">
        <v>141</v>
      </c>
      <c r="D136" s="1" t="s">
        <v>41</v>
      </c>
      <c r="E136" s="1" t="s">
        <v>142</v>
      </c>
      <c r="F136" s="1" t="s">
        <v>349</v>
      </c>
      <c r="G136" s="1" t="s">
        <v>349</v>
      </c>
      <c r="H136" s="1">
        <v>48</v>
      </c>
      <c r="I136" s="1">
        <v>48</v>
      </c>
      <c r="J136" s="1" t="s">
        <v>143</v>
      </c>
      <c r="K136" s="1">
        <v>65</v>
      </c>
      <c r="L136" s="1">
        <v>2</v>
      </c>
      <c r="M136" s="1" t="s">
        <v>226</v>
      </c>
      <c r="N136" s="1" t="s">
        <v>224</v>
      </c>
      <c r="O136" s="1" t="s">
        <v>225</v>
      </c>
    </row>
    <row r="137" spans="1:15" x14ac:dyDescent="0.2">
      <c r="A137" s="1">
        <v>2001</v>
      </c>
      <c r="B137" s="25">
        <v>11346056</v>
      </c>
      <c r="C137" s="1" t="s">
        <v>141</v>
      </c>
      <c r="D137" s="1" t="s">
        <v>41</v>
      </c>
      <c r="E137" s="1" t="s">
        <v>142</v>
      </c>
      <c r="F137" s="1" t="s">
        <v>349</v>
      </c>
      <c r="G137" s="1" t="s">
        <v>349</v>
      </c>
      <c r="H137" s="1">
        <v>48</v>
      </c>
      <c r="I137" s="1">
        <v>48</v>
      </c>
      <c r="J137" s="1" t="s">
        <v>143</v>
      </c>
      <c r="K137" s="1">
        <v>15</v>
      </c>
      <c r="L137" s="1">
        <v>2</v>
      </c>
      <c r="M137" s="1" t="s">
        <v>228</v>
      </c>
      <c r="N137" s="1" t="s">
        <v>227</v>
      </c>
      <c r="O137" s="1" t="s">
        <v>229</v>
      </c>
    </row>
    <row r="138" spans="1:15" x14ac:dyDescent="0.2">
      <c r="A138" s="1">
        <v>2019</v>
      </c>
      <c r="B138" s="22">
        <v>30389261</v>
      </c>
      <c r="C138" s="1" t="s">
        <v>12</v>
      </c>
      <c r="D138" s="1" t="s">
        <v>13</v>
      </c>
      <c r="E138" s="1" t="s">
        <v>12</v>
      </c>
      <c r="F138" s="1" t="s">
        <v>14</v>
      </c>
      <c r="G138" s="1" t="s">
        <v>14</v>
      </c>
      <c r="J138" s="1" t="s">
        <v>24</v>
      </c>
      <c r="K138" s="1">
        <v>535</v>
      </c>
      <c r="L138" s="1">
        <v>2</v>
      </c>
      <c r="M138" s="1" t="s">
        <v>231</v>
      </c>
      <c r="N138" s="1" t="s">
        <v>230</v>
      </c>
      <c r="O138" s="1" t="s">
        <v>232</v>
      </c>
    </row>
    <row r="139" spans="1:15" x14ac:dyDescent="0.2">
      <c r="A139" s="1">
        <v>2014</v>
      </c>
      <c r="B139" s="22">
        <v>24152063</v>
      </c>
      <c r="C139" s="1" t="s">
        <v>233</v>
      </c>
      <c r="D139" s="1" t="s">
        <v>71</v>
      </c>
      <c r="E139" s="1" t="s">
        <v>72</v>
      </c>
      <c r="F139" s="1" t="s">
        <v>72</v>
      </c>
      <c r="G139" s="1" t="s">
        <v>72</v>
      </c>
      <c r="J139" s="1" t="s">
        <v>73</v>
      </c>
      <c r="K139" s="1">
        <v>1021</v>
      </c>
      <c r="L139" s="1">
        <v>2</v>
      </c>
      <c r="M139" s="4" t="s">
        <v>237</v>
      </c>
      <c r="N139" s="1" t="s">
        <v>236</v>
      </c>
      <c r="O139" s="1" t="s">
        <v>235</v>
      </c>
    </row>
    <row r="140" spans="1:15" x14ac:dyDescent="0.2">
      <c r="A140" s="1">
        <v>2019</v>
      </c>
      <c r="B140" s="25">
        <v>30346860</v>
      </c>
      <c r="C140" s="1" t="s">
        <v>113</v>
      </c>
      <c r="D140" s="1" t="s">
        <v>41</v>
      </c>
      <c r="E140" s="1" t="s">
        <v>66</v>
      </c>
      <c r="F140" s="1" t="s">
        <v>113</v>
      </c>
      <c r="G140" s="1" t="s">
        <v>113</v>
      </c>
      <c r="H140" s="1">
        <v>1</v>
      </c>
      <c r="I140" s="1">
        <v>1</v>
      </c>
      <c r="J140" s="1" t="s">
        <v>1055</v>
      </c>
      <c r="K140" s="1">
        <v>12</v>
      </c>
      <c r="L140" s="1">
        <v>2</v>
      </c>
      <c r="M140" s="1" t="s">
        <v>241</v>
      </c>
      <c r="N140" s="1" t="s">
        <v>239</v>
      </c>
      <c r="O140" s="1" t="s">
        <v>240</v>
      </c>
    </row>
    <row r="141" spans="1:15" x14ac:dyDescent="0.2">
      <c r="A141" s="1">
        <v>2021</v>
      </c>
      <c r="B141" s="25">
        <v>32838616</v>
      </c>
      <c r="C141" s="1" t="s">
        <v>113</v>
      </c>
      <c r="D141" s="1" t="s">
        <v>41</v>
      </c>
      <c r="E141" s="1" t="s">
        <v>66</v>
      </c>
      <c r="F141" s="1" t="s">
        <v>113</v>
      </c>
      <c r="G141" s="1" t="s">
        <v>113</v>
      </c>
      <c r="H141" s="1">
        <v>1</v>
      </c>
      <c r="I141" s="1">
        <v>1</v>
      </c>
      <c r="J141" s="1" t="s">
        <v>1285</v>
      </c>
      <c r="K141" s="1">
        <v>22</v>
      </c>
      <c r="L141" s="1">
        <v>2</v>
      </c>
      <c r="M141" s="1" t="s">
        <v>1286</v>
      </c>
      <c r="N141" s="1" t="s">
        <v>1287</v>
      </c>
      <c r="O141" s="1" t="s">
        <v>1288</v>
      </c>
    </row>
    <row r="142" spans="1:15" x14ac:dyDescent="0.2">
      <c r="A142" s="1">
        <v>2014</v>
      </c>
      <c r="B142" s="25">
        <v>25259747</v>
      </c>
      <c r="C142" s="1" t="s">
        <v>358</v>
      </c>
      <c r="D142" s="1" t="s">
        <v>41</v>
      </c>
      <c r="E142" s="1" t="s">
        <v>559</v>
      </c>
      <c r="F142" s="1" t="s">
        <v>559</v>
      </c>
      <c r="G142" s="1" t="s">
        <v>559</v>
      </c>
      <c r="J142" s="1" t="s">
        <v>1025</v>
      </c>
      <c r="K142" s="1">
        <v>41</v>
      </c>
      <c r="L142" s="1">
        <v>2</v>
      </c>
      <c r="M142" s="1" t="s">
        <v>1007</v>
      </c>
      <c r="N142" s="1" t="s">
        <v>1026</v>
      </c>
      <c r="O142" s="1" t="s">
        <v>1027</v>
      </c>
    </row>
    <row r="143" spans="1:15" x14ac:dyDescent="0.2">
      <c r="A143" s="1">
        <v>2020</v>
      </c>
      <c r="B143" s="25">
        <v>33994681</v>
      </c>
      <c r="C143" s="1" t="s">
        <v>358</v>
      </c>
      <c r="D143" s="1" t="s">
        <v>41</v>
      </c>
      <c r="E143" s="1" t="s">
        <v>559</v>
      </c>
      <c r="F143" s="1" t="s">
        <v>559</v>
      </c>
      <c r="G143" s="1" t="s">
        <v>559</v>
      </c>
      <c r="J143" s="1" t="s">
        <v>255</v>
      </c>
      <c r="K143" s="1">
        <v>75</v>
      </c>
      <c r="L143" s="1">
        <v>2</v>
      </c>
      <c r="M143" s="1" t="s">
        <v>923</v>
      </c>
      <c r="N143" s="1" t="s">
        <v>256</v>
      </c>
      <c r="O143" s="1" t="s">
        <v>257</v>
      </c>
    </row>
    <row r="144" spans="1:15" x14ac:dyDescent="0.2">
      <c r="A144" s="1">
        <v>2020</v>
      </c>
      <c r="B144" s="25">
        <v>33307854</v>
      </c>
      <c r="C144" s="1" t="s">
        <v>337</v>
      </c>
      <c r="D144" s="1" t="s">
        <v>35</v>
      </c>
      <c r="E144" s="1" t="s">
        <v>338</v>
      </c>
      <c r="F144" s="1" t="s">
        <v>339</v>
      </c>
      <c r="G144" s="1" t="s">
        <v>339</v>
      </c>
      <c r="J144" s="1" t="s">
        <v>341</v>
      </c>
      <c r="K144" s="1">
        <v>90</v>
      </c>
      <c r="L144" s="1">
        <v>2</v>
      </c>
      <c r="M144" s="1" t="s">
        <v>344</v>
      </c>
      <c r="N144" s="1" t="s">
        <v>342</v>
      </c>
      <c r="O144" s="1" t="s">
        <v>343</v>
      </c>
    </row>
    <row r="145" spans="1:15" x14ac:dyDescent="0.2">
      <c r="A145" s="1">
        <v>2021</v>
      </c>
      <c r="B145" s="22" t="s">
        <v>657</v>
      </c>
      <c r="C145" s="1" t="s">
        <v>1056</v>
      </c>
      <c r="D145" s="1" t="s">
        <v>35</v>
      </c>
      <c r="E145" s="1" t="s">
        <v>2</v>
      </c>
      <c r="F145" s="1" t="s">
        <v>3</v>
      </c>
      <c r="G145" s="1" t="s">
        <v>3</v>
      </c>
      <c r="H145" s="1">
        <v>1.8</v>
      </c>
      <c r="I145" s="1">
        <v>1.8</v>
      </c>
      <c r="J145" s="1" t="s">
        <v>658</v>
      </c>
      <c r="K145" s="1">
        <v>166</v>
      </c>
      <c r="L145" s="1">
        <v>2</v>
      </c>
      <c r="M145" s="1" t="s">
        <v>661</v>
      </c>
      <c r="N145" s="1" t="s">
        <v>660</v>
      </c>
      <c r="O145" s="1" t="s">
        <v>659</v>
      </c>
    </row>
    <row r="146" spans="1:15" x14ac:dyDescent="0.2">
      <c r="A146" s="1">
        <v>2013</v>
      </c>
      <c r="B146" s="26">
        <v>23172931</v>
      </c>
      <c r="C146" s="1" t="s">
        <v>358</v>
      </c>
      <c r="D146" s="1" t="s">
        <v>41</v>
      </c>
      <c r="E146" s="1" t="s">
        <v>559</v>
      </c>
      <c r="F146" s="1" t="s">
        <v>559</v>
      </c>
      <c r="G146" s="1" t="s">
        <v>559</v>
      </c>
      <c r="J146" s="1" t="s">
        <v>1004</v>
      </c>
      <c r="K146" s="1">
        <v>147</v>
      </c>
      <c r="L146" s="1">
        <v>2</v>
      </c>
      <c r="M146" s="1" t="s">
        <v>1007</v>
      </c>
      <c r="N146" s="1" t="s">
        <v>1005</v>
      </c>
      <c r="O146" s="1" t="s">
        <v>1006</v>
      </c>
    </row>
    <row r="147" spans="1:15" x14ac:dyDescent="0.2">
      <c r="A147" s="1">
        <v>2015</v>
      </c>
      <c r="B147" s="26" t="s">
        <v>1040</v>
      </c>
      <c r="C147" s="1" t="s">
        <v>113</v>
      </c>
      <c r="D147" s="1" t="s">
        <v>41</v>
      </c>
      <c r="E147" s="1" t="s">
        <v>66</v>
      </c>
      <c r="F147" s="1" t="s">
        <v>66</v>
      </c>
      <c r="G147" s="1" t="s">
        <v>66</v>
      </c>
      <c r="H147" s="1">
        <v>1</v>
      </c>
      <c r="I147" s="1">
        <v>1</v>
      </c>
      <c r="J147" s="1" t="s">
        <v>1041</v>
      </c>
      <c r="K147" s="1">
        <v>34</v>
      </c>
      <c r="L147" s="1">
        <v>2</v>
      </c>
      <c r="M147" s="1" t="s">
        <v>1042</v>
      </c>
      <c r="N147" s="1" t="s">
        <v>1043</v>
      </c>
      <c r="O147" s="1" t="s">
        <v>1044</v>
      </c>
    </row>
    <row r="148" spans="1:15" s="4" customFormat="1" x14ac:dyDescent="0.2">
      <c r="A148" s="4">
        <v>2017</v>
      </c>
      <c r="B148" s="25">
        <v>28598202</v>
      </c>
      <c r="C148" s="35" t="s">
        <v>99</v>
      </c>
      <c r="D148" s="35" t="s">
        <v>41</v>
      </c>
      <c r="E148" s="35" t="s">
        <v>97</v>
      </c>
      <c r="F148" s="35" t="s">
        <v>97</v>
      </c>
      <c r="G148" s="35" t="s">
        <v>1100</v>
      </c>
      <c r="H148" s="35">
        <v>40</v>
      </c>
      <c r="I148" s="35">
        <v>40</v>
      </c>
      <c r="J148" s="4" t="s">
        <v>1089</v>
      </c>
      <c r="K148" s="4">
        <v>6</v>
      </c>
      <c r="L148" s="4">
        <v>2</v>
      </c>
      <c r="M148" s="4" t="s">
        <v>1086</v>
      </c>
      <c r="N148" s="4" t="s">
        <v>1087</v>
      </c>
      <c r="O148" s="4" t="s">
        <v>1088</v>
      </c>
    </row>
    <row r="149" spans="1:15" s="4" customFormat="1" x14ac:dyDescent="0.2">
      <c r="A149" s="4">
        <v>2020</v>
      </c>
      <c r="B149" s="25">
        <v>31937532</v>
      </c>
      <c r="C149" s="4" t="s">
        <v>1050</v>
      </c>
      <c r="D149" s="4" t="s">
        <v>35</v>
      </c>
      <c r="E149" s="10" t="s">
        <v>1091</v>
      </c>
      <c r="F149" s="10" t="s">
        <v>1147</v>
      </c>
      <c r="G149" s="10" t="s">
        <v>1114</v>
      </c>
      <c r="H149" s="4">
        <v>40</v>
      </c>
      <c r="I149" s="4">
        <v>40</v>
      </c>
      <c r="J149" s="4" t="s">
        <v>1092</v>
      </c>
      <c r="K149" s="4">
        <v>217</v>
      </c>
      <c r="L149" s="4">
        <v>2</v>
      </c>
      <c r="M149" s="4" t="s">
        <v>1096</v>
      </c>
      <c r="N149" s="4" t="s">
        <v>1095</v>
      </c>
      <c r="O149" s="4" t="s">
        <v>1094</v>
      </c>
    </row>
    <row r="150" spans="1:15" s="4" customFormat="1" x14ac:dyDescent="0.2">
      <c r="A150" s="4">
        <v>2020</v>
      </c>
      <c r="B150" s="25">
        <v>32140867</v>
      </c>
      <c r="C150" s="4" t="s">
        <v>1105</v>
      </c>
      <c r="D150" s="4" t="s">
        <v>1067</v>
      </c>
      <c r="E150" s="4" t="s">
        <v>1104</v>
      </c>
      <c r="F150" s="4" t="s">
        <v>1103</v>
      </c>
      <c r="G150" s="4" t="s">
        <v>1103</v>
      </c>
      <c r="H150" s="4">
        <v>70</v>
      </c>
      <c r="I150" s="4">
        <v>70</v>
      </c>
      <c r="J150" s="4" t="s">
        <v>1102</v>
      </c>
      <c r="K150" s="4">
        <v>200</v>
      </c>
      <c r="L150" s="4">
        <v>2</v>
      </c>
      <c r="M150" s="4" t="s">
        <v>1108</v>
      </c>
      <c r="N150" s="4" t="s">
        <v>1107</v>
      </c>
      <c r="O150" s="4" t="s">
        <v>1106</v>
      </c>
    </row>
    <row r="151" spans="1:15" s="4" customFormat="1" x14ac:dyDescent="0.2">
      <c r="A151" s="4">
        <v>1996</v>
      </c>
      <c r="B151" s="24">
        <v>8728346</v>
      </c>
      <c r="C151" s="4" t="s">
        <v>1051</v>
      </c>
      <c r="J151" s="4" t="s">
        <v>1052</v>
      </c>
      <c r="M151" s="4" t="s">
        <v>1121</v>
      </c>
      <c r="N151" s="4" t="s">
        <v>1120</v>
      </c>
      <c r="O151" s="4" t="s">
        <v>1119</v>
      </c>
    </row>
    <row r="152" spans="1:15" s="4" customFormat="1" x14ac:dyDescent="0.2">
      <c r="A152" s="4">
        <v>2007</v>
      </c>
      <c r="B152" s="25">
        <v>17924891</v>
      </c>
      <c r="C152" s="4" t="s">
        <v>1053</v>
      </c>
      <c r="D152" s="4" t="s">
        <v>1</v>
      </c>
      <c r="E152" s="4" t="s">
        <v>55</v>
      </c>
      <c r="F152" s="4" t="s">
        <v>1130</v>
      </c>
      <c r="G152" s="4" t="s">
        <v>1130</v>
      </c>
      <c r="H152" s="4">
        <v>2</v>
      </c>
      <c r="I152" s="4">
        <v>2</v>
      </c>
      <c r="J152" s="4" t="s">
        <v>1054</v>
      </c>
      <c r="K152" s="4">
        <v>47</v>
      </c>
      <c r="L152" s="4">
        <v>2</v>
      </c>
      <c r="M152" s="4" t="s">
        <v>1124</v>
      </c>
      <c r="N152" s="4" t="s">
        <v>1123</v>
      </c>
      <c r="O152" s="4" t="s">
        <v>1122</v>
      </c>
    </row>
    <row r="153" spans="1:15" s="4" customFormat="1" x14ac:dyDescent="0.2">
      <c r="A153" s="4">
        <v>1999</v>
      </c>
      <c r="B153" s="24">
        <v>10507245</v>
      </c>
      <c r="C153" s="4" t="s">
        <v>1127</v>
      </c>
      <c r="D153" s="4" t="s">
        <v>41</v>
      </c>
      <c r="E153" s="4" t="s">
        <v>1128</v>
      </c>
      <c r="F153" s="4" t="s">
        <v>1129</v>
      </c>
      <c r="G153" s="4" t="s">
        <v>1129</v>
      </c>
      <c r="H153" s="4">
        <v>3</v>
      </c>
      <c r="I153" s="4">
        <v>3</v>
      </c>
      <c r="J153" s="4" t="s">
        <v>1055</v>
      </c>
      <c r="L153" s="4">
        <v>3</v>
      </c>
      <c r="M153" s="4" t="s">
        <v>1134</v>
      </c>
      <c r="N153" s="4" t="s">
        <v>1133</v>
      </c>
      <c r="O153" s="4" t="s">
        <v>1132</v>
      </c>
    </row>
    <row r="154" spans="1:15" s="4" customFormat="1" x14ac:dyDescent="0.2">
      <c r="A154" s="4">
        <v>2010</v>
      </c>
      <c r="B154" s="24">
        <v>20464647</v>
      </c>
      <c r="C154" s="4" t="s">
        <v>1057</v>
      </c>
      <c r="D154" s="4" t="s">
        <v>41</v>
      </c>
      <c r="E154" s="4" t="s">
        <v>55</v>
      </c>
      <c r="F154" s="4" t="s">
        <v>1131</v>
      </c>
      <c r="G154" s="4" t="s">
        <v>1131</v>
      </c>
      <c r="H154" s="4">
        <v>3.5</v>
      </c>
      <c r="I154" s="4">
        <v>3.5</v>
      </c>
      <c r="J154" s="4" t="s">
        <v>1138</v>
      </c>
      <c r="K154" s="4">
        <v>21</v>
      </c>
      <c r="L154" s="4">
        <v>2</v>
      </c>
      <c r="M154" s="4" t="s">
        <v>1137</v>
      </c>
      <c r="N154" s="4" t="s">
        <v>1135</v>
      </c>
      <c r="O154" s="4" t="s">
        <v>1136</v>
      </c>
    </row>
    <row r="155" spans="1:15" s="4" customFormat="1" x14ac:dyDescent="0.2">
      <c r="A155" s="4">
        <v>2011</v>
      </c>
      <c r="B155" s="24">
        <v>21452922</v>
      </c>
      <c r="C155" s="4" t="s">
        <v>1058</v>
      </c>
      <c r="D155" s="4" t="s">
        <v>41</v>
      </c>
      <c r="E155" s="4" t="s">
        <v>1146</v>
      </c>
      <c r="F155" s="4" t="s">
        <v>1139</v>
      </c>
      <c r="G155" s="4" t="s">
        <v>1148</v>
      </c>
      <c r="H155" s="4">
        <v>6</v>
      </c>
      <c r="I155" s="4">
        <v>6</v>
      </c>
      <c r="J155" s="4" t="s">
        <v>1061</v>
      </c>
      <c r="L155" s="4">
        <v>2</v>
      </c>
      <c r="M155" s="4" t="s">
        <v>1003</v>
      </c>
      <c r="N155" s="4" t="s">
        <v>1141</v>
      </c>
      <c r="O155" s="4" t="s">
        <v>1140</v>
      </c>
    </row>
    <row r="156" spans="1:15" s="4" customFormat="1" x14ac:dyDescent="0.2">
      <c r="A156" s="4">
        <v>1988</v>
      </c>
      <c r="B156" s="24">
        <v>3247592</v>
      </c>
      <c r="C156" s="4" t="s">
        <v>1059</v>
      </c>
      <c r="E156" s="4" t="s">
        <v>1084</v>
      </c>
      <c r="F156" s="4" t="s">
        <v>1145</v>
      </c>
      <c r="G156" s="4" t="s">
        <v>1142</v>
      </c>
      <c r="H156" s="4">
        <v>2.5</v>
      </c>
      <c r="I156" s="4">
        <v>2.5</v>
      </c>
      <c r="J156" s="4" t="s">
        <v>1060</v>
      </c>
      <c r="L156" s="4">
        <v>2</v>
      </c>
      <c r="M156" s="4" t="s">
        <v>1151</v>
      </c>
      <c r="N156" s="4" t="s">
        <v>1150</v>
      </c>
      <c r="O156" s="4" t="s">
        <v>1149</v>
      </c>
    </row>
    <row r="157" spans="1:15" s="4" customFormat="1" x14ac:dyDescent="0.2">
      <c r="A157" s="4">
        <v>2007</v>
      </c>
      <c r="B157" s="22">
        <v>17056624</v>
      </c>
      <c r="C157" s="4" t="s">
        <v>1154</v>
      </c>
      <c r="D157" s="4" t="s">
        <v>1</v>
      </c>
      <c r="E157" s="4" t="s">
        <v>1104</v>
      </c>
      <c r="F157" s="4" t="s">
        <v>42</v>
      </c>
      <c r="G157" s="4" t="s">
        <v>43</v>
      </c>
      <c r="H157" s="4">
        <v>3</v>
      </c>
      <c r="I157" s="4">
        <v>3</v>
      </c>
      <c r="J157" s="4" t="s">
        <v>1102</v>
      </c>
      <c r="K157" s="4">
        <v>17</v>
      </c>
      <c r="L157" s="4">
        <v>2</v>
      </c>
      <c r="M157" s="4" t="s">
        <v>1155</v>
      </c>
      <c r="N157" s="4" t="s">
        <v>1156</v>
      </c>
      <c r="O157" s="4" t="s">
        <v>1157</v>
      </c>
    </row>
    <row r="158" spans="1:15" s="4" customFormat="1" x14ac:dyDescent="0.2">
      <c r="A158" s="4">
        <v>2008</v>
      </c>
      <c r="B158" s="25">
        <v>18640826</v>
      </c>
      <c r="C158" s="4" t="s">
        <v>1062</v>
      </c>
      <c r="D158" s="4" t="s">
        <v>1196</v>
      </c>
      <c r="E158" s="4" t="s">
        <v>1104</v>
      </c>
      <c r="F158" s="4" t="s">
        <v>42</v>
      </c>
      <c r="G158" s="4" t="s">
        <v>43</v>
      </c>
      <c r="H158" s="4">
        <v>5</v>
      </c>
      <c r="I158" s="4">
        <v>5</v>
      </c>
      <c r="J158" s="4" t="s">
        <v>1063</v>
      </c>
      <c r="K158" s="4">
        <v>1022</v>
      </c>
      <c r="L158" s="4">
        <v>2</v>
      </c>
      <c r="M158" s="4" t="s">
        <v>1160</v>
      </c>
      <c r="N158" s="4" t="s">
        <v>1159</v>
      </c>
      <c r="O158" s="4" t="s">
        <v>1161</v>
      </c>
    </row>
    <row r="159" spans="1:15" s="4" customFormat="1" x14ac:dyDescent="0.2">
      <c r="A159" s="4">
        <v>2001</v>
      </c>
      <c r="B159" s="24">
        <v>11774862</v>
      </c>
      <c r="C159" s="4" t="s">
        <v>1064</v>
      </c>
      <c r="D159" s="4" t="s">
        <v>41</v>
      </c>
      <c r="E159" s="4" t="s">
        <v>49</v>
      </c>
      <c r="F159" s="4" t="s">
        <v>1171</v>
      </c>
      <c r="G159" s="4" t="s">
        <v>1171</v>
      </c>
      <c r="H159" s="4">
        <v>8</v>
      </c>
      <c r="I159" s="4">
        <v>8</v>
      </c>
      <c r="J159" s="4" t="s">
        <v>1065</v>
      </c>
      <c r="L159" s="4">
        <v>2</v>
      </c>
      <c r="M159" s="4" t="s">
        <v>1174</v>
      </c>
      <c r="N159" s="4" t="s">
        <v>1173</v>
      </c>
      <c r="O159" s="4" t="s">
        <v>1172</v>
      </c>
    </row>
    <row r="160" spans="1:15" s="27" customFormat="1" x14ac:dyDescent="0.2">
      <c r="A160" s="4">
        <v>2015</v>
      </c>
      <c r="B160" s="25">
        <v>25524950</v>
      </c>
      <c r="C160" s="4" t="s">
        <v>1066</v>
      </c>
      <c r="D160" s="4" t="s">
        <v>1067</v>
      </c>
      <c r="E160" s="4" t="s">
        <v>1176</v>
      </c>
      <c r="F160" s="4" t="s">
        <v>1176</v>
      </c>
      <c r="G160" s="4" t="s">
        <v>1176</v>
      </c>
      <c r="H160" s="4">
        <v>12</v>
      </c>
      <c r="I160" s="4">
        <v>12</v>
      </c>
      <c r="J160" s="4" t="s">
        <v>1175</v>
      </c>
      <c r="K160" s="4">
        <v>10</v>
      </c>
      <c r="L160" s="4">
        <v>2</v>
      </c>
      <c r="M160" s="4" t="s">
        <v>1178</v>
      </c>
      <c r="N160" s="4" t="s">
        <v>1177</v>
      </c>
      <c r="O160" s="4" t="s">
        <v>1179</v>
      </c>
    </row>
    <row r="161" spans="1:15" s="27" customFormat="1" x14ac:dyDescent="0.2">
      <c r="A161" s="4">
        <v>2013</v>
      </c>
      <c r="B161" s="25">
        <v>23323567</v>
      </c>
      <c r="C161" s="4" t="s">
        <v>1069</v>
      </c>
      <c r="D161" s="4" t="s">
        <v>41</v>
      </c>
      <c r="E161" s="4" t="s">
        <v>1071</v>
      </c>
      <c r="F161" s="4" t="s">
        <v>1072</v>
      </c>
      <c r="G161" s="4" t="s">
        <v>1072</v>
      </c>
      <c r="H161" s="4">
        <v>27.7</v>
      </c>
      <c r="I161" s="4">
        <v>27.7</v>
      </c>
      <c r="J161" s="4" t="s">
        <v>1070</v>
      </c>
      <c r="K161" s="4">
        <v>39</v>
      </c>
      <c r="L161" s="4">
        <v>2</v>
      </c>
      <c r="M161" s="4" t="s">
        <v>1268</v>
      </c>
      <c r="N161" s="4" t="s">
        <v>1267</v>
      </c>
      <c r="O161" s="4" t="s">
        <v>1266</v>
      </c>
    </row>
    <row r="162" spans="1:15" s="4" customFormat="1" x14ac:dyDescent="0.2">
      <c r="A162" s="4">
        <v>2014</v>
      </c>
      <c r="B162" s="25">
        <v>23972694</v>
      </c>
      <c r="C162" s="4" t="s">
        <v>1073</v>
      </c>
      <c r="D162" s="4" t="s">
        <v>41</v>
      </c>
      <c r="E162" s="4" t="s">
        <v>1075</v>
      </c>
      <c r="F162" s="4" t="s">
        <v>1076</v>
      </c>
      <c r="G162" s="4" t="s">
        <v>1076</v>
      </c>
      <c r="H162" s="4">
        <v>17</v>
      </c>
      <c r="I162" s="4">
        <v>17</v>
      </c>
      <c r="J162" s="4" t="s">
        <v>1074</v>
      </c>
      <c r="K162" s="4">
        <v>333</v>
      </c>
      <c r="L162" s="4">
        <v>2</v>
      </c>
      <c r="M162" s="4" t="s">
        <v>1280</v>
      </c>
      <c r="N162" s="4" t="s">
        <v>1279</v>
      </c>
      <c r="O162" s="4" t="s">
        <v>1278</v>
      </c>
    </row>
    <row r="163" spans="1:15" s="4" customFormat="1" x14ac:dyDescent="0.2">
      <c r="A163" s="4">
        <v>1990</v>
      </c>
      <c r="B163" s="24">
        <v>2294131</v>
      </c>
      <c r="C163" s="4" t="s">
        <v>1079</v>
      </c>
      <c r="D163" s="4" t="s">
        <v>1067</v>
      </c>
      <c r="E163" s="4" t="s">
        <v>1080</v>
      </c>
      <c r="F163" s="4" t="s">
        <v>349</v>
      </c>
      <c r="G163" s="4" t="s">
        <v>349</v>
      </c>
      <c r="J163" s="4" t="s">
        <v>1081</v>
      </c>
      <c r="K163" s="4">
        <v>8</v>
      </c>
      <c r="L163" s="4">
        <v>2</v>
      </c>
      <c r="M163" s="4" t="s">
        <v>1264</v>
      </c>
      <c r="N163" s="4" t="s">
        <v>1265</v>
      </c>
      <c r="O163" s="4" t="s">
        <v>1263</v>
      </c>
    </row>
    <row r="164" spans="1:15" s="4" customFormat="1" x14ac:dyDescent="0.2">
      <c r="A164" s="4">
        <v>1989</v>
      </c>
      <c r="B164" s="25">
        <v>2567265</v>
      </c>
      <c r="C164" s="4" t="s">
        <v>1082</v>
      </c>
      <c r="D164" s="4" t="s">
        <v>41</v>
      </c>
      <c r="E164" s="4" t="s">
        <v>1083</v>
      </c>
      <c r="F164" s="4" t="s">
        <v>1084</v>
      </c>
      <c r="G164" s="4" t="s">
        <v>1084</v>
      </c>
      <c r="H164" s="4">
        <v>25</v>
      </c>
      <c r="I164" s="4">
        <v>25</v>
      </c>
      <c r="J164" s="4" t="s">
        <v>811</v>
      </c>
      <c r="K164" s="4">
        <v>15</v>
      </c>
      <c r="L164" s="4">
        <v>3</v>
      </c>
      <c r="M164" s="4" t="s">
        <v>1256</v>
      </c>
      <c r="N164" s="4" t="s">
        <v>1255</v>
      </c>
      <c r="O164" s="4" t="s">
        <v>1254</v>
      </c>
    </row>
    <row r="165" spans="1:15" s="4" customFormat="1" x14ac:dyDescent="0.2">
      <c r="A165" s="4">
        <v>2017</v>
      </c>
      <c r="B165" s="22">
        <v>27864091</v>
      </c>
      <c r="C165" s="4" t="s">
        <v>1249</v>
      </c>
      <c r="D165" s="4" t="s">
        <v>1067</v>
      </c>
      <c r="E165" s="4" t="s">
        <v>1249</v>
      </c>
      <c r="F165" s="4" t="s">
        <v>1250</v>
      </c>
      <c r="G165" s="4" t="s">
        <v>1250</v>
      </c>
      <c r="J165" s="4" t="s">
        <v>396</v>
      </c>
      <c r="K165" s="4">
        <v>289</v>
      </c>
      <c r="L165" s="4">
        <v>2</v>
      </c>
      <c r="M165" s="4" t="s">
        <v>1252</v>
      </c>
      <c r="N165" s="4" t="s">
        <v>1253</v>
      </c>
      <c r="O165" s="4" t="s">
        <v>1251</v>
      </c>
    </row>
    <row r="166" spans="1:15" s="4" customFormat="1" x14ac:dyDescent="0.2">
      <c r="A166" s="4">
        <v>1991</v>
      </c>
      <c r="B166" s="24">
        <v>1818788</v>
      </c>
      <c r="C166" s="4" t="s">
        <v>1085</v>
      </c>
      <c r="D166" s="4" t="s">
        <v>41</v>
      </c>
      <c r="E166" s="4" t="s">
        <v>1085</v>
      </c>
      <c r="F166" s="4" t="s">
        <v>1085</v>
      </c>
      <c r="G166" s="4" t="s">
        <v>1085</v>
      </c>
      <c r="J166" s="4" t="s">
        <v>1246</v>
      </c>
      <c r="L166" s="4">
        <v>3</v>
      </c>
      <c r="M166" s="4" t="s">
        <v>1003</v>
      </c>
      <c r="N166" s="4" t="s">
        <v>1248</v>
      </c>
      <c r="O166" s="4" t="s">
        <v>1247</v>
      </c>
    </row>
    <row r="167" spans="1:15" s="4" customFormat="1" x14ac:dyDescent="0.2">
      <c r="A167" s="4">
        <v>2004</v>
      </c>
      <c r="B167" s="25">
        <v>15364161</v>
      </c>
      <c r="C167" s="4" t="s">
        <v>1066</v>
      </c>
      <c r="D167" s="4" t="s">
        <v>1067</v>
      </c>
      <c r="E167" s="4" t="s">
        <v>1176</v>
      </c>
      <c r="F167" s="4" t="s">
        <v>1176</v>
      </c>
      <c r="G167" s="4" t="s">
        <v>1176</v>
      </c>
      <c r="H167" s="4">
        <v>12</v>
      </c>
      <c r="I167" s="4">
        <v>12</v>
      </c>
      <c r="J167" s="4" t="s">
        <v>1185</v>
      </c>
      <c r="K167" s="4">
        <v>188</v>
      </c>
      <c r="L167" s="4">
        <v>2</v>
      </c>
      <c r="M167" s="4" t="s">
        <v>1188</v>
      </c>
      <c r="N167" s="4" t="s">
        <v>1187</v>
      </c>
      <c r="O167" s="4" t="s">
        <v>1186</v>
      </c>
    </row>
    <row r="168" spans="1:15" s="4" customFormat="1" x14ac:dyDescent="0.2">
      <c r="A168" s="4">
        <v>2019</v>
      </c>
      <c r="B168" s="25" t="s">
        <v>1189</v>
      </c>
      <c r="C168" s="4" t="s">
        <v>1192</v>
      </c>
      <c r="D168" s="4" t="s">
        <v>1196</v>
      </c>
      <c r="E168" s="4" t="s">
        <v>1193</v>
      </c>
      <c r="F168" s="4" t="s">
        <v>1194</v>
      </c>
      <c r="G168" s="4" t="s">
        <v>1194</v>
      </c>
      <c r="H168" s="4" t="s">
        <v>1197</v>
      </c>
      <c r="I168" s="4">
        <v>5</v>
      </c>
      <c r="J168" s="4" t="s">
        <v>1195</v>
      </c>
      <c r="K168" s="4">
        <v>37</v>
      </c>
      <c r="L168" s="4">
        <v>2</v>
      </c>
      <c r="O168" s="4" t="s">
        <v>1191</v>
      </c>
    </row>
    <row r="169" spans="1:15" x14ac:dyDescent="0.2">
      <c r="A169" s="1">
        <v>2016</v>
      </c>
      <c r="B169" s="26">
        <v>26823210</v>
      </c>
      <c r="C169" s="1" t="s">
        <v>1201</v>
      </c>
      <c r="D169" s="1" t="s">
        <v>1196</v>
      </c>
      <c r="E169" s="1" t="s">
        <v>1104</v>
      </c>
      <c r="F169" s="1" t="s">
        <v>42</v>
      </c>
      <c r="G169" s="1" t="s">
        <v>43</v>
      </c>
      <c r="H169" s="1">
        <v>24</v>
      </c>
      <c r="I169" s="1">
        <v>24</v>
      </c>
      <c r="J169" s="1" t="s">
        <v>1202</v>
      </c>
      <c r="K169" s="1">
        <v>21</v>
      </c>
      <c r="L169" s="1">
        <v>2</v>
      </c>
      <c r="M169" s="1" t="s">
        <v>1160</v>
      </c>
      <c r="N169" s="1" t="s">
        <v>1204</v>
      </c>
      <c r="O169" s="1" t="s">
        <v>1205</v>
      </c>
    </row>
    <row r="170" spans="1:15" x14ac:dyDescent="0.2">
      <c r="A170" s="1">
        <v>2013</v>
      </c>
      <c r="B170" s="26">
        <v>24200619</v>
      </c>
      <c r="C170" s="1" t="s">
        <v>1210</v>
      </c>
      <c r="D170" s="1" t="s">
        <v>1196</v>
      </c>
      <c r="E170" s="1" t="s">
        <v>1211</v>
      </c>
      <c r="F170" s="1" t="s">
        <v>1212</v>
      </c>
      <c r="G170" s="1" t="s">
        <v>1212</v>
      </c>
      <c r="H170" s="1" t="s">
        <v>1213</v>
      </c>
      <c r="I170" s="1">
        <v>2.5</v>
      </c>
      <c r="J170" s="1" t="s">
        <v>1214</v>
      </c>
      <c r="K170" s="1">
        <v>26</v>
      </c>
      <c r="L170" s="1">
        <v>2</v>
      </c>
      <c r="M170" s="1" t="s">
        <v>1160</v>
      </c>
      <c r="N170" s="1" t="s">
        <v>1216</v>
      </c>
      <c r="O170" s="1" t="s">
        <v>1215</v>
      </c>
    </row>
    <row r="171" spans="1:15" x14ac:dyDescent="0.2">
      <c r="A171" s="1">
        <v>2018</v>
      </c>
      <c r="B171" s="26">
        <v>30354703</v>
      </c>
      <c r="C171" s="1" t="s">
        <v>358</v>
      </c>
      <c r="D171" s="1" t="s">
        <v>41</v>
      </c>
      <c r="E171" s="1" t="s">
        <v>559</v>
      </c>
      <c r="F171" s="1" t="s">
        <v>559</v>
      </c>
      <c r="G171" s="1" t="s">
        <v>559</v>
      </c>
      <c r="J171" s="1" t="s">
        <v>1226</v>
      </c>
      <c r="K171" s="1">
        <v>95</v>
      </c>
      <c r="L171" s="1">
        <v>2</v>
      </c>
      <c r="M171" s="1" t="s">
        <v>1007</v>
      </c>
      <c r="N171" s="1" t="s">
        <v>1225</v>
      </c>
      <c r="O171" s="1" t="s">
        <v>1224</v>
      </c>
    </row>
    <row r="172" spans="1:15" x14ac:dyDescent="0.2">
      <c r="A172" s="1">
        <v>2018</v>
      </c>
      <c r="B172" s="23">
        <v>28661585</v>
      </c>
      <c r="C172" s="4" t="s">
        <v>1066</v>
      </c>
      <c r="D172" s="4" t="s">
        <v>1067</v>
      </c>
      <c r="E172" s="4" t="s">
        <v>1176</v>
      </c>
      <c r="F172" s="4" t="s">
        <v>1176</v>
      </c>
      <c r="G172" s="4" t="s">
        <v>1176</v>
      </c>
      <c r="H172" s="4">
        <v>12</v>
      </c>
      <c r="I172" s="4">
        <v>12</v>
      </c>
      <c r="J172" s="4" t="s">
        <v>1185</v>
      </c>
      <c r="K172" s="1">
        <v>549</v>
      </c>
      <c r="L172" s="1">
        <v>2</v>
      </c>
      <c r="M172" s="1" t="s">
        <v>1231</v>
      </c>
      <c r="N172" s="1" t="s">
        <v>1230</v>
      </c>
      <c r="O172" s="1" t="s">
        <v>1229</v>
      </c>
    </row>
    <row r="173" spans="1:15" x14ac:dyDescent="0.2">
      <c r="A173" s="1">
        <v>2019</v>
      </c>
      <c r="B173" s="26" t="s">
        <v>1237</v>
      </c>
      <c r="C173" s="1" t="s">
        <v>1238</v>
      </c>
      <c r="D173" s="1" t="s">
        <v>41</v>
      </c>
      <c r="E173" s="1" t="s">
        <v>1233</v>
      </c>
      <c r="F173" s="1" t="s">
        <v>1232</v>
      </c>
      <c r="H173" s="1">
        <v>5</v>
      </c>
      <c r="I173" s="1">
        <v>5</v>
      </c>
      <c r="J173" s="1" t="s">
        <v>1234</v>
      </c>
      <c r="K173" s="1">
        <v>21</v>
      </c>
      <c r="L173" s="1">
        <v>2</v>
      </c>
      <c r="O173" s="1" t="s">
        <v>1235</v>
      </c>
    </row>
    <row r="174" spans="1:15" x14ac:dyDescent="0.2">
      <c r="B174" s="26"/>
    </row>
    <row r="175" spans="1:15" x14ac:dyDescent="0.2">
      <c r="B175" s="4" t="s">
        <v>1316</v>
      </c>
    </row>
    <row r="176" spans="1:15" x14ac:dyDescent="0.2">
      <c r="B176" s="24" t="s">
        <v>1317</v>
      </c>
    </row>
    <row r="177" spans="2:2" x14ac:dyDescent="0.2">
      <c r="B177" s="22" t="s">
        <v>1318</v>
      </c>
    </row>
    <row r="178" spans="2:2" x14ac:dyDescent="0.2">
      <c r="B178" s="23" t="s">
        <v>1319</v>
      </c>
    </row>
    <row r="179" spans="2:2" x14ac:dyDescent="0.2">
      <c r="B179" s="41" t="s">
        <v>1320</v>
      </c>
    </row>
  </sheetData>
  <autoFilter ref="A1:O143" xr:uid="{D2A13CD1-2326-5143-880E-7746D6039DC2}"/>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7178-3CD8-0741-A353-28C1CA4FD84E}">
  <dimension ref="A1:AN62"/>
  <sheetViews>
    <sheetView zoomScale="90" zoomScaleNormal="90" workbookViewId="0">
      <pane ySplit="1" topLeftCell="A2" activePane="bottomLeft" state="frozen"/>
      <selection pane="bottomLeft" activeCell="C26" sqref="C26"/>
    </sheetView>
  </sheetViews>
  <sheetFormatPr baseColWidth="10" defaultRowHeight="16" x14ac:dyDescent="0.2"/>
  <cols>
    <col min="1" max="1" width="7.33203125" style="8" bestFit="1" customWidth="1"/>
    <col min="2" max="2" width="15.83203125" style="8" customWidth="1"/>
    <col min="3" max="3" width="23.5" style="8" customWidth="1"/>
    <col min="4" max="4" width="5.33203125" style="8" customWidth="1"/>
    <col min="5" max="5" width="9.5" style="8" customWidth="1"/>
    <col min="6" max="6" width="9.33203125" style="8" customWidth="1"/>
    <col min="7" max="7" width="11.5" style="8" customWidth="1"/>
    <col min="8" max="8" width="9.5" style="8" customWidth="1"/>
    <col min="9" max="9" width="10.1640625" style="8" customWidth="1"/>
    <col min="10" max="10" width="11.33203125" style="8" customWidth="1"/>
    <col min="11" max="11" width="25.1640625" style="8" customWidth="1"/>
    <col min="12" max="14" width="8.6640625" style="8" customWidth="1"/>
    <col min="15" max="15" width="12.5" style="8" customWidth="1"/>
    <col min="16" max="16" width="8.1640625" style="8" customWidth="1"/>
    <col min="17" max="17" width="7.33203125" style="8" customWidth="1"/>
    <col min="18" max="18" width="11.33203125" style="8" customWidth="1"/>
    <col min="19" max="19" width="10.1640625" style="8" customWidth="1"/>
    <col min="20" max="20" width="8" style="31" customWidth="1"/>
    <col min="21" max="21" width="22.83203125" style="8" customWidth="1"/>
    <col min="22" max="22" width="9" style="8" customWidth="1"/>
    <col min="23" max="24" width="11.1640625" style="9" bestFit="1" customWidth="1"/>
    <col min="25" max="25" width="11.1640625" style="9" customWidth="1"/>
    <col min="26" max="26" width="10" style="9" bestFit="1" customWidth="1"/>
    <col min="27" max="28" width="7.33203125" style="14" bestFit="1" customWidth="1"/>
    <col min="29" max="29" width="11" style="9" customWidth="1"/>
    <col min="30" max="30" width="11.1640625" style="9" bestFit="1" customWidth="1"/>
    <col min="31" max="31" width="8.6640625" style="9" customWidth="1"/>
    <col min="32" max="32" width="9.5" style="9" customWidth="1"/>
    <col min="33" max="33" width="8.33203125" style="9" customWidth="1"/>
    <col min="34" max="34" width="7.1640625" style="9" customWidth="1"/>
    <col min="35" max="35" width="25.83203125" style="9" customWidth="1"/>
    <col min="36" max="36" width="9.6640625" style="9" customWidth="1"/>
    <col min="37" max="37" width="9.5" style="9" customWidth="1"/>
    <col min="38" max="38" width="7.33203125" style="9" customWidth="1"/>
    <col min="39" max="39" width="16.1640625" style="8" customWidth="1"/>
    <col min="40" max="40" width="15" style="8" customWidth="1"/>
    <col min="41" max="41" width="17.33203125" style="8" customWidth="1"/>
    <col min="42" max="42" width="13.6640625" style="8" bestFit="1" customWidth="1"/>
    <col min="43" max="16384" width="10.83203125" style="8"/>
  </cols>
  <sheetData>
    <row r="1" spans="1:40" x14ac:dyDescent="0.2">
      <c r="A1" s="8" t="s">
        <v>154</v>
      </c>
      <c r="B1" s="8" t="s">
        <v>1190</v>
      </c>
      <c r="C1" s="8" t="s">
        <v>169</v>
      </c>
      <c r="D1" s="8" t="s">
        <v>905</v>
      </c>
      <c r="E1" s="8" t="s">
        <v>904</v>
      </c>
      <c r="F1" s="8" t="s">
        <v>345</v>
      </c>
      <c r="G1" s="8" t="s">
        <v>1163</v>
      </c>
      <c r="H1" s="8" t="s">
        <v>1164</v>
      </c>
      <c r="I1" s="8" t="s">
        <v>685</v>
      </c>
      <c r="J1" s="8" t="s">
        <v>346</v>
      </c>
      <c r="K1" s="8" t="s">
        <v>151</v>
      </c>
      <c r="L1" s="8" t="s">
        <v>155</v>
      </c>
      <c r="M1" s="8" t="s">
        <v>327</v>
      </c>
      <c r="N1" s="8" t="s">
        <v>767</v>
      </c>
      <c r="O1" s="8" t="s">
        <v>670</v>
      </c>
      <c r="P1" s="8" t="s">
        <v>919</v>
      </c>
      <c r="Q1" s="8" t="s">
        <v>152</v>
      </c>
      <c r="R1" s="8" t="s">
        <v>347</v>
      </c>
      <c r="S1" s="8" t="s">
        <v>921</v>
      </c>
      <c r="T1" s="31" t="s">
        <v>922</v>
      </c>
      <c r="U1" s="8" t="s">
        <v>783</v>
      </c>
      <c r="V1" s="8" t="s">
        <v>636</v>
      </c>
      <c r="W1" s="9" t="s">
        <v>633</v>
      </c>
      <c r="X1" s="9" t="s">
        <v>634</v>
      </c>
      <c r="Y1" s="9" t="s">
        <v>626</v>
      </c>
      <c r="Z1" s="9" t="s">
        <v>627</v>
      </c>
      <c r="AA1" s="14" t="s">
        <v>629</v>
      </c>
      <c r="AB1" s="14" t="s">
        <v>630</v>
      </c>
      <c r="AC1" s="9" t="s">
        <v>628</v>
      </c>
      <c r="AD1" s="9" t="s">
        <v>631</v>
      </c>
      <c r="AE1" s="9" t="s">
        <v>632</v>
      </c>
      <c r="AF1" s="9" t="s">
        <v>678</v>
      </c>
      <c r="AG1" s="9" t="s">
        <v>782</v>
      </c>
      <c r="AH1" s="9" t="s">
        <v>1199</v>
      </c>
      <c r="AI1" s="9" t="s">
        <v>784</v>
      </c>
      <c r="AJ1" s="9" t="s">
        <v>325</v>
      </c>
      <c r="AK1" s="9" t="s">
        <v>1292</v>
      </c>
      <c r="AL1" s="9" t="s">
        <v>1290</v>
      </c>
      <c r="AM1" s="8" t="s">
        <v>324</v>
      </c>
      <c r="AN1" s="8" t="s">
        <v>1303</v>
      </c>
    </row>
    <row r="2" spans="1:40" s="10" customFormat="1" x14ac:dyDescent="0.2">
      <c r="A2" s="11">
        <v>2020</v>
      </c>
      <c r="B2" s="10">
        <v>32959110</v>
      </c>
      <c r="C2" s="10" t="s">
        <v>113</v>
      </c>
      <c r="D2" s="10" t="s">
        <v>906</v>
      </c>
      <c r="E2" s="10" t="s">
        <v>157</v>
      </c>
      <c r="F2" s="10" t="s">
        <v>66</v>
      </c>
      <c r="G2" s="10" t="s">
        <v>66</v>
      </c>
      <c r="H2" s="10" t="s">
        <v>66</v>
      </c>
      <c r="I2" s="10">
        <v>1</v>
      </c>
      <c r="J2" s="10" t="s">
        <v>910</v>
      </c>
      <c r="K2" s="10" t="s">
        <v>910</v>
      </c>
      <c r="L2" s="10" t="s">
        <v>156</v>
      </c>
      <c r="M2" s="10" t="s">
        <v>902</v>
      </c>
      <c r="N2" s="10" t="s">
        <v>766</v>
      </c>
      <c r="P2" s="10" t="s">
        <v>911</v>
      </c>
      <c r="Q2" s="10">
        <v>2</v>
      </c>
      <c r="R2" s="10">
        <v>114</v>
      </c>
      <c r="S2" s="10">
        <v>60.1</v>
      </c>
      <c r="T2" s="13">
        <v>33</v>
      </c>
      <c r="U2" s="11" t="s">
        <v>637</v>
      </c>
      <c r="V2" s="11" t="s">
        <v>635</v>
      </c>
      <c r="W2" s="18">
        <v>125.2</v>
      </c>
      <c r="X2" s="18">
        <v>120.1</v>
      </c>
      <c r="Y2" s="18">
        <v>7</v>
      </c>
      <c r="Z2" s="18">
        <v>6.9</v>
      </c>
      <c r="AA2" s="17">
        <v>58</v>
      </c>
      <c r="AB2" s="17">
        <v>56</v>
      </c>
      <c r="AC2" s="18">
        <f>W2-X2</f>
        <v>5.1000000000000085</v>
      </c>
      <c r="AD2" s="18">
        <f>SQRT(((AA2-1)*Y2^2+(AB2-1)*Z2^2)/(AA2+AB2-2))</f>
        <v>6.9510726304855792</v>
      </c>
      <c r="AE2" s="18">
        <f>AC2/AD2</f>
        <v>0.73369971385894428</v>
      </c>
      <c r="AF2" s="20">
        <f>SQRT(((AA2+AB2)/(AA2*AB2)+(AE2^2/(2*(AA2+AB2)))))</f>
        <v>0.19354470815283073</v>
      </c>
      <c r="AG2" s="20" t="s">
        <v>193</v>
      </c>
      <c r="AH2" s="18"/>
      <c r="AI2" s="18" t="s">
        <v>780</v>
      </c>
      <c r="AJ2" s="18" t="s">
        <v>348</v>
      </c>
      <c r="AK2" s="18"/>
      <c r="AL2" s="18"/>
      <c r="AM2" s="10" t="s">
        <v>745</v>
      </c>
      <c r="AN2" s="10" t="s">
        <v>157</v>
      </c>
    </row>
    <row r="3" spans="1:40" s="10" customFormat="1" x14ac:dyDescent="0.2">
      <c r="A3" s="10">
        <v>2020</v>
      </c>
      <c r="B3" s="10">
        <v>32959110</v>
      </c>
      <c r="C3" s="10" t="s">
        <v>113</v>
      </c>
      <c r="D3" s="10" t="s">
        <v>906</v>
      </c>
      <c r="E3" s="10" t="s">
        <v>157</v>
      </c>
      <c r="F3" s="10" t="s">
        <v>66</v>
      </c>
      <c r="G3" s="10" t="s">
        <v>66</v>
      </c>
      <c r="H3" s="10" t="s">
        <v>66</v>
      </c>
      <c r="I3" s="10">
        <v>1</v>
      </c>
      <c r="J3" s="10" t="s">
        <v>910</v>
      </c>
      <c r="K3" s="10" t="s">
        <v>910</v>
      </c>
      <c r="L3" s="10" t="s">
        <v>156</v>
      </c>
      <c r="M3" s="10" t="s">
        <v>902</v>
      </c>
      <c r="N3" s="10" t="s">
        <v>766</v>
      </c>
      <c r="P3" s="10" t="s">
        <v>911</v>
      </c>
      <c r="Q3" s="10">
        <v>2</v>
      </c>
      <c r="R3" s="10">
        <v>114</v>
      </c>
      <c r="S3" s="10">
        <v>60.1</v>
      </c>
      <c r="T3" s="13">
        <v>33</v>
      </c>
      <c r="U3" s="11" t="s">
        <v>638</v>
      </c>
      <c r="V3" s="11" t="s">
        <v>635</v>
      </c>
      <c r="W3" s="18">
        <v>78.400000000000006</v>
      </c>
      <c r="X3" s="18">
        <v>74.5</v>
      </c>
      <c r="Y3" s="18">
        <v>4.5999999999999996</v>
      </c>
      <c r="Z3" s="18">
        <v>5.3</v>
      </c>
      <c r="AA3" s="17">
        <v>58</v>
      </c>
      <c r="AB3" s="17">
        <v>56</v>
      </c>
      <c r="AC3" s="18">
        <f t="shared" ref="AC3:AC12" si="0">W3-X3</f>
        <v>3.9000000000000057</v>
      </c>
      <c r="AD3" s="18">
        <f t="shared" ref="AD3:AD12" si="1">SQRT(((AA3-1)*Y3^2+(AB3-1)*Z3^2)/(AA3+AB3-2))</f>
        <v>4.9561199541576872</v>
      </c>
      <c r="AE3" s="18">
        <f t="shared" ref="AE3:AE12" si="2">AC3/AD3</f>
        <v>0.78690589333462302</v>
      </c>
      <c r="AF3" s="20">
        <f t="shared" ref="AF3:AF12" si="3">SQRT(((AA3+AB3)/(AA3*AB3)+(AE3^2/(2*(AA3+AB3)))))</f>
        <v>0.19445925856562996</v>
      </c>
      <c r="AG3" s="20" t="s">
        <v>193</v>
      </c>
      <c r="AH3" s="18"/>
      <c r="AI3" s="18" t="s">
        <v>780</v>
      </c>
      <c r="AJ3" s="18" t="s">
        <v>348</v>
      </c>
      <c r="AK3" s="18"/>
      <c r="AL3" s="18"/>
      <c r="AM3" s="10" t="s">
        <v>745</v>
      </c>
      <c r="AN3" s="10" t="s">
        <v>157</v>
      </c>
    </row>
    <row r="4" spans="1:40" s="10" customFormat="1" x14ac:dyDescent="0.2">
      <c r="A4" s="10">
        <v>2020</v>
      </c>
      <c r="B4" s="10">
        <v>32959110</v>
      </c>
      <c r="C4" s="10" t="s">
        <v>113</v>
      </c>
      <c r="D4" s="10" t="s">
        <v>906</v>
      </c>
      <c r="E4" s="10" t="s">
        <v>157</v>
      </c>
      <c r="F4" s="10" t="s">
        <v>66</v>
      </c>
      <c r="G4" s="10" t="s">
        <v>66</v>
      </c>
      <c r="H4" s="10" t="s">
        <v>66</v>
      </c>
      <c r="I4" s="10">
        <v>1</v>
      </c>
      <c r="J4" s="10" t="s">
        <v>910</v>
      </c>
      <c r="K4" s="10" t="s">
        <v>910</v>
      </c>
      <c r="L4" s="10" t="s">
        <v>156</v>
      </c>
      <c r="M4" s="10" t="s">
        <v>902</v>
      </c>
      <c r="N4" s="10" t="s">
        <v>766</v>
      </c>
      <c r="P4" s="10" t="s">
        <v>911</v>
      </c>
      <c r="Q4" s="10">
        <v>2</v>
      </c>
      <c r="R4" s="10">
        <v>114</v>
      </c>
      <c r="S4" s="10">
        <v>60.1</v>
      </c>
      <c r="T4" s="13">
        <v>33</v>
      </c>
      <c r="U4" s="11" t="s">
        <v>639</v>
      </c>
      <c r="V4" s="11" t="s">
        <v>635</v>
      </c>
      <c r="W4" s="18">
        <v>94</v>
      </c>
      <c r="X4" s="18">
        <v>89.7</v>
      </c>
      <c r="Y4" s="18">
        <v>3.8</v>
      </c>
      <c r="Z4" s="18">
        <v>4.5999999999999996</v>
      </c>
      <c r="AA4" s="17">
        <v>58</v>
      </c>
      <c r="AB4" s="17">
        <v>56</v>
      </c>
      <c r="AC4" s="18">
        <f t="shared" si="0"/>
        <v>4.2999999999999972</v>
      </c>
      <c r="AD4" s="18">
        <f t="shared" si="1"/>
        <v>4.2118879377305376</v>
      </c>
      <c r="AE4" s="18">
        <f t="shared" si="2"/>
        <v>1.0209198496190135</v>
      </c>
      <c r="AF4" s="20">
        <f t="shared" si="3"/>
        <v>0.19917307550651769</v>
      </c>
      <c r="AG4" s="20" t="s">
        <v>193</v>
      </c>
      <c r="AH4" s="18" t="s">
        <v>193</v>
      </c>
      <c r="AI4" s="18" t="s">
        <v>780</v>
      </c>
      <c r="AJ4" s="18" t="s">
        <v>348</v>
      </c>
      <c r="AK4" s="18"/>
      <c r="AL4" s="18"/>
      <c r="AM4" s="10" t="s">
        <v>745</v>
      </c>
      <c r="AN4" s="10" t="s">
        <v>157</v>
      </c>
    </row>
    <row r="5" spans="1:40" s="10" customFormat="1" x14ac:dyDescent="0.2">
      <c r="A5" s="10">
        <v>2020</v>
      </c>
      <c r="B5" s="10">
        <v>32959110</v>
      </c>
      <c r="C5" s="10" t="s">
        <v>113</v>
      </c>
      <c r="D5" s="10" t="s">
        <v>906</v>
      </c>
      <c r="E5" s="10" t="s">
        <v>157</v>
      </c>
      <c r="F5" s="10" t="s">
        <v>66</v>
      </c>
      <c r="G5" s="10" t="s">
        <v>66</v>
      </c>
      <c r="H5" s="10" t="s">
        <v>66</v>
      </c>
      <c r="I5" s="10">
        <v>1</v>
      </c>
      <c r="J5" s="10" t="s">
        <v>910</v>
      </c>
      <c r="K5" s="10" t="s">
        <v>910</v>
      </c>
      <c r="L5" s="10" t="s">
        <v>156</v>
      </c>
      <c r="M5" s="10" t="s">
        <v>902</v>
      </c>
      <c r="N5" s="10" t="s">
        <v>766</v>
      </c>
      <c r="P5" s="10" t="s">
        <v>911</v>
      </c>
      <c r="Q5" s="10">
        <v>2</v>
      </c>
      <c r="R5" s="10">
        <v>114</v>
      </c>
      <c r="S5" s="10">
        <v>60.1</v>
      </c>
      <c r="T5" s="13">
        <v>33</v>
      </c>
      <c r="U5" s="11" t="s">
        <v>644</v>
      </c>
      <c r="V5" s="11" t="s">
        <v>642</v>
      </c>
      <c r="W5" s="18">
        <v>137.9</v>
      </c>
      <c r="X5" s="18">
        <v>136.5</v>
      </c>
      <c r="Y5" s="18">
        <v>5.5</v>
      </c>
      <c r="Z5" s="18">
        <v>6.7</v>
      </c>
      <c r="AA5" s="17">
        <v>58</v>
      </c>
      <c r="AB5" s="17">
        <v>56</v>
      </c>
      <c r="AC5" s="18">
        <f t="shared" si="0"/>
        <v>1.4000000000000057</v>
      </c>
      <c r="AD5" s="18">
        <f t="shared" si="1"/>
        <v>6.1187650481355886</v>
      </c>
      <c r="AE5" s="18">
        <f t="shared" si="2"/>
        <v>0.22880434025271015</v>
      </c>
      <c r="AF5" s="20">
        <f t="shared" si="3"/>
        <v>0.18795779761837811</v>
      </c>
      <c r="AG5" s="20" t="s">
        <v>193</v>
      </c>
      <c r="AH5" s="18"/>
      <c r="AI5" s="18" t="s">
        <v>780</v>
      </c>
      <c r="AJ5" s="18" t="s">
        <v>348</v>
      </c>
      <c r="AK5" s="18"/>
      <c r="AL5" s="18"/>
      <c r="AM5" s="10" t="s">
        <v>745</v>
      </c>
      <c r="AN5" s="10" t="s">
        <v>157</v>
      </c>
    </row>
    <row r="6" spans="1:40" s="10" customFormat="1" x14ac:dyDescent="0.2">
      <c r="A6" s="10">
        <v>2020</v>
      </c>
      <c r="B6" s="10">
        <v>32959110</v>
      </c>
      <c r="C6" s="10" t="s">
        <v>113</v>
      </c>
      <c r="D6" s="10" t="s">
        <v>906</v>
      </c>
      <c r="E6" s="10" t="s">
        <v>157</v>
      </c>
      <c r="F6" s="10" t="s">
        <v>66</v>
      </c>
      <c r="G6" s="10" t="s">
        <v>66</v>
      </c>
      <c r="H6" s="10" t="s">
        <v>66</v>
      </c>
      <c r="I6" s="10">
        <v>1</v>
      </c>
      <c r="J6" s="10" t="s">
        <v>910</v>
      </c>
      <c r="K6" s="10" t="s">
        <v>910</v>
      </c>
      <c r="L6" s="10" t="s">
        <v>156</v>
      </c>
      <c r="M6" s="10" t="s">
        <v>902</v>
      </c>
      <c r="N6" s="10" t="s">
        <v>766</v>
      </c>
      <c r="P6" s="10" t="s">
        <v>911</v>
      </c>
      <c r="Q6" s="10">
        <v>2</v>
      </c>
      <c r="R6" s="10">
        <v>114</v>
      </c>
      <c r="S6" s="10">
        <v>60.1</v>
      </c>
      <c r="T6" s="13">
        <v>33</v>
      </c>
      <c r="U6" s="11" t="s">
        <v>645</v>
      </c>
      <c r="V6" s="11" t="s">
        <v>642</v>
      </c>
      <c r="W6" s="18">
        <v>84.9</v>
      </c>
      <c r="X6" s="18">
        <v>84.3</v>
      </c>
      <c r="Y6" s="18">
        <v>5.2</v>
      </c>
      <c r="Z6" s="18">
        <v>6.2</v>
      </c>
      <c r="AA6" s="17">
        <v>58</v>
      </c>
      <c r="AB6" s="17">
        <v>56</v>
      </c>
      <c r="AC6" s="18">
        <f t="shared" si="0"/>
        <v>0.60000000000000853</v>
      </c>
      <c r="AD6" s="18">
        <f t="shared" si="1"/>
        <v>5.7129864594373307</v>
      </c>
      <c r="AE6" s="18">
        <f t="shared" si="2"/>
        <v>0.10502387923725312</v>
      </c>
      <c r="AF6" s="20">
        <f t="shared" si="3"/>
        <v>0.18747506348093565</v>
      </c>
      <c r="AG6" s="20" t="s">
        <v>193</v>
      </c>
      <c r="AH6" s="18"/>
      <c r="AI6" s="18" t="s">
        <v>780</v>
      </c>
      <c r="AJ6" s="18" t="s">
        <v>348</v>
      </c>
      <c r="AK6" s="18"/>
      <c r="AL6" s="18"/>
      <c r="AM6" s="10" t="s">
        <v>745</v>
      </c>
      <c r="AN6" s="10" t="s">
        <v>157</v>
      </c>
    </row>
    <row r="7" spans="1:40" s="10" customFormat="1" x14ac:dyDescent="0.2">
      <c r="A7" s="10">
        <v>2020</v>
      </c>
      <c r="B7" s="10">
        <v>32959110</v>
      </c>
      <c r="C7" s="10" t="s">
        <v>113</v>
      </c>
      <c r="D7" s="10" t="s">
        <v>906</v>
      </c>
      <c r="E7" s="10" t="s">
        <v>157</v>
      </c>
      <c r="F7" s="10" t="s">
        <v>66</v>
      </c>
      <c r="G7" s="10" t="s">
        <v>66</v>
      </c>
      <c r="H7" s="10" t="s">
        <v>66</v>
      </c>
      <c r="I7" s="10">
        <v>1</v>
      </c>
      <c r="J7" s="10" t="s">
        <v>910</v>
      </c>
      <c r="K7" s="10" t="s">
        <v>910</v>
      </c>
      <c r="L7" s="10" t="s">
        <v>156</v>
      </c>
      <c r="M7" s="10" t="s">
        <v>902</v>
      </c>
      <c r="N7" s="10" t="s">
        <v>766</v>
      </c>
      <c r="P7" s="10" t="s">
        <v>911</v>
      </c>
      <c r="Q7" s="10">
        <v>2</v>
      </c>
      <c r="R7" s="10">
        <v>114</v>
      </c>
      <c r="S7" s="10">
        <v>60.1</v>
      </c>
      <c r="T7" s="13">
        <v>33</v>
      </c>
      <c r="U7" s="11" t="s">
        <v>769</v>
      </c>
      <c r="V7" s="11" t="s">
        <v>642</v>
      </c>
      <c r="W7" s="18">
        <v>102.6</v>
      </c>
      <c r="X7" s="18">
        <v>101.7</v>
      </c>
      <c r="Y7" s="18">
        <v>4</v>
      </c>
      <c r="Z7" s="18">
        <v>5.2</v>
      </c>
      <c r="AA7" s="17">
        <v>58</v>
      </c>
      <c r="AB7" s="17">
        <v>56</v>
      </c>
      <c r="AC7" s="18">
        <f t="shared" si="0"/>
        <v>0.89999999999999147</v>
      </c>
      <c r="AD7" s="18">
        <f t="shared" si="1"/>
        <v>4.6283289178091662</v>
      </c>
      <c r="AE7" s="18">
        <f t="shared" si="2"/>
        <v>0.19445463275890282</v>
      </c>
      <c r="AF7" s="20">
        <f t="shared" si="3"/>
        <v>0.18778809047103329</v>
      </c>
      <c r="AG7" s="20" t="s">
        <v>193</v>
      </c>
      <c r="AH7" s="18"/>
      <c r="AI7" s="18" t="s">
        <v>780</v>
      </c>
      <c r="AJ7" s="18" t="s">
        <v>348</v>
      </c>
      <c r="AK7" s="18"/>
      <c r="AL7" s="18"/>
      <c r="AM7" s="10" t="s">
        <v>745</v>
      </c>
      <c r="AN7" s="10" t="s">
        <v>157</v>
      </c>
    </row>
    <row r="8" spans="1:40" s="10" customFormat="1" x14ac:dyDescent="0.2">
      <c r="A8" s="10">
        <v>2020</v>
      </c>
      <c r="B8" s="10">
        <v>32959110</v>
      </c>
      <c r="C8" s="10" t="s">
        <v>113</v>
      </c>
      <c r="D8" s="10" t="s">
        <v>906</v>
      </c>
      <c r="E8" s="10" t="s">
        <v>157</v>
      </c>
      <c r="F8" s="10" t="s">
        <v>66</v>
      </c>
      <c r="G8" s="10" t="s">
        <v>66</v>
      </c>
      <c r="H8" s="10" t="s">
        <v>66</v>
      </c>
      <c r="I8" s="10">
        <v>1</v>
      </c>
      <c r="J8" s="10" t="s">
        <v>910</v>
      </c>
      <c r="K8" s="10" t="s">
        <v>910</v>
      </c>
      <c r="L8" s="10" t="s">
        <v>156</v>
      </c>
      <c r="M8" s="10" t="s">
        <v>902</v>
      </c>
      <c r="N8" s="10" t="s">
        <v>766</v>
      </c>
      <c r="P8" s="10" t="s">
        <v>911</v>
      </c>
      <c r="Q8" s="10">
        <v>2</v>
      </c>
      <c r="R8" s="10">
        <v>114</v>
      </c>
      <c r="S8" s="10">
        <v>60.1</v>
      </c>
      <c r="T8" s="13">
        <v>33</v>
      </c>
      <c r="U8" s="11" t="s">
        <v>640</v>
      </c>
      <c r="V8" s="11" t="s">
        <v>635</v>
      </c>
      <c r="W8" s="18">
        <v>132.80000000000001</v>
      </c>
      <c r="X8" s="18">
        <v>128.9</v>
      </c>
      <c r="Y8" s="18">
        <v>5.7</v>
      </c>
      <c r="Z8" s="18">
        <v>5.8</v>
      </c>
      <c r="AA8" s="17">
        <v>58</v>
      </c>
      <c r="AB8" s="17">
        <v>56</v>
      </c>
      <c r="AC8" s="18">
        <f t="shared" si="0"/>
        <v>3.9000000000000057</v>
      </c>
      <c r="AD8" s="18">
        <f t="shared" si="1"/>
        <v>5.7493244944825594</v>
      </c>
      <c r="AE8" s="18">
        <f t="shared" si="2"/>
        <v>0.67834056048544644</v>
      </c>
      <c r="AF8" s="20">
        <f t="shared" si="3"/>
        <v>0.19265696460183232</v>
      </c>
      <c r="AG8" s="20" t="s">
        <v>193</v>
      </c>
      <c r="AH8" s="18"/>
      <c r="AI8" s="18" t="s">
        <v>780</v>
      </c>
      <c r="AJ8" s="18" t="s">
        <v>348</v>
      </c>
      <c r="AK8" s="18"/>
      <c r="AL8" s="18"/>
      <c r="AM8" s="10" t="s">
        <v>745</v>
      </c>
      <c r="AN8" s="10" t="s">
        <v>157</v>
      </c>
    </row>
    <row r="9" spans="1:40" s="10" customFormat="1" x14ac:dyDescent="0.2">
      <c r="A9" s="10">
        <v>2020</v>
      </c>
      <c r="B9" s="10">
        <v>32959110</v>
      </c>
      <c r="C9" s="10" t="s">
        <v>113</v>
      </c>
      <c r="D9" s="10" t="s">
        <v>906</v>
      </c>
      <c r="E9" s="10" t="s">
        <v>157</v>
      </c>
      <c r="F9" s="10" t="s">
        <v>66</v>
      </c>
      <c r="G9" s="10" t="s">
        <v>66</v>
      </c>
      <c r="H9" s="10" t="s">
        <v>66</v>
      </c>
      <c r="I9" s="10">
        <v>1</v>
      </c>
      <c r="J9" s="10" t="s">
        <v>910</v>
      </c>
      <c r="K9" s="10" t="s">
        <v>910</v>
      </c>
      <c r="L9" s="10" t="s">
        <v>156</v>
      </c>
      <c r="M9" s="10" t="s">
        <v>902</v>
      </c>
      <c r="N9" s="10" t="s">
        <v>766</v>
      </c>
      <c r="P9" s="10" t="s">
        <v>911</v>
      </c>
      <c r="Q9" s="10">
        <v>2</v>
      </c>
      <c r="R9" s="10">
        <v>114</v>
      </c>
      <c r="S9" s="10">
        <v>60.1</v>
      </c>
      <c r="T9" s="13">
        <v>33</v>
      </c>
      <c r="U9" s="11" t="s">
        <v>641</v>
      </c>
      <c r="V9" s="11" t="s">
        <v>635</v>
      </c>
      <c r="W9" s="18">
        <v>82.3</v>
      </c>
      <c r="X9" s="18">
        <v>78.7</v>
      </c>
      <c r="Y9" s="18">
        <v>4.0999999999999996</v>
      </c>
      <c r="Z9" s="18">
        <v>5.9</v>
      </c>
      <c r="AA9" s="17">
        <v>58</v>
      </c>
      <c r="AB9" s="17">
        <v>56</v>
      </c>
      <c r="AC9" s="18">
        <f t="shared" si="0"/>
        <v>3.5999999999999943</v>
      </c>
      <c r="AD9" s="18">
        <f t="shared" si="1"/>
        <v>5.0645123866257569</v>
      </c>
      <c r="AE9" s="18">
        <f t="shared" si="2"/>
        <v>0.71082855074198026</v>
      </c>
      <c r="AF9" s="20">
        <f t="shared" si="3"/>
        <v>0.19317000378651489</v>
      </c>
      <c r="AG9" s="20" t="s">
        <v>193</v>
      </c>
      <c r="AH9" s="18"/>
      <c r="AI9" s="18" t="s">
        <v>780</v>
      </c>
      <c r="AJ9" s="18" t="s">
        <v>348</v>
      </c>
      <c r="AK9" s="18"/>
      <c r="AL9" s="18"/>
      <c r="AM9" s="10" t="s">
        <v>745</v>
      </c>
      <c r="AN9" s="10" t="s">
        <v>157</v>
      </c>
    </row>
    <row r="10" spans="1:40" s="10" customFormat="1" x14ac:dyDescent="0.2">
      <c r="A10" s="11">
        <v>2018</v>
      </c>
      <c r="B10" s="10">
        <v>30484269</v>
      </c>
      <c r="C10" s="10" t="s">
        <v>113</v>
      </c>
      <c r="D10" s="10" t="s">
        <v>906</v>
      </c>
      <c r="E10" s="10" t="s">
        <v>157</v>
      </c>
      <c r="F10" s="10" t="s">
        <v>66</v>
      </c>
      <c r="G10" s="10" t="s">
        <v>66</v>
      </c>
      <c r="H10" s="10" t="s">
        <v>66</v>
      </c>
      <c r="I10" s="10">
        <v>1</v>
      </c>
      <c r="J10" s="10" t="s">
        <v>910</v>
      </c>
      <c r="K10" s="10" t="s">
        <v>910</v>
      </c>
      <c r="L10" s="10" t="s">
        <v>156</v>
      </c>
      <c r="M10" s="10" t="s">
        <v>902</v>
      </c>
      <c r="N10" s="10" t="s">
        <v>766</v>
      </c>
      <c r="P10" s="10" t="s">
        <v>911</v>
      </c>
      <c r="Q10" s="10">
        <v>2</v>
      </c>
      <c r="R10" s="10">
        <v>114</v>
      </c>
      <c r="S10" s="10">
        <v>60.1</v>
      </c>
      <c r="T10" s="13">
        <v>33</v>
      </c>
      <c r="U10" s="10" t="s">
        <v>1322</v>
      </c>
      <c r="V10" s="10" t="s">
        <v>635</v>
      </c>
      <c r="W10" s="18">
        <v>487.62</v>
      </c>
      <c r="X10" s="12">
        <v>460.1</v>
      </c>
      <c r="Y10" s="12">
        <v>77.400000000000006</v>
      </c>
      <c r="Z10" s="12">
        <v>82.3</v>
      </c>
      <c r="AA10" s="15">
        <v>58</v>
      </c>
      <c r="AB10" s="15">
        <v>56</v>
      </c>
      <c r="AC10" s="12">
        <f t="shared" si="0"/>
        <v>27.519999999999982</v>
      </c>
      <c r="AD10" s="12">
        <f t="shared" si="1"/>
        <v>79.843835861010589</v>
      </c>
      <c r="AE10" s="12">
        <f t="shared" si="2"/>
        <v>0.34467281917549469</v>
      </c>
      <c r="AF10" s="12">
        <f t="shared" si="3"/>
        <v>0.18873148109995413</v>
      </c>
      <c r="AG10" s="12" t="s">
        <v>193</v>
      </c>
      <c r="AH10" s="12" t="s">
        <v>193</v>
      </c>
      <c r="AI10" s="12" t="s">
        <v>781</v>
      </c>
      <c r="AJ10" s="12" t="s">
        <v>348</v>
      </c>
      <c r="AK10" s="12" t="s">
        <v>1039</v>
      </c>
      <c r="AL10" s="12"/>
      <c r="AM10" s="10" t="s">
        <v>746</v>
      </c>
      <c r="AN10" s="10" t="s">
        <v>157</v>
      </c>
    </row>
    <row r="11" spans="1:40" s="10" customFormat="1" x14ac:dyDescent="0.2">
      <c r="A11" s="11">
        <v>2018</v>
      </c>
      <c r="B11" s="10">
        <v>30484269</v>
      </c>
      <c r="C11" s="10" t="s">
        <v>113</v>
      </c>
      <c r="D11" s="10" t="s">
        <v>906</v>
      </c>
      <c r="E11" s="10" t="s">
        <v>157</v>
      </c>
      <c r="F11" s="10" t="s">
        <v>66</v>
      </c>
      <c r="G11" s="10" t="s">
        <v>66</v>
      </c>
      <c r="H11" s="10" t="s">
        <v>66</v>
      </c>
      <c r="I11" s="10">
        <v>1</v>
      </c>
      <c r="J11" s="10" t="s">
        <v>910</v>
      </c>
      <c r="K11" s="10" t="s">
        <v>910</v>
      </c>
      <c r="L11" s="10" t="s">
        <v>156</v>
      </c>
      <c r="M11" s="10" t="s">
        <v>902</v>
      </c>
      <c r="N11" s="10" t="s">
        <v>766</v>
      </c>
      <c r="P11" s="10" t="s">
        <v>911</v>
      </c>
      <c r="Q11" s="10">
        <v>2</v>
      </c>
      <c r="R11" s="10">
        <v>114</v>
      </c>
      <c r="S11" s="10">
        <v>60.1</v>
      </c>
      <c r="T11" s="13">
        <v>33</v>
      </c>
      <c r="U11" s="10" t="s">
        <v>1323</v>
      </c>
      <c r="V11" s="10" t="s">
        <v>635</v>
      </c>
      <c r="W11" s="12">
        <v>226.9</v>
      </c>
      <c r="X11" s="12">
        <v>197.9</v>
      </c>
      <c r="Y11" s="12">
        <v>36.799999999999997</v>
      </c>
      <c r="Z11" s="12">
        <v>41.5</v>
      </c>
      <c r="AA11" s="15">
        <v>58</v>
      </c>
      <c r="AB11" s="15">
        <v>56</v>
      </c>
      <c r="AC11" s="12">
        <f t="shared" si="0"/>
        <v>29</v>
      </c>
      <c r="AD11" s="12">
        <f t="shared" si="1"/>
        <v>39.178555313188511</v>
      </c>
      <c r="AE11" s="12">
        <f t="shared" si="2"/>
        <v>0.74020085141418812</v>
      </c>
      <c r="AF11" s="12">
        <f t="shared" si="3"/>
        <v>0.19365324810786363</v>
      </c>
      <c r="AG11" s="12" t="s">
        <v>193</v>
      </c>
      <c r="AH11" s="12"/>
      <c r="AI11" s="12" t="s">
        <v>781</v>
      </c>
      <c r="AJ11" s="12" t="s">
        <v>348</v>
      </c>
      <c r="AK11" s="12"/>
      <c r="AL11" s="12"/>
      <c r="AM11" s="10" t="s">
        <v>746</v>
      </c>
      <c r="AN11" s="10" t="s">
        <v>157</v>
      </c>
    </row>
    <row r="12" spans="1:40" s="10" customFormat="1" x14ac:dyDescent="0.2">
      <c r="A12" s="11">
        <v>2018</v>
      </c>
      <c r="B12" s="10">
        <v>30484269</v>
      </c>
      <c r="C12" s="10" t="s">
        <v>113</v>
      </c>
      <c r="D12" s="10" t="s">
        <v>906</v>
      </c>
      <c r="E12" s="10" t="s">
        <v>157</v>
      </c>
      <c r="F12" s="10" t="s">
        <v>66</v>
      </c>
      <c r="G12" s="10" t="s">
        <v>66</v>
      </c>
      <c r="H12" s="10" t="s">
        <v>66</v>
      </c>
      <c r="I12" s="10">
        <v>1</v>
      </c>
      <c r="J12" s="10" t="s">
        <v>910</v>
      </c>
      <c r="K12" s="10" t="s">
        <v>910</v>
      </c>
      <c r="L12" s="10" t="s">
        <v>156</v>
      </c>
      <c r="M12" s="10" t="s">
        <v>902</v>
      </c>
      <c r="N12" s="10" t="s">
        <v>766</v>
      </c>
      <c r="P12" s="10" t="s">
        <v>911</v>
      </c>
      <c r="Q12" s="10">
        <v>2</v>
      </c>
      <c r="R12" s="10">
        <v>114</v>
      </c>
      <c r="S12" s="10">
        <v>60.1</v>
      </c>
      <c r="T12" s="13">
        <v>33</v>
      </c>
      <c r="U12" s="10" t="s">
        <v>459</v>
      </c>
      <c r="V12" s="10" t="s">
        <v>635</v>
      </c>
      <c r="W12" s="12">
        <v>332.7</v>
      </c>
      <c r="X12" s="12">
        <v>379.1</v>
      </c>
      <c r="Y12" s="12">
        <v>105</v>
      </c>
      <c r="Z12" s="12">
        <v>71</v>
      </c>
      <c r="AA12" s="15">
        <v>58</v>
      </c>
      <c r="AB12" s="15">
        <v>56</v>
      </c>
      <c r="AC12" s="12">
        <f t="shared" si="0"/>
        <v>-46.400000000000034</v>
      </c>
      <c r="AD12" s="12">
        <f t="shared" si="1"/>
        <v>89.924571566555557</v>
      </c>
      <c r="AE12" s="12">
        <f t="shared" si="2"/>
        <v>-0.51598800185173155</v>
      </c>
      <c r="AF12" s="12">
        <f t="shared" si="3"/>
        <v>0.1904370167126006</v>
      </c>
      <c r="AG12" s="12" t="s">
        <v>157</v>
      </c>
      <c r="AH12" s="12"/>
      <c r="AI12" s="12" t="s">
        <v>39</v>
      </c>
      <c r="AJ12" s="12" t="s">
        <v>348</v>
      </c>
      <c r="AK12" s="12"/>
      <c r="AL12" s="12"/>
      <c r="AM12" s="10" t="s">
        <v>746</v>
      </c>
      <c r="AN12" s="10" t="s">
        <v>157</v>
      </c>
    </row>
    <row r="13" spans="1:40" s="10" customFormat="1" x14ac:dyDescent="0.2">
      <c r="A13" s="11">
        <v>2019</v>
      </c>
      <c r="B13" s="10">
        <v>30346860</v>
      </c>
      <c r="C13" s="10" t="s">
        <v>113</v>
      </c>
      <c r="D13" s="10" t="s">
        <v>907</v>
      </c>
      <c r="E13" s="10" t="s">
        <v>157</v>
      </c>
      <c r="F13" s="10" t="s">
        <v>66</v>
      </c>
      <c r="G13" s="10" t="s">
        <v>66</v>
      </c>
      <c r="H13" s="10" t="s">
        <v>66</v>
      </c>
      <c r="I13" s="10">
        <v>1</v>
      </c>
      <c r="J13" s="10" t="s">
        <v>920</v>
      </c>
      <c r="K13" s="10" t="s">
        <v>920</v>
      </c>
      <c r="L13" s="10" t="s">
        <v>238</v>
      </c>
      <c r="M13" s="10" t="s">
        <v>903</v>
      </c>
      <c r="N13" s="10" t="s">
        <v>766</v>
      </c>
      <c r="O13" s="10" t="s">
        <v>647</v>
      </c>
      <c r="P13" s="10" t="s">
        <v>911</v>
      </c>
      <c r="Q13" s="10">
        <v>2</v>
      </c>
      <c r="R13" s="10">
        <v>12</v>
      </c>
      <c r="S13" s="10">
        <v>22.3</v>
      </c>
      <c r="T13" s="13">
        <v>58.3</v>
      </c>
      <c r="U13" s="10" t="s">
        <v>1311</v>
      </c>
      <c r="V13" s="10" t="s">
        <v>635</v>
      </c>
      <c r="W13" s="12">
        <v>7258</v>
      </c>
      <c r="X13" s="12">
        <v>2971</v>
      </c>
      <c r="Y13" s="12">
        <v>4940</v>
      </c>
      <c r="Z13" s="12">
        <v>1850</v>
      </c>
      <c r="AA13" s="15">
        <v>12</v>
      </c>
      <c r="AB13" s="15">
        <v>12</v>
      </c>
      <c r="AC13" s="18">
        <f t="shared" ref="AC13:AC19" si="4">W13-X13</f>
        <v>4287</v>
      </c>
      <c r="AD13" s="18">
        <f t="shared" ref="AD13:AD19" si="5">SQRT(((AA13-1)*Y13^2+(AB13-1)*Z13^2)/(AA13+AB13-2))</f>
        <v>3730.0201071844103</v>
      </c>
      <c r="AE13" s="18">
        <f t="shared" ref="AE13:AE19" si="6">AC13/AD13</f>
        <v>1.1493235630936112</v>
      </c>
      <c r="AF13" s="18">
        <f t="shared" ref="AF13:AF19" si="7">SQRT(((AA13+AB13)/(AA13*AB13)+(AE13^2/(2*(AA13+AB13)))))</f>
        <v>0.44066579959293306</v>
      </c>
      <c r="AG13" s="18" t="s">
        <v>193</v>
      </c>
      <c r="AH13" s="12" t="s">
        <v>193</v>
      </c>
      <c r="AI13" s="12" t="s">
        <v>781</v>
      </c>
      <c r="AJ13" s="12" t="s">
        <v>348</v>
      </c>
      <c r="AK13" s="12" t="s">
        <v>1299</v>
      </c>
      <c r="AL13" s="12" t="s">
        <v>1312</v>
      </c>
      <c r="AM13" s="10" t="s">
        <v>691</v>
      </c>
      <c r="AN13" s="10" t="s">
        <v>157</v>
      </c>
    </row>
    <row r="14" spans="1:40" s="10" customFormat="1" x14ac:dyDescent="0.2">
      <c r="A14" s="11">
        <v>2019</v>
      </c>
      <c r="B14" s="10">
        <v>30346860</v>
      </c>
      <c r="C14" s="10" t="s">
        <v>113</v>
      </c>
      <c r="D14" s="10" t="s">
        <v>907</v>
      </c>
      <c r="E14" s="10" t="s">
        <v>157</v>
      </c>
      <c r="F14" s="10" t="s">
        <v>66</v>
      </c>
      <c r="G14" s="10" t="s">
        <v>66</v>
      </c>
      <c r="H14" s="10" t="s">
        <v>66</v>
      </c>
      <c r="I14" s="10">
        <v>1</v>
      </c>
      <c r="J14" s="10" t="s">
        <v>920</v>
      </c>
      <c r="K14" s="10" t="s">
        <v>920</v>
      </c>
      <c r="L14" s="10" t="s">
        <v>238</v>
      </c>
      <c r="M14" s="10" t="s">
        <v>903</v>
      </c>
      <c r="N14" s="10" t="s">
        <v>766</v>
      </c>
      <c r="O14" s="10" t="s">
        <v>647</v>
      </c>
      <c r="P14" s="10" t="s">
        <v>911</v>
      </c>
      <c r="Q14" s="10">
        <v>2</v>
      </c>
      <c r="R14" s="10">
        <v>12</v>
      </c>
      <c r="S14" s="10">
        <v>22.3</v>
      </c>
      <c r="T14" s="13">
        <v>58.3</v>
      </c>
      <c r="U14" s="10" t="s">
        <v>1294</v>
      </c>
      <c r="V14" s="10" t="s">
        <v>642</v>
      </c>
      <c r="W14" s="12">
        <v>256</v>
      </c>
      <c r="X14" s="12">
        <v>282</v>
      </c>
      <c r="Y14" s="12">
        <v>104</v>
      </c>
      <c r="Z14" s="12">
        <v>44</v>
      </c>
      <c r="AA14" s="15">
        <v>12</v>
      </c>
      <c r="AB14" s="15">
        <v>12</v>
      </c>
      <c r="AC14" s="18">
        <f t="shared" si="4"/>
        <v>-26</v>
      </c>
      <c r="AD14" s="18">
        <f t="shared" si="5"/>
        <v>79.849859110708522</v>
      </c>
      <c r="AE14" s="18">
        <f t="shared" si="6"/>
        <v>-0.32561109424065582</v>
      </c>
      <c r="AF14" s="18">
        <f t="shared" si="7"/>
        <v>0.41094460759867518</v>
      </c>
      <c r="AG14" s="18" t="s">
        <v>193</v>
      </c>
      <c r="AH14" s="12"/>
      <c r="AI14" s="12" t="s">
        <v>781</v>
      </c>
      <c r="AJ14" s="12" t="s">
        <v>328</v>
      </c>
      <c r="AK14" s="12" t="s">
        <v>1298</v>
      </c>
      <c r="AL14" s="12" t="s">
        <v>1312</v>
      </c>
      <c r="AM14" s="10" t="s">
        <v>691</v>
      </c>
      <c r="AN14" s="10" t="s">
        <v>157</v>
      </c>
    </row>
    <row r="15" spans="1:40" s="10" customFormat="1" x14ac:dyDescent="0.2">
      <c r="A15" s="11">
        <v>2019</v>
      </c>
      <c r="B15" s="10">
        <v>30346860</v>
      </c>
      <c r="C15" s="10" t="s">
        <v>113</v>
      </c>
      <c r="D15" s="10" t="s">
        <v>907</v>
      </c>
      <c r="E15" s="10" t="s">
        <v>157</v>
      </c>
      <c r="F15" s="10" t="s">
        <v>66</v>
      </c>
      <c r="G15" s="10" t="s">
        <v>66</v>
      </c>
      <c r="H15" s="10" t="s">
        <v>66</v>
      </c>
      <c r="I15" s="10">
        <v>1</v>
      </c>
      <c r="J15" s="10" t="s">
        <v>920</v>
      </c>
      <c r="K15" s="10" t="s">
        <v>920</v>
      </c>
      <c r="L15" s="10" t="s">
        <v>238</v>
      </c>
      <c r="M15" s="10" t="s">
        <v>903</v>
      </c>
      <c r="N15" s="10" t="s">
        <v>766</v>
      </c>
      <c r="O15" s="10" t="s">
        <v>647</v>
      </c>
      <c r="P15" s="10" t="s">
        <v>911</v>
      </c>
      <c r="Q15" s="10">
        <v>2</v>
      </c>
      <c r="R15" s="10">
        <v>12</v>
      </c>
      <c r="S15" s="10">
        <v>22.3</v>
      </c>
      <c r="T15" s="13">
        <v>58.3</v>
      </c>
      <c r="U15" s="10" t="s">
        <v>1295</v>
      </c>
      <c r="V15" s="10" t="s">
        <v>642</v>
      </c>
      <c r="W15" s="12">
        <v>490</v>
      </c>
      <c r="X15" s="12">
        <v>503</v>
      </c>
      <c r="Y15" s="12">
        <v>121</v>
      </c>
      <c r="Z15" s="12">
        <v>37</v>
      </c>
      <c r="AA15" s="15">
        <v>12</v>
      </c>
      <c r="AB15" s="15">
        <v>12</v>
      </c>
      <c r="AC15" s="18">
        <f t="shared" si="4"/>
        <v>-13</v>
      </c>
      <c r="AD15" s="18">
        <f t="shared" si="5"/>
        <v>89.470665583754325</v>
      </c>
      <c r="AE15" s="18">
        <f t="shared" si="6"/>
        <v>-0.14529901968629683</v>
      </c>
      <c r="AF15" s="18">
        <f t="shared" si="7"/>
        <v>0.40878661418891576</v>
      </c>
      <c r="AG15" s="18" t="s">
        <v>193</v>
      </c>
      <c r="AH15" s="12"/>
      <c r="AI15" s="12" t="s">
        <v>781</v>
      </c>
      <c r="AJ15" s="12" t="s">
        <v>328</v>
      </c>
      <c r="AK15" s="12" t="s">
        <v>1298</v>
      </c>
      <c r="AL15" s="12" t="s">
        <v>1312</v>
      </c>
      <c r="AM15" s="10" t="s">
        <v>691</v>
      </c>
      <c r="AN15" s="10" t="s">
        <v>157</v>
      </c>
    </row>
    <row r="16" spans="1:40" s="10" customFormat="1" x14ac:dyDescent="0.2">
      <c r="A16" s="4">
        <v>2021</v>
      </c>
      <c r="B16" s="6">
        <v>32838616</v>
      </c>
      <c r="C16" s="4" t="s">
        <v>113</v>
      </c>
      <c r="D16" s="4" t="s">
        <v>907</v>
      </c>
      <c r="E16" s="10" t="s">
        <v>157</v>
      </c>
      <c r="F16" s="4" t="s">
        <v>66</v>
      </c>
      <c r="G16" s="4" t="s">
        <v>66</v>
      </c>
      <c r="H16" s="4" t="s">
        <v>66</v>
      </c>
      <c r="I16" s="4">
        <v>1</v>
      </c>
      <c r="J16" s="4" t="s">
        <v>1285</v>
      </c>
      <c r="K16" s="4" t="s">
        <v>909</v>
      </c>
      <c r="L16" s="4" t="s">
        <v>156</v>
      </c>
      <c r="M16" s="4" t="s">
        <v>903</v>
      </c>
      <c r="N16" s="4" t="s">
        <v>766</v>
      </c>
      <c r="O16" s="10" t="s">
        <v>647</v>
      </c>
      <c r="P16" s="10" t="s">
        <v>911</v>
      </c>
      <c r="Q16" s="10">
        <v>2</v>
      </c>
      <c r="R16" s="10">
        <v>22</v>
      </c>
      <c r="T16" s="13"/>
      <c r="U16" s="10" t="s">
        <v>1293</v>
      </c>
      <c r="V16" s="10" t="s">
        <v>635</v>
      </c>
      <c r="W16" s="12">
        <v>5</v>
      </c>
      <c r="X16" s="12">
        <v>3.5</v>
      </c>
      <c r="Y16" s="12">
        <f>0.75*SQRT(AA16)</f>
        <v>3.5178118198675721</v>
      </c>
      <c r="Z16" s="42">
        <f>0.75*SQRT(AB16)</f>
        <v>3.5178118198675721</v>
      </c>
      <c r="AA16" s="15">
        <v>22</v>
      </c>
      <c r="AB16" s="15">
        <v>22</v>
      </c>
      <c r="AC16" s="18">
        <f t="shared" si="4"/>
        <v>1.5</v>
      </c>
      <c r="AD16" s="18">
        <f t="shared" si="5"/>
        <v>3.5178118198675721</v>
      </c>
      <c r="AE16" s="18">
        <f t="shared" si="6"/>
        <v>0.42640143271122088</v>
      </c>
      <c r="AF16" s="18">
        <f t="shared" si="7"/>
        <v>0.30491836056815314</v>
      </c>
      <c r="AG16" s="18" t="s">
        <v>193</v>
      </c>
      <c r="AH16" s="12" t="s">
        <v>193</v>
      </c>
      <c r="AI16" s="12" t="s">
        <v>781</v>
      </c>
      <c r="AJ16" s="12" t="s">
        <v>348</v>
      </c>
      <c r="AK16" s="12" t="s">
        <v>1299</v>
      </c>
      <c r="AL16" s="12" t="s">
        <v>1291</v>
      </c>
      <c r="AM16" s="10" t="s">
        <v>1289</v>
      </c>
      <c r="AN16" s="10" t="s">
        <v>157</v>
      </c>
    </row>
    <row r="17" spans="1:40" s="10" customFormat="1" x14ac:dyDescent="0.2">
      <c r="A17" s="4">
        <v>2021</v>
      </c>
      <c r="B17" s="6">
        <v>32838616</v>
      </c>
      <c r="C17" s="4" t="s">
        <v>113</v>
      </c>
      <c r="D17" s="4" t="s">
        <v>907</v>
      </c>
      <c r="E17" s="10" t="s">
        <v>157</v>
      </c>
      <c r="F17" s="4" t="s">
        <v>66</v>
      </c>
      <c r="G17" s="4" t="s">
        <v>66</v>
      </c>
      <c r="H17" s="4" t="s">
        <v>66</v>
      </c>
      <c r="I17" s="4">
        <v>1</v>
      </c>
      <c r="J17" s="4" t="s">
        <v>1285</v>
      </c>
      <c r="K17" s="4" t="s">
        <v>909</v>
      </c>
      <c r="L17" s="4" t="s">
        <v>156</v>
      </c>
      <c r="M17" s="4" t="s">
        <v>903</v>
      </c>
      <c r="N17" s="4" t="s">
        <v>766</v>
      </c>
      <c r="O17" s="10" t="s">
        <v>647</v>
      </c>
      <c r="P17" s="10" t="s">
        <v>911</v>
      </c>
      <c r="Q17" s="10">
        <v>2</v>
      </c>
      <c r="R17" s="10">
        <v>22</v>
      </c>
      <c r="T17" s="13"/>
      <c r="U17" s="10" t="s">
        <v>1294</v>
      </c>
      <c r="V17" s="10" t="s">
        <v>635</v>
      </c>
      <c r="W17" s="12"/>
      <c r="X17" s="12"/>
      <c r="Y17" s="12"/>
      <c r="Z17" s="12"/>
      <c r="AA17" s="15">
        <v>22</v>
      </c>
      <c r="AB17" s="15">
        <v>22</v>
      </c>
      <c r="AC17" s="18"/>
      <c r="AD17" s="18"/>
      <c r="AE17" s="18"/>
      <c r="AF17" s="18"/>
      <c r="AG17" s="18" t="s">
        <v>157</v>
      </c>
      <c r="AH17" s="12"/>
      <c r="AI17" s="12" t="s">
        <v>781</v>
      </c>
      <c r="AJ17" s="12"/>
      <c r="AK17" s="12" t="s">
        <v>1299</v>
      </c>
      <c r="AL17" s="12" t="s">
        <v>1296</v>
      </c>
      <c r="AM17" s="10" t="s">
        <v>1289</v>
      </c>
      <c r="AN17" s="10" t="s">
        <v>157</v>
      </c>
    </row>
    <row r="18" spans="1:40" s="10" customFormat="1" x14ac:dyDescent="0.2">
      <c r="A18" s="4">
        <v>2021</v>
      </c>
      <c r="B18" s="6">
        <v>32838616</v>
      </c>
      <c r="C18" s="4" t="s">
        <v>113</v>
      </c>
      <c r="D18" s="4" t="s">
        <v>907</v>
      </c>
      <c r="E18" s="10" t="s">
        <v>157</v>
      </c>
      <c r="F18" s="4" t="s">
        <v>66</v>
      </c>
      <c r="G18" s="4" t="s">
        <v>66</v>
      </c>
      <c r="H18" s="4" t="s">
        <v>66</v>
      </c>
      <c r="I18" s="4">
        <v>1</v>
      </c>
      <c r="J18" s="4" t="s">
        <v>1285</v>
      </c>
      <c r="K18" s="4" t="s">
        <v>909</v>
      </c>
      <c r="L18" s="4" t="s">
        <v>156</v>
      </c>
      <c r="M18" s="4" t="s">
        <v>903</v>
      </c>
      <c r="N18" s="4" t="s">
        <v>766</v>
      </c>
      <c r="O18" s="10" t="s">
        <v>647</v>
      </c>
      <c r="P18" s="10" t="s">
        <v>911</v>
      </c>
      <c r="Q18" s="10">
        <v>2</v>
      </c>
      <c r="R18" s="10">
        <v>22</v>
      </c>
      <c r="T18" s="13"/>
      <c r="U18" s="10" t="s">
        <v>1295</v>
      </c>
      <c r="V18" s="10" t="s">
        <v>642</v>
      </c>
      <c r="W18" s="12">
        <v>445</v>
      </c>
      <c r="X18" s="12">
        <v>437</v>
      </c>
      <c r="Y18" s="12">
        <f>12.5*SQRT(AA18)</f>
        <v>58.630196997792872</v>
      </c>
      <c r="Z18" s="12">
        <f>12.5*SQRT(AB18)</f>
        <v>58.630196997792872</v>
      </c>
      <c r="AA18" s="15">
        <v>22</v>
      </c>
      <c r="AB18" s="15">
        <v>22</v>
      </c>
      <c r="AC18" s="18">
        <f t="shared" si="4"/>
        <v>8</v>
      </c>
      <c r="AD18" s="18">
        <f t="shared" si="5"/>
        <v>58.630196997792879</v>
      </c>
      <c r="AE18" s="18">
        <f t="shared" si="6"/>
        <v>0.13644845846759066</v>
      </c>
      <c r="AF18" s="18">
        <f t="shared" si="7"/>
        <v>0.30186199024889637</v>
      </c>
      <c r="AG18" s="18" t="s">
        <v>193</v>
      </c>
      <c r="AH18" s="12"/>
      <c r="AI18" s="12" t="s">
        <v>781</v>
      </c>
      <c r="AJ18" s="12" t="s">
        <v>348</v>
      </c>
      <c r="AK18" s="12" t="s">
        <v>1299</v>
      </c>
      <c r="AL18" s="12" t="s">
        <v>1291</v>
      </c>
      <c r="AM18" s="10" t="s">
        <v>1289</v>
      </c>
      <c r="AN18" s="10" t="s">
        <v>157</v>
      </c>
    </row>
    <row r="19" spans="1:40" s="10" customFormat="1" x14ac:dyDescent="0.2">
      <c r="A19" s="4">
        <v>2021</v>
      </c>
      <c r="B19" s="6">
        <v>32838616</v>
      </c>
      <c r="C19" s="4" t="s">
        <v>113</v>
      </c>
      <c r="D19" s="4" t="s">
        <v>907</v>
      </c>
      <c r="E19" s="10" t="s">
        <v>157</v>
      </c>
      <c r="F19" s="4" t="s">
        <v>66</v>
      </c>
      <c r="G19" s="4" t="s">
        <v>66</v>
      </c>
      <c r="H19" s="4" t="s">
        <v>66</v>
      </c>
      <c r="I19" s="4">
        <v>1</v>
      </c>
      <c r="J19" s="4" t="s">
        <v>1285</v>
      </c>
      <c r="K19" s="4" t="s">
        <v>909</v>
      </c>
      <c r="L19" s="4" t="s">
        <v>156</v>
      </c>
      <c r="M19" s="4" t="s">
        <v>903</v>
      </c>
      <c r="N19" s="4" t="s">
        <v>766</v>
      </c>
      <c r="O19" s="10" t="s">
        <v>647</v>
      </c>
      <c r="P19" s="10" t="s">
        <v>911</v>
      </c>
      <c r="Q19" s="10">
        <v>2</v>
      </c>
      <c r="R19" s="10">
        <v>22</v>
      </c>
      <c r="T19" s="13"/>
      <c r="U19" s="10" t="s">
        <v>1297</v>
      </c>
      <c r="V19" s="10" t="s">
        <v>642</v>
      </c>
      <c r="W19" s="12">
        <v>4.0999999999999996</v>
      </c>
      <c r="X19" s="12">
        <v>3.7</v>
      </c>
      <c r="Y19" s="12">
        <f>1.9*SQRT(AA19)</f>
        <v>8.911789943664516</v>
      </c>
      <c r="Z19" s="12">
        <f>1.7*SQRT(AB19)</f>
        <v>7.9737067916998301</v>
      </c>
      <c r="AA19" s="15">
        <v>22</v>
      </c>
      <c r="AB19" s="15">
        <v>22</v>
      </c>
      <c r="AC19" s="18">
        <f t="shared" si="4"/>
        <v>0.39999999999999947</v>
      </c>
      <c r="AD19" s="18">
        <f t="shared" si="5"/>
        <v>8.4557672626438816</v>
      </c>
      <c r="AE19" s="18">
        <f t="shared" si="6"/>
        <v>4.7304991679126544E-2</v>
      </c>
      <c r="AF19" s="18">
        <f t="shared" si="7"/>
        <v>0.30155351104808764</v>
      </c>
      <c r="AG19" s="18" t="s">
        <v>193</v>
      </c>
      <c r="AH19" s="12"/>
      <c r="AI19" s="12" t="s">
        <v>781</v>
      </c>
      <c r="AJ19" s="12" t="s">
        <v>642</v>
      </c>
      <c r="AK19" s="12" t="s">
        <v>1298</v>
      </c>
      <c r="AL19" s="12" t="s">
        <v>1291</v>
      </c>
      <c r="AM19" s="10" t="s">
        <v>1289</v>
      </c>
      <c r="AN19" s="10" t="s">
        <v>157</v>
      </c>
    </row>
    <row r="20" spans="1:40" s="10" customFormat="1" x14ac:dyDescent="0.2">
      <c r="A20" s="11">
        <v>2015</v>
      </c>
      <c r="B20" s="10">
        <v>25691622</v>
      </c>
      <c r="C20" s="10" t="s">
        <v>113</v>
      </c>
      <c r="D20" s="10" t="s">
        <v>908</v>
      </c>
      <c r="E20" s="10" t="s">
        <v>157</v>
      </c>
      <c r="F20" s="10" t="s">
        <v>66</v>
      </c>
      <c r="G20" s="10" t="s">
        <v>66</v>
      </c>
      <c r="H20" s="10" t="s">
        <v>66</v>
      </c>
      <c r="I20" s="10">
        <v>1</v>
      </c>
      <c r="J20" s="10" t="s">
        <v>1284</v>
      </c>
      <c r="K20" s="10" t="s">
        <v>909</v>
      </c>
      <c r="L20" s="10" t="s">
        <v>412</v>
      </c>
      <c r="M20" s="10" t="s">
        <v>903</v>
      </c>
      <c r="N20" s="10" t="s">
        <v>766</v>
      </c>
      <c r="O20" s="10" t="s">
        <v>650</v>
      </c>
      <c r="P20" s="10" t="s">
        <v>911</v>
      </c>
      <c r="Q20" s="10">
        <v>2</v>
      </c>
      <c r="R20" s="10">
        <v>133</v>
      </c>
      <c r="T20" s="13"/>
      <c r="U20" s="10" t="s">
        <v>413</v>
      </c>
      <c r="V20" s="10" t="s">
        <v>635</v>
      </c>
      <c r="W20" s="12">
        <v>455</v>
      </c>
      <c r="X20" s="12">
        <v>433</v>
      </c>
      <c r="Y20" s="12">
        <f>5*SQRT(133)</f>
        <v>57.662812973353979</v>
      </c>
      <c r="Z20" s="12">
        <f>5*SQRT(133)</f>
        <v>57.662812973353979</v>
      </c>
      <c r="AA20" s="15">
        <v>133</v>
      </c>
      <c r="AB20" s="15">
        <v>133</v>
      </c>
      <c r="AC20" s="12">
        <f t="shared" ref="AC20:AC28" si="8">W20-X20</f>
        <v>22</v>
      </c>
      <c r="AD20" s="12">
        <f t="shared" ref="AD20:AD28" si="9">SQRT(((AA20-1)*Y20^2+(AB20-1)*Z20^2)/(AA20+AB20-2))</f>
        <v>57.662812973353979</v>
      </c>
      <c r="AE20" s="12">
        <f t="shared" ref="AE20:AE28" si="10">AC20/AD20</f>
        <v>0.38152838659061278</v>
      </c>
      <c r="AF20" s="12">
        <f t="shared" ref="AF20:AF28" si="11">SQRT(((AA20+AB20)/(AA20*AB20)+(AE20^2/(2*(AA20+AB20)))))</f>
        <v>0.12373847565215462</v>
      </c>
      <c r="AG20" s="12" t="s">
        <v>193</v>
      </c>
      <c r="AH20" s="12"/>
      <c r="AI20" s="12" t="s">
        <v>781</v>
      </c>
      <c r="AJ20" s="12" t="s">
        <v>348</v>
      </c>
      <c r="AK20" s="12" t="s">
        <v>1298</v>
      </c>
      <c r="AL20" s="12"/>
      <c r="AM20" s="10" t="s">
        <v>699</v>
      </c>
      <c r="AN20" s="10" t="s">
        <v>157</v>
      </c>
    </row>
    <row r="21" spans="1:40" s="10" customFormat="1" x14ac:dyDescent="0.2">
      <c r="A21" s="11">
        <v>2015</v>
      </c>
      <c r="B21" s="10">
        <v>25691622</v>
      </c>
      <c r="C21" s="10" t="s">
        <v>113</v>
      </c>
      <c r="D21" s="10" t="s">
        <v>908</v>
      </c>
      <c r="E21" s="10" t="s">
        <v>157</v>
      </c>
      <c r="F21" s="10" t="s">
        <v>66</v>
      </c>
      <c r="G21" s="10" t="s">
        <v>66</v>
      </c>
      <c r="H21" s="10" t="s">
        <v>66</v>
      </c>
      <c r="I21" s="10">
        <v>1</v>
      </c>
      <c r="J21" s="10" t="s">
        <v>1284</v>
      </c>
      <c r="K21" s="10" t="s">
        <v>909</v>
      </c>
      <c r="L21" s="10" t="s">
        <v>412</v>
      </c>
      <c r="M21" s="10" t="s">
        <v>903</v>
      </c>
      <c r="N21" s="10" t="s">
        <v>766</v>
      </c>
      <c r="O21" s="10" t="s">
        <v>650</v>
      </c>
      <c r="P21" s="10" t="s">
        <v>911</v>
      </c>
      <c r="Q21" s="10">
        <v>2</v>
      </c>
      <c r="R21" s="10">
        <v>263</v>
      </c>
      <c r="T21" s="13"/>
      <c r="U21" s="10" t="s">
        <v>640</v>
      </c>
      <c r="V21" s="10" t="s">
        <v>642</v>
      </c>
      <c r="W21" s="12">
        <v>127</v>
      </c>
      <c r="X21" s="12">
        <v>127</v>
      </c>
      <c r="Y21" s="12">
        <v>12</v>
      </c>
      <c r="Z21" s="12">
        <v>12</v>
      </c>
      <c r="AA21" s="15">
        <v>263</v>
      </c>
      <c r="AB21" s="15">
        <v>263</v>
      </c>
      <c r="AC21" s="12">
        <f t="shared" si="8"/>
        <v>0</v>
      </c>
      <c r="AD21" s="12">
        <f t="shared" si="9"/>
        <v>12</v>
      </c>
      <c r="AE21" s="12">
        <f t="shared" si="10"/>
        <v>0</v>
      </c>
      <c r="AF21" s="12">
        <f t="shared" si="11"/>
        <v>8.7204144039389461E-2</v>
      </c>
      <c r="AG21" s="12" t="s">
        <v>193</v>
      </c>
      <c r="AH21" s="12"/>
      <c r="AI21" s="12" t="s">
        <v>780</v>
      </c>
      <c r="AJ21" s="12" t="s">
        <v>348</v>
      </c>
      <c r="AK21" s="12" t="s">
        <v>1299</v>
      </c>
      <c r="AL21" s="12"/>
      <c r="AM21" s="10" t="s">
        <v>699</v>
      </c>
      <c r="AN21" s="10" t="s">
        <v>157</v>
      </c>
    </row>
    <row r="22" spans="1:40" s="10" customFormat="1" x14ac:dyDescent="0.2">
      <c r="A22" s="11">
        <v>2015</v>
      </c>
      <c r="B22" s="10">
        <v>25691622</v>
      </c>
      <c r="C22" s="10" t="s">
        <v>113</v>
      </c>
      <c r="D22" s="10" t="s">
        <v>908</v>
      </c>
      <c r="E22" s="10" t="s">
        <v>157</v>
      </c>
      <c r="F22" s="10" t="s">
        <v>66</v>
      </c>
      <c r="G22" s="10" t="s">
        <v>66</v>
      </c>
      <c r="H22" s="10" t="s">
        <v>66</v>
      </c>
      <c r="I22" s="10">
        <v>1</v>
      </c>
      <c r="J22" s="10" t="s">
        <v>1284</v>
      </c>
      <c r="K22" s="10" t="s">
        <v>909</v>
      </c>
      <c r="L22" s="10" t="s">
        <v>412</v>
      </c>
      <c r="M22" s="10" t="s">
        <v>903</v>
      </c>
      <c r="N22" s="10" t="s">
        <v>766</v>
      </c>
      <c r="O22" s="10" t="s">
        <v>650</v>
      </c>
      <c r="P22" s="10" t="s">
        <v>911</v>
      </c>
      <c r="Q22" s="10">
        <v>2</v>
      </c>
      <c r="R22" s="10">
        <v>263</v>
      </c>
      <c r="T22" s="13"/>
      <c r="U22" s="10" t="s">
        <v>641</v>
      </c>
      <c r="V22" s="10" t="s">
        <v>642</v>
      </c>
      <c r="W22" s="12">
        <v>79</v>
      </c>
      <c r="X22" s="12">
        <v>79</v>
      </c>
      <c r="Y22" s="12">
        <v>9</v>
      </c>
      <c r="Z22" s="12">
        <v>8</v>
      </c>
      <c r="AA22" s="15">
        <v>263</v>
      </c>
      <c r="AB22" s="15">
        <v>263</v>
      </c>
      <c r="AC22" s="12">
        <f t="shared" si="8"/>
        <v>0</v>
      </c>
      <c r="AD22" s="12">
        <f t="shared" si="9"/>
        <v>8.5146931829632013</v>
      </c>
      <c r="AE22" s="12">
        <f t="shared" si="10"/>
        <v>0</v>
      </c>
      <c r="AF22" s="12">
        <f t="shared" si="11"/>
        <v>8.7204144039389461E-2</v>
      </c>
      <c r="AG22" s="12" t="s">
        <v>193</v>
      </c>
      <c r="AH22" s="12"/>
      <c r="AI22" s="12" t="s">
        <v>780</v>
      </c>
      <c r="AJ22" s="12" t="s">
        <v>348</v>
      </c>
      <c r="AK22" s="12" t="s">
        <v>1299</v>
      </c>
      <c r="AL22" s="12"/>
      <c r="AM22" s="10" t="s">
        <v>699</v>
      </c>
      <c r="AN22" s="10" t="s">
        <v>157</v>
      </c>
    </row>
    <row r="23" spans="1:40" s="10" customFormat="1" x14ac:dyDescent="0.2">
      <c r="A23" s="11">
        <v>2015</v>
      </c>
      <c r="B23" s="10">
        <v>25691622</v>
      </c>
      <c r="C23" s="10" t="s">
        <v>113</v>
      </c>
      <c r="D23" s="10" t="s">
        <v>908</v>
      </c>
      <c r="E23" s="10" t="s">
        <v>157</v>
      </c>
      <c r="F23" s="10" t="s">
        <v>66</v>
      </c>
      <c r="G23" s="10" t="s">
        <v>66</v>
      </c>
      <c r="H23" s="10" t="s">
        <v>66</v>
      </c>
      <c r="I23" s="10">
        <v>1</v>
      </c>
      <c r="J23" s="10" t="s">
        <v>1284</v>
      </c>
      <c r="K23" s="10" t="s">
        <v>909</v>
      </c>
      <c r="L23" s="10" t="s">
        <v>412</v>
      </c>
      <c r="M23" s="10" t="s">
        <v>903</v>
      </c>
      <c r="N23" s="10" t="s">
        <v>766</v>
      </c>
      <c r="O23" s="10" t="s">
        <v>650</v>
      </c>
      <c r="P23" s="10" t="s">
        <v>911</v>
      </c>
      <c r="Q23" s="10">
        <v>2</v>
      </c>
      <c r="R23" s="10">
        <v>263</v>
      </c>
      <c r="T23" s="13"/>
      <c r="U23" s="10" t="s">
        <v>644</v>
      </c>
      <c r="V23" s="10" t="s">
        <v>642</v>
      </c>
      <c r="W23" s="12">
        <v>131</v>
      </c>
      <c r="X23" s="12">
        <v>131</v>
      </c>
      <c r="Y23" s="12">
        <v>12</v>
      </c>
      <c r="Z23" s="12">
        <v>12</v>
      </c>
      <c r="AA23" s="15">
        <v>263</v>
      </c>
      <c r="AB23" s="15">
        <v>263</v>
      </c>
      <c r="AC23" s="12">
        <f t="shared" si="8"/>
        <v>0</v>
      </c>
      <c r="AD23" s="12">
        <f t="shared" si="9"/>
        <v>12</v>
      </c>
      <c r="AE23" s="12">
        <f t="shared" si="10"/>
        <v>0</v>
      </c>
      <c r="AF23" s="12">
        <f t="shared" si="11"/>
        <v>8.7204144039389461E-2</v>
      </c>
      <c r="AG23" s="12" t="s">
        <v>193</v>
      </c>
      <c r="AH23" s="12"/>
      <c r="AI23" s="12" t="s">
        <v>780</v>
      </c>
      <c r="AJ23" s="12" t="s">
        <v>348</v>
      </c>
      <c r="AK23" s="12" t="s">
        <v>1299</v>
      </c>
      <c r="AL23" s="12"/>
      <c r="AM23" s="10" t="s">
        <v>699</v>
      </c>
      <c r="AN23" s="10" t="s">
        <v>157</v>
      </c>
    </row>
    <row r="24" spans="1:40" s="10" customFormat="1" x14ac:dyDescent="0.2">
      <c r="A24" s="11">
        <v>2015</v>
      </c>
      <c r="B24" s="10">
        <v>25691622</v>
      </c>
      <c r="C24" s="10" t="s">
        <v>113</v>
      </c>
      <c r="D24" s="10" t="s">
        <v>908</v>
      </c>
      <c r="E24" s="10" t="s">
        <v>157</v>
      </c>
      <c r="F24" s="10" t="s">
        <v>66</v>
      </c>
      <c r="G24" s="10" t="s">
        <v>66</v>
      </c>
      <c r="H24" s="10" t="s">
        <v>66</v>
      </c>
      <c r="I24" s="10">
        <v>1</v>
      </c>
      <c r="J24" s="10" t="s">
        <v>1284</v>
      </c>
      <c r="K24" s="10" t="s">
        <v>909</v>
      </c>
      <c r="L24" s="10" t="s">
        <v>412</v>
      </c>
      <c r="M24" s="10" t="s">
        <v>903</v>
      </c>
      <c r="N24" s="10" t="s">
        <v>766</v>
      </c>
      <c r="O24" s="10" t="s">
        <v>650</v>
      </c>
      <c r="P24" s="10" t="s">
        <v>911</v>
      </c>
      <c r="Q24" s="10">
        <v>2</v>
      </c>
      <c r="R24" s="10">
        <v>263</v>
      </c>
      <c r="T24" s="13"/>
      <c r="U24" s="10" t="s">
        <v>645</v>
      </c>
      <c r="V24" s="10" t="s">
        <v>642</v>
      </c>
      <c r="W24" s="12">
        <v>82</v>
      </c>
      <c r="X24" s="12">
        <v>81</v>
      </c>
      <c r="Y24" s="12">
        <v>9</v>
      </c>
      <c r="Z24" s="12">
        <v>9</v>
      </c>
      <c r="AA24" s="15">
        <v>263</v>
      </c>
      <c r="AB24" s="15">
        <v>263</v>
      </c>
      <c r="AC24" s="12">
        <f t="shared" si="8"/>
        <v>1</v>
      </c>
      <c r="AD24" s="12">
        <f t="shared" si="9"/>
        <v>9</v>
      </c>
      <c r="AE24" s="12">
        <f t="shared" si="10"/>
        <v>0.1111111111111111</v>
      </c>
      <c r="AF24" s="12">
        <f t="shared" si="11"/>
        <v>8.7271405248031314E-2</v>
      </c>
      <c r="AG24" s="12" t="s">
        <v>193</v>
      </c>
      <c r="AH24" s="12" t="s">
        <v>193</v>
      </c>
      <c r="AI24" s="12" t="s">
        <v>780</v>
      </c>
      <c r="AJ24" s="12" t="s">
        <v>348</v>
      </c>
      <c r="AK24" s="12" t="s">
        <v>1299</v>
      </c>
      <c r="AL24" s="12"/>
      <c r="AM24" s="10" t="s">
        <v>699</v>
      </c>
      <c r="AN24" s="10" t="s">
        <v>157</v>
      </c>
    </row>
    <row r="25" spans="1:40" s="10" customFormat="1" x14ac:dyDescent="0.2">
      <c r="A25" s="11">
        <v>2015</v>
      </c>
      <c r="B25" s="10">
        <v>25691622</v>
      </c>
      <c r="C25" s="10" t="s">
        <v>113</v>
      </c>
      <c r="D25" s="10" t="s">
        <v>908</v>
      </c>
      <c r="E25" s="10" t="s">
        <v>157</v>
      </c>
      <c r="F25" s="10" t="s">
        <v>66</v>
      </c>
      <c r="G25" s="10" t="s">
        <v>66</v>
      </c>
      <c r="H25" s="10" t="s">
        <v>66</v>
      </c>
      <c r="I25" s="10">
        <v>1</v>
      </c>
      <c r="J25" s="10" t="s">
        <v>1284</v>
      </c>
      <c r="K25" s="10" t="s">
        <v>909</v>
      </c>
      <c r="L25" s="10" t="s">
        <v>412</v>
      </c>
      <c r="M25" s="10" t="s">
        <v>903</v>
      </c>
      <c r="N25" s="10" t="s">
        <v>766</v>
      </c>
      <c r="O25" s="10" t="s">
        <v>650</v>
      </c>
      <c r="P25" s="10" t="s">
        <v>911</v>
      </c>
      <c r="Q25" s="10">
        <v>2</v>
      </c>
      <c r="R25" s="10">
        <v>263</v>
      </c>
      <c r="T25" s="13"/>
      <c r="U25" s="10" t="s">
        <v>637</v>
      </c>
      <c r="V25" s="10" t="s">
        <v>642</v>
      </c>
      <c r="W25" s="12">
        <v>117</v>
      </c>
      <c r="X25" s="12">
        <v>117</v>
      </c>
      <c r="Y25" s="12">
        <v>15</v>
      </c>
      <c r="Z25" s="12">
        <v>14</v>
      </c>
      <c r="AA25" s="15">
        <v>263</v>
      </c>
      <c r="AB25" s="15">
        <v>263</v>
      </c>
      <c r="AC25" s="12">
        <f t="shared" si="8"/>
        <v>0</v>
      </c>
      <c r="AD25" s="12">
        <f t="shared" si="9"/>
        <v>14.508618128546908</v>
      </c>
      <c r="AE25" s="12">
        <f t="shared" si="10"/>
        <v>0</v>
      </c>
      <c r="AF25" s="12">
        <f t="shared" si="11"/>
        <v>8.7204144039389461E-2</v>
      </c>
      <c r="AG25" s="12" t="s">
        <v>193</v>
      </c>
      <c r="AH25" s="12"/>
      <c r="AI25" s="12" t="s">
        <v>780</v>
      </c>
      <c r="AJ25" s="12" t="s">
        <v>348</v>
      </c>
      <c r="AK25" s="12" t="s">
        <v>1299</v>
      </c>
      <c r="AL25" s="12"/>
      <c r="AM25" s="10" t="s">
        <v>699</v>
      </c>
      <c r="AN25" s="10" t="s">
        <v>157</v>
      </c>
    </row>
    <row r="26" spans="1:40" s="10" customFormat="1" x14ac:dyDescent="0.2">
      <c r="A26" s="11">
        <v>2015</v>
      </c>
      <c r="B26" s="10">
        <v>25691622</v>
      </c>
      <c r="C26" s="10" t="s">
        <v>113</v>
      </c>
      <c r="D26" s="10" t="s">
        <v>908</v>
      </c>
      <c r="E26" s="10" t="s">
        <v>157</v>
      </c>
      <c r="F26" s="10" t="s">
        <v>66</v>
      </c>
      <c r="G26" s="10" t="s">
        <v>66</v>
      </c>
      <c r="H26" s="10" t="s">
        <v>66</v>
      </c>
      <c r="I26" s="10">
        <v>1</v>
      </c>
      <c r="J26" s="10" t="s">
        <v>1284</v>
      </c>
      <c r="K26" s="10" t="s">
        <v>909</v>
      </c>
      <c r="L26" s="10" t="s">
        <v>412</v>
      </c>
      <c r="M26" s="10" t="s">
        <v>903</v>
      </c>
      <c r="N26" s="10" t="s">
        <v>766</v>
      </c>
      <c r="O26" s="10" t="s">
        <v>650</v>
      </c>
      <c r="P26" s="10" t="s">
        <v>911</v>
      </c>
      <c r="Q26" s="10">
        <v>2</v>
      </c>
      <c r="R26" s="10">
        <v>263</v>
      </c>
      <c r="T26" s="13"/>
      <c r="U26" s="10" t="s">
        <v>638</v>
      </c>
      <c r="V26" s="10" t="s">
        <v>642</v>
      </c>
      <c r="W26" s="12">
        <v>69</v>
      </c>
      <c r="X26" s="12">
        <v>69</v>
      </c>
      <c r="Y26" s="12">
        <v>10</v>
      </c>
      <c r="Z26" s="12">
        <v>9</v>
      </c>
      <c r="AA26" s="15">
        <v>263</v>
      </c>
      <c r="AB26" s="15">
        <v>263</v>
      </c>
      <c r="AC26" s="12">
        <f t="shared" si="8"/>
        <v>0</v>
      </c>
      <c r="AD26" s="12">
        <f t="shared" si="9"/>
        <v>9.5131487952202232</v>
      </c>
      <c r="AE26" s="12">
        <f t="shared" si="10"/>
        <v>0</v>
      </c>
      <c r="AF26" s="12">
        <f t="shared" si="11"/>
        <v>8.7204144039389461E-2</v>
      </c>
      <c r="AG26" s="12" t="s">
        <v>193</v>
      </c>
      <c r="AH26" s="12"/>
      <c r="AI26" s="12" t="s">
        <v>780</v>
      </c>
      <c r="AJ26" s="12" t="s">
        <v>348</v>
      </c>
      <c r="AK26" s="12" t="s">
        <v>1299</v>
      </c>
      <c r="AL26" s="12"/>
      <c r="AM26" s="10" t="s">
        <v>699</v>
      </c>
      <c r="AN26" s="10" t="s">
        <v>157</v>
      </c>
    </row>
    <row r="27" spans="1:40" s="10" customFormat="1" x14ac:dyDescent="0.2">
      <c r="A27" s="10">
        <v>2013</v>
      </c>
      <c r="B27" s="10">
        <v>23004922</v>
      </c>
      <c r="C27" s="10" t="s">
        <v>113</v>
      </c>
      <c r="D27" s="10" t="s">
        <v>908</v>
      </c>
      <c r="E27" s="10" t="s">
        <v>157</v>
      </c>
      <c r="F27" s="10" t="s">
        <v>66</v>
      </c>
      <c r="G27" s="10" t="s">
        <v>66</v>
      </c>
      <c r="H27" s="10" t="s">
        <v>66</v>
      </c>
      <c r="I27" s="10">
        <v>1</v>
      </c>
      <c r="J27" s="10" t="s">
        <v>128</v>
      </c>
      <c r="K27" s="10" t="s">
        <v>86</v>
      </c>
      <c r="L27" s="10" t="s">
        <v>415</v>
      </c>
      <c r="M27" s="10" t="s">
        <v>902</v>
      </c>
      <c r="N27" s="10" t="s">
        <v>766</v>
      </c>
      <c r="P27" s="10" t="s">
        <v>809</v>
      </c>
      <c r="Q27" s="10">
        <v>3</v>
      </c>
      <c r="R27" s="15">
        <f>AA27+AB27</f>
        <v>117</v>
      </c>
      <c r="S27" s="15">
        <v>30.7</v>
      </c>
      <c r="T27" s="13">
        <v>100</v>
      </c>
      <c r="U27" s="10" t="s">
        <v>640</v>
      </c>
      <c r="V27" s="10" t="s">
        <v>635</v>
      </c>
      <c r="W27" s="12">
        <v>107</v>
      </c>
      <c r="X27" s="13">
        <v>98</v>
      </c>
      <c r="Y27" s="12">
        <f t="shared" ref="Y27:Y28" si="12">0.5*SQRT(AA27)</f>
        <v>3.8078865529319543</v>
      </c>
      <c r="Z27" s="12">
        <f>0.5*SQRT(AB27)</f>
        <v>3.8405728739343039</v>
      </c>
      <c r="AA27" s="15">
        <v>58</v>
      </c>
      <c r="AB27" s="15">
        <v>59</v>
      </c>
      <c r="AC27" s="12">
        <f t="shared" si="8"/>
        <v>9</v>
      </c>
      <c r="AD27" s="12">
        <f t="shared" si="9"/>
        <v>3.8244067456955646</v>
      </c>
      <c r="AE27" s="12">
        <f t="shared" si="10"/>
        <v>2.3533061722918607</v>
      </c>
      <c r="AF27" s="12">
        <f t="shared" si="11"/>
        <v>0.24053567706376797</v>
      </c>
      <c r="AG27" s="12" t="s">
        <v>157</v>
      </c>
      <c r="AH27" s="12"/>
      <c r="AI27" s="12" t="s">
        <v>780</v>
      </c>
      <c r="AJ27" s="12" t="s">
        <v>348</v>
      </c>
      <c r="AK27" s="12"/>
      <c r="AL27" s="12"/>
      <c r="AM27" s="10" t="s">
        <v>701</v>
      </c>
      <c r="AN27" s="10" t="s">
        <v>193</v>
      </c>
    </row>
    <row r="28" spans="1:40" s="10" customFormat="1" x14ac:dyDescent="0.2">
      <c r="A28" s="10">
        <v>2013</v>
      </c>
      <c r="B28" s="10">
        <v>23004922</v>
      </c>
      <c r="C28" s="10" t="s">
        <v>113</v>
      </c>
      <c r="D28" s="10" t="s">
        <v>908</v>
      </c>
      <c r="E28" s="10" t="s">
        <v>157</v>
      </c>
      <c r="F28" s="10" t="s">
        <v>66</v>
      </c>
      <c r="G28" s="10" t="s">
        <v>66</v>
      </c>
      <c r="H28" s="10" t="s">
        <v>66</v>
      </c>
      <c r="I28" s="10">
        <v>1</v>
      </c>
      <c r="J28" s="10" t="s">
        <v>128</v>
      </c>
      <c r="K28" s="10" t="s">
        <v>86</v>
      </c>
      <c r="L28" s="10" t="s">
        <v>415</v>
      </c>
      <c r="M28" s="10" t="s">
        <v>902</v>
      </c>
      <c r="N28" s="10" t="s">
        <v>766</v>
      </c>
      <c r="P28" s="10" t="s">
        <v>809</v>
      </c>
      <c r="Q28" s="10">
        <v>3</v>
      </c>
      <c r="R28" s="10">
        <v>117</v>
      </c>
      <c r="S28" s="15">
        <v>30.7</v>
      </c>
      <c r="T28" s="13">
        <v>100</v>
      </c>
      <c r="U28" s="10" t="s">
        <v>641</v>
      </c>
      <c r="V28" s="10" t="s">
        <v>635</v>
      </c>
      <c r="W28" s="12">
        <v>109</v>
      </c>
      <c r="X28" s="13">
        <v>98</v>
      </c>
      <c r="Y28" s="12">
        <f t="shared" si="12"/>
        <v>3.8078865529319543</v>
      </c>
      <c r="Z28" s="12">
        <f>0.5*SQRT(AB28)</f>
        <v>3.8405728739343039</v>
      </c>
      <c r="AA28" s="15">
        <v>58</v>
      </c>
      <c r="AB28" s="15">
        <v>59</v>
      </c>
      <c r="AC28" s="12">
        <f t="shared" si="8"/>
        <v>11</v>
      </c>
      <c r="AD28" s="12">
        <f t="shared" si="9"/>
        <v>3.8244067456955646</v>
      </c>
      <c r="AE28" s="12">
        <f t="shared" si="10"/>
        <v>2.8762630994678293</v>
      </c>
      <c r="AF28" s="12">
        <f t="shared" si="11"/>
        <v>0.26371340529452647</v>
      </c>
      <c r="AG28" s="12" t="s">
        <v>157</v>
      </c>
      <c r="AH28" s="12" t="s">
        <v>193</v>
      </c>
      <c r="AI28" s="12" t="s">
        <v>780</v>
      </c>
      <c r="AJ28" s="12" t="s">
        <v>348</v>
      </c>
      <c r="AK28" s="12"/>
      <c r="AL28" s="12"/>
      <c r="AM28" s="10" t="s">
        <v>701</v>
      </c>
      <c r="AN28" s="10" t="s">
        <v>193</v>
      </c>
    </row>
    <row r="29" spans="1:40" s="10" customFormat="1" x14ac:dyDescent="0.2">
      <c r="A29" s="10">
        <v>2013</v>
      </c>
      <c r="B29" s="10">
        <v>23004922</v>
      </c>
      <c r="C29" s="10" t="s">
        <v>113</v>
      </c>
      <c r="D29" s="10" t="s">
        <v>908</v>
      </c>
      <c r="E29" s="10" t="s">
        <v>157</v>
      </c>
      <c r="F29" s="10" t="s">
        <v>66</v>
      </c>
      <c r="G29" s="10" t="s">
        <v>66</v>
      </c>
      <c r="H29" s="10" t="s">
        <v>66</v>
      </c>
      <c r="I29" s="10">
        <v>1</v>
      </c>
      <c r="J29" s="10" t="s">
        <v>128</v>
      </c>
      <c r="K29" s="10" t="s">
        <v>86</v>
      </c>
      <c r="L29" s="10" t="s">
        <v>415</v>
      </c>
      <c r="M29" s="10" t="s">
        <v>902</v>
      </c>
      <c r="N29" s="10" t="s">
        <v>766</v>
      </c>
      <c r="P29" s="10" t="s">
        <v>809</v>
      </c>
      <c r="Q29" s="10">
        <v>3</v>
      </c>
      <c r="R29" s="10">
        <v>117</v>
      </c>
      <c r="S29" s="15">
        <v>30.7</v>
      </c>
      <c r="T29" s="13">
        <v>100</v>
      </c>
      <c r="U29" s="10" t="s">
        <v>873</v>
      </c>
      <c r="V29" s="10" t="s">
        <v>635</v>
      </c>
      <c r="W29" s="12"/>
      <c r="X29" s="12"/>
      <c r="Y29" s="12"/>
      <c r="Z29" s="12"/>
      <c r="AA29" s="15">
        <v>58</v>
      </c>
      <c r="AB29" s="15">
        <v>59</v>
      </c>
      <c r="AC29" s="12"/>
      <c r="AD29" s="12"/>
      <c r="AE29" s="12"/>
      <c r="AF29" s="12"/>
      <c r="AG29" s="12"/>
      <c r="AH29" s="12"/>
      <c r="AI29" s="12" t="s">
        <v>1300</v>
      </c>
      <c r="AJ29" s="12" t="s">
        <v>348</v>
      </c>
      <c r="AK29" s="12"/>
      <c r="AL29" s="12" t="s">
        <v>1301</v>
      </c>
      <c r="AM29" s="10" t="s">
        <v>701</v>
      </c>
      <c r="AN29" s="10" t="s">
        <v>193</v>
      </c>
    </row>
    <row r="30" spans="1:40" s="10" customFormat="1" x14ac:dyDescent="0.2">
      <c r="A30" s="4">
        <v>2009</v>
      </c>
      <c r="B30" s="4">
        <v>19407805</v>
      </c>
      <c r="C30" s="4" t="s">
        <v>113</v>
      </c>
      <c r="D30" s="4" t="s">
        <v>908</v>
      </c>
      <c r="E30" s="4" t="s">
        <v>157</v>
      </c>
      <c r="F30" s="4" t="s">
        <v>66</v>
      </c>
      <c r="G30" s="4" t="s">
        <v>66</v>
      </c>
      <c r="H30" s="4" t="s">
        <v>66</v>
      </c>
      <c r="I30" s="4">
        <v>1</v>
      </c>
      <c r="J30" s="4" t="s">
        <v>795</v>
      </c>
      <c r="K30" s="4" t="s">
        <v>86</v>
      </c>
      <c r="L30" s="4" t="s">
        <v>412</v>
      </c>
      <c r="M30" s="10" t="s">
        <v>902</v>
      </c>
      <c r="N30" s="4" t="s">
        <v>766</v>
      </c>
      <c r="O30" s="10" t="s">
        <v>652</v>
      </c>
      <c r="P30" s="10" t="s">
        <v>911</v>
      </c>
      <c r="Q30" s="10">
        <v>2</v>
      </c>
      <c r="R30" s="16">
        <f>AA30+AB30</f>
        <v>120</v>
      </c>
      <c r="S30" s="32">
        <v>42.9</v>
      </c>
      <c r="T30" s="32">
        <v>68</v>
      </c>
      <c r="U30" s="10" t="s">
        <v>640</v>
      </c>
      <c r="V30" s="10" t="s">
        <v>635</v>
      </c>
      <c r="W30" s="12">
        <v>122</v>
      </c>
      <c r="X30" s="12">
        <v>115</v>
      </c>
      <c r="Y30" s="12">
        <v>7</v>
      </c>
      <c r="Z30" s="12">
        <v>6</v>
      </c>
      <c r="AA30" s="15">
        <v>61</v>
      </c>
      <c r="AB30" s="15">
        <v>59</v>
      </c>
      <c r="AC30" s="12">
        <f t="shared" ref="AC30:AC42" si="13">W30-X30</f>
        <v>7</v>
      </c>
      <c r="AD30" s="12">
        <f t="shared" ref="AD30:AD42" si="14">SQRT(((AA30-1)*Y30^2+(AB30-1)*Z30^2)/(AA30+AB30-2))</f>
        <v>6.5276465507505401</v>
      </c>
      <c r="AE30" s="12">
        <f t="shared" ref="AE30:AE42" si="15">AC30/AD30</f>
        <v>1.0723619830787483</v>
      </c>
      <c r="AF30" s="12">
        <f t="shared" ref="AF30:AF42" si="16">SQRT(((AA30+AB30)/(AA30*AB30)+(AE30^2/(2*(AA30+AB30)))))</f>
        <v>0.19527953321702579</v>
      </c>
      <c r="AG30" s="12" t="s">
        <v>193</v>
      </c>
      <c r="AH30" s="12" t="s">
        <v>193</v>
      </c>
      <c r="AI30" s="12" t="s">
        <v>780</v>
      </c>
      <c r="AJ30" s="12" t="s">
        <v>348</v>
      </c>
      <c r="AL30" s="12" t="s">
        <v>841</v>
      </c>
      <c r="AM30" s="10" t="s">
        <v>706</v>
      </c>
      <c r="AN30" s="10" t="s">
        <v>193</v>
      </c>
    </row>
    <row r="31" spans="1:40" s="10" customFormat="1" x14ac:dyDescent="0.2">
      <c r="A31" s="4">
        <v>2009</v>
      </c>
      <c r="B31" s="4">
        <v>19407805</v>
      </c>
      <c r="C31" s="4" t="s">
        <v>113</v>
      </c>
      <c r="D31" s="4" t="s">
        <v>908</v>
      </c>
      <c r="E31" s="4" t="s">
        <v>157</v>
      </c>
      <c r="F31" s="4" t="s">
        <v>66</v>
      </c>
      <c r="G31" s="4" t="s">
        <v>66</v>
      </c>
      <c r="H31" s="4" t="s">
        <v>66</v>
      </c>
      <c r="I31" s="4">
        <v>1</v>
      </c>
      <c r="J31" s="4" t="s">
        <v>795</v>
      </c>
      <c r="K31" s="4" t="s">
        <v>86</v>
      </c>
      <c r="L31" s="4" t="s">
        <v>412</v>
      </c>
      <c r="M31" s="10" t="s">
        <v>902</v>
      </c>
      <c r="N31" s="4" t="s">
        <v>766</v>
      </c>
      <c r="O31" s="10" t="s">
        <v>652</v>
      </c>
      <c r="P31" s="10" t="s">
        <v>911</v>
      </c>
      <c r="Q31" s="10">
        <v>2</v>
      </c>
      <c r="R31" s="16">
        <f t="shared" ref="R31:R35" si="17">AA31+AB31</f>
        <v>120</v>
      </c>
      <c r="S31" s="32">
        <v>42.9</v>
      </c>
      <c r="T31" s="32">
        <v>68</v>
      </c>
      <c r="U31" s="10" t="s">
        <v>641</v>
      </c>
      <c r="V31" s="10" t="s">
        <v>635</v>
      </c>
      <c r="W31" s="12">
        <v>79</v>
      </c>
      <c r="X31" s="12">
        <v>74</v>
      </c>
      <c r="Y31" s="12">
        <v>4</v>
      </c>
      <c r="Z31" s="12">
        <v>7</v>
      </c>
      <c r="AA31" s="15">
        <v>61</v>
      </c>
      <c r="AB31" s="15">
        <v>59</v>
      </c>
      <c r="AC31" s="12">
        <f t="shared" si="13"/>
        <v>5</v>
      </c>
      <c r="AD31" s="12">
        <f t="shared" si="14"/>
        <v>5.6762962381337045</v>
      </c>
      <c r="AE31" s="12">
        <f t="shared" si="15"/>
        <v>0.88085607062043292</v>
      </c>
      <c r="AF31" s="12">
        <f t="shared" si="16"/>
        <v>0.19124733393377624</v>
      </c>
      <c r="AG31" s="12" t="s">
        <v>193</v>
      </c>
      <c r="AH31" s="12"/>
      <c r="AI31" s="12" t="s">
        <v>780</v>
      </c>
      <c r="AJ31" s="12" t="s">
        <v>348</v>
      </c>
      <c r="AK31" s="12" t="s">
        <v>1298</v>
      </c>
      <c r="AL31" s="12"/>
      <c r="AM31" s="10" t="s">
        <v>706</v>
      </c>
      <c r="AN31" s="10" t="s">
        <v>193</v>
      </c>
    </row>
    <row r="32" spans="1:40" s="10" customFormat="1" x14ac:dyDescent="0.2">
      <c r="A32" s="4">
        <v>2009</v>
      </c>
      <c r="B32" s="4">
        <v>19407805</v>
      </c>
      <c r="C32" s="4" t="s">
        <v>113</v>
      </c>
      <c r="D32" s="4" t="s">
        <v>908</v>
      </c>
      <c r="E32" s="4" t="s">
        <v>157</v>
      </c>
      <c r="F32" s="4" t="s">
        <v>66</v>
      </c>
      <c r="G32" s="4" t="s">
        <v>66</v>
      </c>
      <c r="H32" s="4" t="s">
        <v>66</v>
      </c>
      <c r="I32" s="4">
        <v>1</v>
      </c>
      <c r="J32" s="4" t="s">
        <v>795</v>
      </c>
      <c r="K32" s="4" t="s">
        <v>86</v>
      </c>
      <c r="L32" s="4" t="s">
        <v>412</v>
      </c>
      <c r="M32" s="10" t="s">
        <v>902</v>
      </c>
      <c r="N32" s="4" t="s">
        <v>766</v>
      </c>
      <c r="O32" s="10" t="s">
        <v>652</v>
      </c>
      <c r="P32" s="10" t="s">
        <v>911</v>
      </c>
      <c r="Q32" s="10">
        <v>2</v>
      </c>
      <c r="R32" s="16">
        <f t="shared" si="17"/>
        <v>120</v>
      </c>
      <c r="S32" s="32">
        <v>42.9</v>
      </c>
      <c r="T32" s="32">
        <v>68</v>
      </c>
      <c r="U32" s="10" t="s">
        <v>644</v>
      </c>
      <c r="V32" s="10" t="s">
        <v>635</v>
      </c>
      <c r="W32" s="12">
        <v>127</v>
      </c>
      <c r="X32" s="12">
        <v>120</v>
      </c>
      <c r="Y32" s="12">
        <v>7</v>
      </c>
      <c r="Z32" s="12">
        <v>7</v>
      </c>
      <c r="AA32" s="15">
        <v>61</v>
      </c>
      <c r="AB32" s="15">
        <v>59</v>
      </c>
      <c r="AC32" s="12">
        <f t="shared" si="13"/>
        <v>7</v>
      </c>
      <c r="AD32" s="12">
        <f t="shared" si="14"/>
        <v>7</v>
      </c>
      <c r="AE32" s="12">
        <f t="shared" si="15"/>
        <v>1</v>
      </c>
      <c r="AF32" s="12">
        <f t="shared" si="16"/>
        <v>0.19367307978134279</v>
      </c>
      <c r="AG32" s="12" t="s">
        <v>193</v>
      </c>
      <c r="AH32" s="12"/>
      <c r="AI32" s="12" t="s">
        <v>780</v>
      </c>
      <c r="AJ32" s="12" t="s">
        <v>348</v>
      </c>
      <c r="AK32" s="12" t="s">
        <v>1298</v>
      </c>
      <c r="AL32" s="12"/>
      <c r="AM32" s="10" t="s">
        <v>706</v>
      </c>
      <c r="AN32" s="10" t="s">
        <v>193</v>
      </c>
    </row>
    <row r="33" spans="1:40" s="10" customFormat="1" x14ac:dyDescent="0.2">
      <c r="A33" s="4">
        <v>2009</v>
      </c>
      <c r="B33" s="4">
        <v>19407805</v>
      </c>
      <c r="C33" s="4" t="s">
        <v>113</v>
      </c>
      <c r="D33" s="4" t="s">
        <v>908</v>
      </c>
      <c r="E33" s="4" t="s">
        <v>157</v>
      </c>
      <c r="F33" s="4" t="s">
        <v>66</v>
      </c>
      <c r="G33" s="4" t="s">
        <v>66</v>
      </c>
      <c r="H33" s="4" t="s">
        <v>66</v>
      </c>
      <c r="I33" s="4">
        <v>1</v>
      </c>
      <c r="J33" s="4" t="s">
        <v>795</v>
      </c>
      <c r="K33" s="4" t="s">
        <v>86</v>
      </c>
      <c r="L33" s="4" t="s">
        <v>412</v>
      </c>
      <c r="M33" s="10" t="s">
        <v>902</v>
      </c>
      <c r="N33" s="4" t="s">
        <v>766</v>
      </c>
      <c r="O33" s="10" t="s">
        <v>652</v>
      </c>
      <c r="P33" s="10" t="s">
        <v>911</v>
      </c>
      <c r="Q33" s="10">
        <v>2</v>
      </c>
      <c r="R33" s="16">
        <f t="shared" si="17"/>
        <v>120</v>
      </c>
      <c r="S33" s="32">
        <v>42.9</v>
      </c>
      <c r="T33" s="32">
        <v>68</v>
      </c>
      <c r="U33" s="10" t="s">
        <v>645</v>
      </c>
      <c r="V33" s="10" t="s">
        <v>635</v>
      </c>
      <c r="W33" s="12">
        <v>84</v>
      </c>
      <c r="X33" s="12">
        <v>78</v>
      </c>
      <c r="Y33" s="12">
        <v>5</v>
      </c>
      <c r="Z33" s="12">
        <v>7</v>
      </c>
      <c r="AA33" s="15">
        <v>61</v>
      </c>
      <c r="AB33" s="15">
        <v>59</v>
      </c>
      <c r="AC33" s="12">
        <f t="shared" si="13"/>
        <v>6</v>
      </c>
      <c r="AD33" s="12">
        <f t="shared" si="14"/>
        <v>6.0660209503010725</v>
      </c>
      <c r="AE33" s="12">
        <f t="shared" si="15"/>
        <v>0.98911626734526925</v>
      </c>
      <c r="AF33" s="12">
        <f t="shared" si="16"/>
        <v>0.1934400620993999</v>
      </c>
      <c r="AG33" s="12" t="s">
        <v>193</v>
      </c>
      <c r="AH33" s="12"/>
      <c r="AI33" s="12" t="s">
        <v>780</v>
      </c>
      <c r="AJ33" s="12" t="s">
        <v>348</v>
      </c>
      <c r="AK33" s="12" t="s">
        <v>1298</v>
      </c>
      <c r="AL33" s="12"/>
      <c r="AM33" s="10" t="s">
        <v>706</v>
      </c>
      <c r="AN33" s="10" t="s">
        <v>193</v>
      </c>
    </row>
    <row r="34" spans="1:40" s="10" customFormat="1" x14ac:dyDescent="0.2">
      <c r="A34" s="4">
        <v>2009</v>
      </c>
      <c r="B34" s="4">
        <v>19407805</v>
      </c>
      <c r="C34" s="4" t="s">
        <v>113</v>
      </c>
      <c r="D34" s="4" t="s">
        <v>908</v>
      </c>
      <c r="E34" s="4" t="s">
        <v>157</v>
      </c>
      <c r="F34" s="4" t="s">
        <v>66</v>
      </c>
      <c r="G34" s="4" t="s">
        <v>66</v>
      </c>
      <c r="H34" s="4" t="s">
        <v>66</v>
      </c>
      <c r="I34" s="4">
        <v>1</v>
      </c>
      <c r="J34" s="4" t="s">
        <v>795</v>
      </c>
      <c r="K34" s="4" t="s">
        <v>86</v>
      </c>
      <c r="L34" s="4" t="s">
        <v>412</v>
      </c>
      <c r="M34" s="10" t="s">
        <v>902</v>
      </c>
      <c r="N34" s="4" t="s">
        <v>766</v>
      </c>
      <c r="O34" s="10" t="s">
        <v>652</v>
      </c>
      <c r="P34" s="10" t="s">
        <v>911</v>
      </c>
      <c r="Q34" s="10">
        <v>2</v>
      </c>
      <c r="R34" s="16">
        <f t="shared" si="17"/>
        <v>120</v>
      </c>
      <c r="S34" s="32">
        <v>42.9</v>
      </c>
      <c r="T34" s="32">
        <v>68</v>
      </c>
      <c r="U34" s="10" t="s">
        <v>637</v>
      </c>
      <c r="V34" s="10" t="s">
        <v>635</v>
      </c>
      <c r="W34" s="12">
        <v>110</v>
      </c>
      <c r="X34" s="12">
        <v>105</v>
      </c>
      <c r="Y34" s="12">
        <v>8</v>
      </c>
      <c r="Z34" s="12">
        <v>7</v>
      </c>
      <c r="AA34" s="15">
        <v>61</v>
      </c>
      <c r="AB34" s="15">
        <v>59</v>
      </c>
      <c r="AC34" s="12">
        <f t="shared" si="13"/>
        <v>5</v>
      </c>
      <c r="AD34" s="12">
        <f t="shared" si="14"/>
        <v>7.5250992447985565</v>
      </c>
      <c r="AE34" s="12">
        <f t="shared" si="15"/>
        <v>0.66444306411720255</v>
      </c>
      <c r="AF34" s="12">
        <f t="shared" si="16"/>
        <v>0.18756895870953641</v>
      </c>
      <c r="AG34" s="12" t="s">
        <v>193</v>
      </c>
      <c r="AH34" s="12"/>
      <c r="AI34" s="12" t="s">
        <v>780</v>
      </c>
      <c r="AJ34" s="12" t="s">
        <v>348</v>
      </c>
      <c r="AK34" s="12" t="s">
        <v>1298</v>
      </c>
      <c r="AL34" s="12"/>
      <c r="AM34" s="10" t="s">
        <v>706</v>
      </c>
      <c r="AN34" s="10" t="s">
        <v>193</v>
      </c>
    </row>
    <row r="35" spans="1:40" s="10" customFormat="1" x14ac:dyDescent="0.2">
      <c r="A35" s="4">
        <v>2009</v>
      </c>
      <c r="B35" s="4">
        <v>19407805</v>
      </c>
      <c r="C35" s="4" t="s">
        <v>113</v>
      </c>
      <c r="D35" s="4" t="s">
        <v>908</v>
      </c>
      <c r="E35" s="4" t="s">
        <v>157</v>
      </c>
      <c r="F35" s="4" t="s">
        <v>66</v>
      </c>
      <c r="G35" s="4" t="s">
        <v>66</v>
      </c>
      <c r="H35" s="4" t="s">
        <v>66</v>
      </c>
      <c r="I35" s="4">
        <v>1</v>
      </c>
      <c r="J35" s="4" t="s">
        <v>795</v>
      </c>
      <c r="K35" s="4" t="s">
        <v>86</v>
      </c>
      <c r="L35" s="4" t="s">
        <v>412</v>
      </c>
      <c r="M35" s="10" t="s">
        <v>902</v>
      </c>
      <c r="N35" s="4" t="s">
        <v>766</v>
      </c>
      <c r="O35" s="10" t="s">
        <v>652</v>
      </c>
      <c r="P35" s="10" t="s">
        <v>911</v>
      </c>
      <c r="Q35" s="10">
        <v>2</v>
      </c>
      <c r="R35" s="16">
        <f t="shared" si="17"/>
        <v>120</v>
      </c>
      <c r="S35" s="32">
        <v>42.9</v>
      </c>
      <c r="T35" s="32">
        <v>68</v>
      </c>
      <c r="U35" s="10" t="s">
        <v>638</v>
      </c>
      <c r="V35" s="10" t="s">
        <v>635</v>
      </c>
      <c r="W35" s="12">
        <v>67</v>
      </c>
      <c r="X35" s="12">
        <v>64</v>
      </c>
      <c r="Y35" s="12">
        <v>5</v>
      </c>
      <c r="Z35" s="12">
        <v>7</v>
      </c>
      <c r="AA35" s="15">
        <v>61</v>
      </c>
      <c r="AB35" s="15">
        <v>59</v>
      </c>
      <c r="AC35" s="12">
        <f t="shared" si="13"/>
        <v>3</v>
      </c>
      <c r="AD35" s="12">
        <f t="shared" si="14"/>
        <v>6.0660209503010725</v>
      </c>
      <c r="AE35" s="12">
        <f t="shared" si="15"/>
        <v>0.49455813367263463</v>
      </c>
      <c r="AF35" s="12">
        <f t="shared" si="16"/>
        <v>0.18536912035246783</v>
      </c>
      <c r="AG35" s="12" t="s">
        <v>193</v>
      </c>
      <c r="AH35" s="12"/>
      <c r="AI35" s="12" t="s">
        <v>780</v>
      </c>
      <c r="AJ35" s="12" t="s">
        <v>348</v>
      </c>
      <c r="AK35" s="12" t="s">
        <v>1298</v>
      </c>
      <c r="AL35" s="12"/>
      <c r="AM35" s="10" t="s">
        <v>706</v>
      </c>
      <c r="AN35" s="10" t="s">
        <v>193</v>
      </c>
    </row>
    <row r="36" spans="1:40" s="10" customFormat="1" x14ac:dyDescent="0.2">
      <c r="A36" s="35">
        <v>2015</v>
      </c>
      <c r="B36" s="35">
        <v>25528311</v>
      </c>
      <c r="C36" s="35" t="s">
        <v>961</v>
      </c>
      <c r="D36" s="35"/>
      <c r="F36" s="35" t="s">
        <v>1283</v>
      </c>
      <c r="G36" s="35" t="s">
        <v>1283</v>
      </c>
      <c r="H36" s="35" t="s">
        <v>1283</v>
      </c>
      <c r="I36" s="35">
        <v>3</v>
      </c>
      <c r="J36" s="35" t="s">
        <v>969</v>
      </c>
      <c r="K36" s="35" t="s">
        <v>86</v>
      </c>
      <c r="L36" s="35" t="s">
        <v>156</v>
      </c>
      <c r="M36" s="35" t="s">
        <v>903</v>
      </c>
      <c r="N36" s="35" t="s">
        <v>766</v>
      </c>
      <c r="O36" s="35" t="s">
        <v>968</v>
      </c>
      <c r="P36" s="35" t="s">
        <v>911</v>
      </c>
      <c r="Q36" s="35">
        <v>2</v>
      </c>
      <c r="R36" s="35">
        <v>78</v>
      </c>
      <c r="S36" s="13">
        <v>67</v>
      </c>
      <c r="T36" s="13">
        <v>15</v>
      </c>
      <c r="U36" s="10" t="s">
        <v>971</v>
      </c>
      <c r="V36" s="10" t="s">
        <v>635</v>
      </c>
      <c r="W36" s="12">
        <v>4.3</v>
      </c>
      <c r="X36" s="12">
        <v>4</v>
      </c>
      <c r="Y36" s="12">
        <v>0.8</v>
      </c>
      <c r="Z36" s="12">
        <v>0.8</v>
      </c>
      <c r="AA36" s="15">
        <v>68</v>
      </c>
      <c r="AB36" s="15">
        <v>68</v>
      </c>
      <c r="AC36" s="12">
        <f t="shared" si="13"/>
        <v>0.29999999999999982</v>
      </c>
      <c r="AD36" s="12">
        <f t="shared" si="14"/>
        <v>0.8</v>
      </c>
      <c r="AE36" s="12">
        <f t="shared" si="15"/>
        <v>0.37499999999999978</v>
      </c>
      <c r="AF36" s="12">
        <f t="shared" si="16"/>
        <v>0.17299933058353995</v>
      </c>
      <c r="AG36" s="12" t="s">
        <v>193</v>
      </c>
      <c r="AH36" s="12"/>
      <c r="AI36" s="12" t="s">
        <v>785</v>
      </c>
      <c r="AJ36" s="12" t="s">
        <v>348</v>
      </c>
      <c r="AK36" s="12" t="s">
        <v>1298</v>
      </c>
      <c r="AL36" s="12"/>
      <c r="AM36" s="10" t="s">
        <v>967</v>
      </c>
      <c r="AN36" s="10" t="s">
        <v>157</v>
      </c>
    </row>
    <row r="37" spans="1:40" s="10" customFormat="1" x14ac:dyDescent="0.2">
      <c r="A37" s="35">
        <v>2015</v>
      </c>
      <c r="B37" s="35">
        <v>25528311</v>
      </c>
      <c r="C37" s="35" t="s">
        <v>961</v>
      </c>
      <c r="D37" s="35"/>
      <c r="F37" s="35" t="s">
        <v>1283</v>
      </c>
      <c r="G37" s="35" t="s">
        <v>1283</v>
      </c>
      <c r="H37" s="35" t="s">
        <v>1283</v>
      </c>
      <c r="I37" s="35">
        <v>3</v>
      </c>
      <c r="J37" s="35" t="s">
        <v>969</v>
      </c>
      <c r="K37" s="35" t="s">
        <v>86</v>
      </c>
      <c r="L37" s="35" t="s">
        <v>156</v>
      </c>
      <c r="M37" s="35" t="s">
        <v>903</v>
      </c>
      <c r="N37" s="35" t="s">
        <v>766</v>
      </c>
      <c r="O37" s="35" t="s">
        <v>968</v>
      </c>
      <c r="P37" s="35" t="s">
        <v>911</v>
      </c>
      <c r="Q37" s="35">
        <v>2</v>
      </c>
      <c r="R37" s="35">
        <v>78</v>
      </c>
      <c r="S37" s="13">
        <v>67</v>
      </c>
      <c r="T37" s="13">
        <v>15</v>
      </c>
      <c r="U37" s="10" t="s">
        <v>970</v>
      </c>
      <c r="V37" s="10" t="s">
        <v>635</v>
      </c>
      <c r="W37" s="12">
        <v>2.2999999999999998</v>
      </c>
      <c r="X37" s="12">
        <v>2.1</v>
      </c>
      <c r="Y37" s="12">
        <v>0.6</v>
      </c>
      <c r="Z37" s="12">
        <v>0.6</v>
      </c>
      <c r="AA37" s="15">
        <v>68</v>
      </c>
      <c r="AB37" s="15">
        <v>68</v>
      </c>
      <c r="AC37" s="12">
        <f t="shared" si="13"/>
        <v>0.19999999999999973</v>
      </c>
      <c r="AD37" s="12">
        <f t="shared" si="14"/>
        <v>0.6</v>
      </c>
      <c r="AE37" s="12">
        <f t="shared" si="15"/>
        <v>0.33333333333333293</v>
      </c>
      <c r="AF37" s="12">
        <f t="shared" si="16"/>
        <v>0.17268544072361311</v>
      </c>
      <c r="AG37" s="12" t="s">
        <v>193</v>
      </c>
      <c r="AH37" s="12" t="s">
        <v>193</v>
      </c>
      <c r="AI37" s="12" t="s">
        <v>785</v>
      </c>
      <c r="AJ37" s="12" t="s">
        <v>348</v>
      </c>
      <c r="AK37" s="12" t="s">
        <v>1299</v>
      </c>
      <c r="AL37" s="12"/>
      <c r="AM37" s="10" t="s">
        <v>967</v>
      </c>
      <c r="AN37" s="10" t="s">
        <v>157</v>
      </c>
    </row>
    <row r="38" spans="1:40" s="10" customFormat="1" x14ac:dyDescent="0.2">
      <c r="A38" s="35">
        <v>2015</v>
      </c>
      <c r="B38" s="35">
        <v>25528311</v>
      </c>
      <c r="C38" s="35" t="s">
        <v>961</v>
      </c>
      <c r="D38" s="35"/>
      <c r="F38" s="35" t="s">
        <v>1283</v>
      </c>
      <c r="G38" s="35" t="s">
        <v>1283</v>
      </c>
      <c r="H38" s="35" t="s">
        <v>1283</v>
      </c>
      <c r="I38" s="35">
        <v>3</v>
      </c>
      <c r="J38" s="35" t="s">
        <v>969</v>
      </c>
      <c r="K38" s="35" t="s">
        <v>86</v>
      </c>
      <c r="L38" s="35" t="s">
        <v>156</v>
      </c>
      <c r="M38" s="35" t="s">
        <v>903</v>
      </c>
      <c r="N38" s="35" t="s">
        <v>766</v>
      </c>
      <c r="O38" s="35" t="s">
        <v>968</v>
      </c>
      <c r="P38" s="35" t="s">
        <v>911</v>
      </c>
      <c r="Q38" s="35">
        <v>2</v>
      </c>
      <c r="R38" s="35">
        <v>78</v>
      </c>
      <c r="S38" s="13">
        <v>67</v>
      </c>
      <c r="T38" s="13">
        <v>15</v>
      </c>
      <c r="U38" s="10" t="s">
        <v>972</v>
      </c>
      <c r="V38" s="10" t="s">
        <v>642</v>
      </c>
      <c r="W38" s="12">
        <v>1.2</v>
      </c>
      <c r="X38" s="12">
        <v>1.2</v>
      </c>
      <c r="Y38" s="12">
        <v>0.3</v>
      </c>
      <c r="Z38" s="12">
        <v>0.3</v>
      </c>
      <c r="AA38" s="15">
        <v>68</v>
      </c>
      <c r="AB38" s="15">
        <v>68</v>
      </c>
      <c r="AC38" s="12">
        <f t="shared" si="13"/>
        <v>0</v>
      </c>
      <c r="AD38" s="12">
        <f t="shared" si="14"/>
        <v>0.3</v>
      </c>
      <c r="AE38" s="12">
        <f t="shared" si="15"/>
        <v>0</v>
      </c>
      <c r="AF38" s="12">
        <f t="shared" si="16"/>
        <v>0.17149858514250885</v>
      </c>
      <c r="AG38" s="12" t="s">
        <v>193</v>
      </c>
      <c r="AH38" s="12"/>
      <c r="AI38" s="12" t="s">
        <v>785</v>
      </c>
      <c r="AJ38" s="12" t="s">
        <v>348</v>
      </c>
      <c r="AK38" s="12" t="s">
        <v>1298</v>
      </c>
      <c r="AL38" s="12"/>
      <c r="AM38" s="10" t="s">
        <v>967</v>
      </c>
      <c r="AN38" s="10" t="s">
        <v>157</v>
      </c>
    </row>
    <row r="39" spans="1:40" s="10" customFormat="1" x14ac:dyDescent="0.2">
      <c r="A39" s="35">
        <v>2015</v>
      </c>
      <c r="B39" s="35">
        <v>25528311</v>
      </c>
      <c r="C39" s="35" t="s">
        <v>961</v>
      </c>
      <c r="D39" s="35"/>
      <c r="F39" s="35" t="s">
        <v>1283</v>
      </c>
      <c r="G39" s="35" t="s">
        <v>1283</v>
      </c>
      <c r="H39" s="35" t="s">
        <v>1283</v>
      </c>
      <c r="I39" s="35">
        <v>3</v>
      </c>
      <c r="J39" s="35" t="s">
        <v>969</v>
      </c>
      <c r="K39" s="35" t="s">
        <v>86</v>
      </c>
      <c r="L39" s="35" t="s">
        <v>156</v>
      </c>
      <c r="M39" s="35" t="s">
        <v>903</v>
      </c>
      <c r="N39" s="35" t="s">
        <v>766</v>
      </c>
      <c r="O39" s="35" t="s">
        <v>968</v>
      </c>
      <c r="P39" s="35" t="s">
        <v>911</v>
      </c>
      <c r="Q39" s="35">
        <v>2</v>
      </c>
      <c r="R39" s="35">
        <v>78</v>
      </c>
      <c r="S39" s="13">
        <v>67</v>
      </c>
      <c r="T39" s="13">
        <v>15</v>
      </c>
      <c r="U39" s="10" t="s">
        <v>640</v>
      </c>
      <c r="V39" s="10" t="s">
        <v>642</v>
      </c>
      <c r="W39" s="12">
        <v>122.7</v>
      </c>
      <c r="X39" s="12">
        <v>123.5</v>
      </c>
      <c r="Y39" s="12">
        <v>10.3</v>
      </c>
      <c r="Z39" s="12">
        <v>11.3</v>
      </c>
      <c r="AA39" s="15">
        <v>68</v>
      </c>
      <c r="AB39" s="15">
        <v>68</v>
      </c>
      <c r="AC39" s="12">
        <f t="shared" si="13"/>
        <v>-0.79999999999999716</v>
      </c>
      <c r="AD39" s="12">
        <f t="shared" si="14"/>
        <v>10.811567878897122</v>
      </c>
      <c r="AE39" s="12">
        <f t="shared" si="15"/>
        <v>-7.3994818231821927E-2</v>
      </c>
      <c r="AF39" s="12">
        <f t="shared" si="16"/>
        <v>0.17155726227540102</v>
      </c>
      <c r="AG39" s="12" t="s">
        <v>193</v>
      </c>
      <c r="AH39" s="12"/>
      <c r="AI39" s="12" t="s">
        <v>785</v>
      </c>
      <c r="AJ39" s="12" t="s">
        <v>328</v>
      </c>
      <c r="AK39" s="12" t="s">
        <v>1299</v>
      </c>
      <c r="AL39" s="12"/>
      <c r="AM39" s="10" t="s">
        <v>967</v>
      </c>
      <c r="AN39" s="10" t="s">
        <v>157</v>
      </c>
    </row>
    <row r="40" spans="1:40" s="10" customFormat="1" x14ac:dyDescent="0.2">
      <c r="A40" s="35">
        <v>2015</v>
      </c>
      <c r="B40" s="35">
        <v>25528311</v>
      </c>
      <c r="C40" s="35" t="s">
        <v>961</v>
      </c>
      <c r="D40" s="35"/>
      <c r="F40" s="35" t="s">
        <v>1283</v>
      </c>
      <c r="G40" s="35" t="s">
        <v>1283</v>
      </c>
      <c r="H40" s="35" t="s">
        <v>1283</v>
      </c>
      <c r="I40" s="35">
        <v>3</v>
      </c>
      <c r="J40" s="35" t="s">
        <v>969</v>
      </c>
      <c r="K40" s="35" t="s">
        <v>86</v>
      </c>
      <c r="L40" s="35" t="s">
        <v>156</v>
      </c>
      <c r="M40" s="35" t="s">
        <v>903</v>
      </c>
      <c r="N40" s="35" t="s">
        <v>766</v>
      </c>
      <c r="O40" s="35" t="s">
        <v>968</v>
      </c>
      <c r="P40" s="35" t="s">
        <v>911</v>
      </c>
      <c r="Q40" s="35">
        <v>2</v>
      </c>
      <c r="R40" s="35">
        <v>78</v>
      </c>
      <c r="S40" s="13">
        <v>67</v>
      </c>
      <c r="T40" s="13">
        <v>15</v>
      </c>
      <c r="U40" s="10" t="s">
        <v>644</v>
      </c>
      <c r="V40" s="10" t="s">
        <v>642</v>
      </c>
      <c r="W40" s="12">
        <v>126.9</v>
      </c>
      <c r="X40" s="12">
        <v>128.80000000000001</v>
      </c>
      <c r="Y40" s="12">
        <v>11</v>
      </c>
      <c r="Z40" s="12">
        <v>12.4</v>
      </c>
      <c r="AA40" s="15">
        <v>68</v>
      </c>
      <c r="AB40" s="15">
        <v>68</v>
      </c>
      <c r="AC40" s="12">
        <f t="shared" si="13"/>
        <v>-1.9000000000000057</v>
      </c>
      <c r="AD40" s="12">
        <f t="shared" si="14"/>
        <v>11.720921465482141</v>
      </c>
      <c r="AE40" s="12">
        <f t="shared" si="15"/>
        <v>-0.1621032958539535</v>
      </c>
      <c r="AF40" s="12">
        <f t="shared" si="16"/>
        <v>0.17178001363027889</v>
      </c>
      <c r="AG40" s="12" t="s">
        <v>193</v>
      </c>
      <c r="AH40" s="12"/>
      <c r="AI40" s="12" t="s">
        <v>785</v>
      </c>
      <c r="AJ40" s="12" t="s">
        <v>328</v>
      </c>
      <c r="AK40" s="12" t="s">
        <v>1298</v>
      </c>
      <c r="AL40" s="12"/>
      <c r="AM40" s="10" t="s">
        <v>967</v>
      </c>
      <c r="AN40" s="10" t="s">
        <v>157</v>
      </c>
    </row>
    <row r="41" spans="1:40" s="10" customFormat="1" x14ac:dyDescent="0.2">
      <c r="A41" s="35">
        <v>2015</v>
      </c>
      <c r="B41" s="35">
        <v>25528311</v>
      </c>
      <c r="C41" s="35" t="s">
        <v>961</v>
      </c>
      <c r="D41" s="35"/>
      <c r="F41" s="35" t="s">
        <v>1283</v>
      </c>
      <c r="G41" s="35" t="s">
        <v>1283</v>
      </c>
      <c r="H41" s="35" t="s">
        <v>1283</v>
      </c>
      <c r="I41" s="35">
        <v>3</v>
      </c>
      <c r="J41" s="35" t="s">
        <v>969</v>
      </c>
      <c r="K41" s="35" t="s">
        <v>86</v>
      </c>
      <c r="L41" s="35" t="s">
        <v>156</v>
      </c>
      <c r="M41" s="35" t="s">
        <v>903</v>
      </c>
      <c r="N41" s="35" t="s">
        <v>766</v>
      </c>
      <c r="O41" s="35" t="s">
        <v>968</v>
      </c>
      <c r="P41" s="35" t="s">
        <v>911</v>
      </c>
      <c r="Q41" s="35">
        <v>2</v>
      </c>
      <c r="R41" s="35">
        <v>78</v>
      </c>
      <c r="S41" s="13">
        <v>67</v>
      </c>
      <c r="T41" s="13">
        <v>15</v>
      </c>
      <c r="U41" s="10" t="s">
        <v>637</v>
      </c>
      <c r="V41" s="10" t="s">
        <v>642</v>
      </c>
      <c r="W41" s="12">
        <v>114.1</v>
      </c>
      <c r="X41" s="12">
        <v>112.6</v>
      </c>
      <c r="Y41" s="12">
        <v>11.6</v>
      </c>
      <c r="Z41" s="12">
        <v>12.6</v>
      </c>
      <c r="AA41" s="15">
        <v>68</v>
      </c>
      <c r="AB41" s="15">
        <v>68</v>
      </c>
      <c r="AC41" s="12">
        <f t="shared" si="13"/>
        <v>1.5</v>
      </c>
      <c r="AD41" s="12">
        <f t="shared" si="14"/>
        <v>12.110326172320876</v>
      </c>
      <c r="AE41" s="12">
        <f t="shared" si="15"/>
        <v>0.12386123863685608</v>
      </c>
      <c r="AF41" s="12">
        <f t="shared" si="16"/>
        <v>0.1716629478679747</v>
      </c>
      <c r="AG41" s="12" t="s">
        <v>193</v>
      </c>
      <c r="AH41" s="12"/>
      <c r="AI41" s="12" t="s">
        <v>785</v>
      </c>
      <c r="AJ41" s="12" t="s">
        <v>348</v>
      </c>
      <c r="AK41" s="12" t="s">
        <v>1298</v>
      </c>
      <c r="AL41" s="12"/>
      <c r="AM41" s="10" t="s">
        <v>967</v>
      </c>
      <c r="AN41" s="10" t="s">
        <v>157</v>
      </c>
    </row>
    <row r="42" spans="1:40" s="10" customFormat="1" x14ac:dyDescent="0.2">
      <c r="A42" s="35">
        <v>2015</v>
      </c>
      <c r="B42" s="35">
        <v>25528311</v>
      </c>
      <c r="C42" s="35" t="s">
        <v>961</v>
      </c>
      <c r="D42" s="35"/>
      <c r="F42" s="35" t="s">
        <v>1283</v>
      </c>
      <c r="G42" s="35" t="s">
        <v>1283</v>
      </c>
      <c r="H42" s="35" t="s">
        <v>1283</v>
      </c>
      <c r="I42" s="35">
        <v>3</v>
      </c>
      <c r="J42" s="35" t="s">
        <v>969</v>
      </c>
      <c r="K42" s="35" t="s">
        <v>86</v>
      </c>
      <c r="L42" s="35" t="s">
        <v>156</v>
      </c>
      <c r="M42" s="35" t="s">
        <v>903</v>
      </c>
      <c r="N42" s="35" t="s">
        <v>766</v>
      </c>
      <c r="O42" s="35" t="s">
        <v>968</v>
      </c>
      <c r="P42" s="35" t="s">
        <v>911</v>
      </c>
      <c r="Q42" s="35">
        <v>2</v>
      </c>
      <c r="R42" s="35">
        <v>78</v>
      </c>
      <c r="S42" s="13">
        <v>67</v>
      </c>
      <c r="T42" s="13">
        <v>15</v>
      </c>
      <c r="U42" s="10" t="s">
        <v>457</v>
      </c>
      <c r="V42" s="10" t="s">
        <v>642</v>
      </c>
      <c r="W42" s="12">
        <v>432</v>
      </c>
      <c r="X42" s="12">
        <v>428</v>
      </c>
      <c r="Y42" s="12">
        <v>58</v>
      </c>
      <c r="Z42" s="12">
        <v>48</v>
      </c>
      <c r="AA42" s="15">
        <v>68</v>
      </c>
      <c r="AB42" s="15">
        <v>68</v>
      </c>
      <c r="AC42" s="12">
        <f t="shared" si="13"/>
        <v>4</v>
      </c>
      <c r="AD42" s="12">
        <f t="shared" si="14"/>
        <v>53.235326616824658</v>
      </c>
      <c r="AE42" s="12">
        <f t="shared" si="15"/>
        <v>7.5138075676534452E-2</v>
      </c>
      <c r="AF42" s="12">
        <f t="shared" si="16"/>
        <v>0.17155908914338305</v>
      </c>
      <c r="AG42" s="12" t="s">
        <v>193</v>
      </c>
      <c r="AH42" s="12"/>
      <c r="AI42" s="12" t="s">
        <v>781</v>
      </c>
      <c r="AJ42" s="12" t="s">
        <v>348</v>
      </c>
      <c r="AK42" s="12" t="s">
        <v>1298</v>
      </c>
      <c r="AL42" s="12"/>
      <c r="AM42" s="10" t="s">
        <v>967</v>
      </c>
      <c r="AN42" s="10" t="s">
        <v>157</v>
      </c>
    </row>
    <row r="43" spans="1:40" s="10" customFormat="1" x14ac:dyDescent="0.2">
      <c r="A43" s="4">
        <v>2005</v>
      </c>
      <c r="B43" s="10">
        <v>16087788</v>
      </c>
      <c r="C43" s="4" t="s">
        <v>113</v>
      </c>
      <c r="D43" s="4" t="s">
        <v>908</v>
      </c>
      <c r="E43" s="4" t="s">
        <v>157</v>
      </c>
      <c r="F43" s="4" t="s">
        <v>66</v>
      </c>
      <c r="G43" s="4" t="s">
        <v>66</v>
      </c>
      <c r="H43" s="4" t="s">
        <v>66</v>
      </c>
      <c r="I43" s="4">
        <v>1</v>
      </c>
      <c r="J43" s="4" t="s">
        <v>912</v>
      </c>
      <c r="K43" s="4" t="s">
        <v>86</v>
      </c>
      <c r="L43" s="4" t="s">
        <v>412</v>
      </c>
      <c r="M43" s="10" t="s">
        <v>902</v>
      </c>
      <c r="N43" s="10" t="s">
        <v>766</v>
      </c>
      <c r="P43" s="10" t="s">
        <v>911</v>
      </c>
      <c r="Q43" s="10">
        <v>2</v>
      </c>
      <c r="R43" s="10">
        <v>257</v>
      </c>
      <c r="S43" s="10">
        <v>44.6</v>
      </c>
      <c r="T43" s="13">
        <v>62</v>
      </c>
      <c r="U43" s="4" t="s">
        <v>637</v>
      </c>
      <c r="V43" s="4" t="s">
        <v>635</v>
      </c>
      <c r="W43" s="7">
        <v>115</v>
      </c>
      <c r="X43" s="7">
        <v>107.4</v>
      </c>
      <c r="Y43" s="7">
        <v>9.6</v>
      </c>
      <c r="Z43" s="7">
        <v>7.6</v>
      </c>
      <c r="AA43" s="16">
        <v>126</v>
      </c>
      <c r="AB43" s="16">
        <v>131</v>
      </c>
      <c r="AC43" s="7">
        <f t="shared" ref="AC43:AC48" si="18">W43-X43</f>
        <v>7.5999999999999943</v>
      </c>
      <c r="AD43" s="7">
        <f t="shared" ref="AD43:AD48" si="19">SQRT(((AA43-1)*Y43^2+(AB43-1)*Z43^2)/(AA43+AB43-2))</f>
        <v>8.6384457570814916</v>
      </c>
      <c r="AE43" s="7">
        <f t="shared" ref="AE43:AE48" si="20">AC43/AD43</f>
        <v>0.8797878939935212</v>
      </c>
      <c r="AF43" s="7">
        <f t="shared" ref="AF43:AF48" si="21">SQRT(((AA43+AB43)/(AA43*AB43)+(AE43^2/(2*(AA43+AB43)))))</f>
        <v>0.1306751097910791</v>
      </c>
      <c r="AG43" s="7" t="s">
        <v>193</v>
      </c>
      <c r="AH43" s="4"/>
      <c r="AI43" s="12" t="s">
        <v>780</v>
      </c>
      <c r="AJ43" s="4" t="s">
        <v>348</v>
      </c>
      <c r="AK43" s="4"/>
      <c r="AL43" s="4"/>
      <c r="AM43" s="4" t="s">
        <v>722</v>
      </c>
      <c r="AN43" s="10" t="s">
        <v>193</v>
      </c>
    </row>
    <row r="44" spans="1:40" s="10" customFormat="1" x14ac:dyDescent="0.2">
      <c r="A44" s="4">
        <v>2005</v>
      </c>
      <c r="B44" s="10">
        <v>16087788</v>
      </c>
      <c r="C44" s="4" t="s">
        <v>113</v>
      </c>
      <c r="D44" s="4" t="s">
        <v>908</v>
      </c>
      <c r="E44" s="4" t="s">
        <v>157</v>
      </c>
      <c r="F44" s="4" t="s">
        <v>66</v>
      </c>
      <c r="G44" s="4" t="s">
        <v>66</v>
      </c>
      <c r="H44" s="4" t="s">
        <v>66</v>
      </c>
      <c r="I44" s="4">
        <v>1</v>
      </c>
      <c r="J44" s="4" t="s">
        <v>912</v>
      </c>
      <c r="K44" s="4" t="s">
        <v>86</v>
      </c>
      <c r="L44" s="4" t="s">
        <v>412</v>
      </c>
      <c r="M44" s="10" t="s">
        <v>902</v>
      </c>
      <c r="N44" s="10" t="s">
        <v>766</v>
      </c>
      <c r="P44" s="10" t="s">
        <v>911</v>
      </c>
      <c r="Q44" s="10">
        <v>2</v>
      </c>
      <c r="R44" s="10">
        <v>257</v>
      </c>
      <c r="S44" s="10">
        <v>44.6</v>
      </c>
      <c r="T44" s="13">
        <v>62</v>
      </c>
      <c r="U44" s="4" t="s">
        <v>638</v>
      </c>
      <c r="V44" s="4" t="s">
        <v>635</v>
      </c>
      <c r="W44" s="7">
        <v>68.2</v>
      </c>
      <c r="X44" s="7">
        <v>63.4</v>
      </c>
      <c r="Y44" s="7">
        <v>5.6</v>
      </c>
      <c r="Z44" s="7">
        <v>7</v>
      </c>
      <c r="AA44" s="16">
        <v>126</v>
      </c>
      <c r="AB44" s="16">
        <v>131</v>
      </c>
      <c r="AC44" s="7">
        <f t="shared" si="18"/>
        <v>4.8000000000000043</v>
      </c>
      <c r="AD44" s="7">
        <f t="shared" si="19"/>
        <v>6.3523964908112109</v>
      </c>
      <c r="AE44" s="7">
        <f t="shared" si="20"/>
        <v>0.75562034059795236</v>
      </c>
      <c r="AF44" s="7">
        <f t="shared" si="21"/>
        <v>0.12915462410340381</v>
      </c>
      <c r="AG44" s="7" t="s">
        <v>193</v>
      </c>
      <c r="AH44" s="12"/>
      <c r="AI44" s="12" t="s">
        <v>780</v>
      </c>
      <c r="AJ44" s="12" t="s">
        <v>348</v>
      </c>
      <c r="AK44" s="12"/>
      <c r="AL44" s="12"/>
      <c r="AM44" s="4" t="s">
        <v>722</v>
      </c>
      <c r="AN44" s="10" t="s">
        <v>193</v>
      </c>
    </row>
    <row r="45" spans="1:40" s="10" customFormat="1" x14ac:dyDescent="0.2">
      <c r="A45" s="4">
        <v>2005</v>
      </c>
      <c r="B45" s="10">
        <v>16087788</v>
      </c>
      <c r="C45" s="4" t="s">
        <v>113</v>
      </c>
      <c r="D45" s="4" t="s">
        <v>908</v>
      </c>
      <c r="E45" s="4" t="s">
        <v>157</v>
      </c>
      <c r="F45" s="4" t="s">
        <v>66</v>
      </c>
      <c r="G45" s="4" t="s">
        <v>66</v>
      </c>
      <c r="H45" s="4" t="s">
        <v>66</v>
      </c>
      <c r="I45" s="4">
        <v>1</v>
      </c>
      <c r="J45" s="4" t="s">
        <v>912</v>
      </c>
      <c r="K45" s="4" t="s">
        <v>86</v>
      </c>
      <c r="L45" s="4" t="s">
        <v>412</v>
      </c>
      <c r="M45" s="10" t="s">
        <v>902</v>
      </c>
      <c r="N45" s="10" t="s">
        <v>766</v>
      </c>
      <c r="P45" s="10" t="s">
        <v>911</v>
      </c>
      <c r="Q45" s="10">
        <v>2</v>
      </c>
      <c r="R45" s="10">
        <v>257</v>
      </c>
      <c r="S45" s="10">
        <v>44.6</v>
      </c>
      <c r="T45" s="13">
        <v>62</v>
      </c>
      <c r="U45" s="4" t="s">
        <v>644</v>
      </c>
      <c r="V45" s="4" t="s">
        <v>635</v>
      </c>
      <c r="W45" s="7">
        <v>130.5</v>
      </c>
      <c r="X45" s="7">
        <v>123</v>
      </c>
      <c r="Y45" s="7">
        <v>8.6999999999999993</v>
      </c>
      <c r="Z45" s="7">
        <v>7.6</v>
      </c>
      <c r="AA45" s="16">
        <v>126</v>
      </c>
      <c r="AB45" s="16">
        <v>131</v>
      </c>
      <c r="AC45" s="7">
        <f t="shared" si="18"/>
        <v>7.5</v>
      </c>
      <c r="AD45" s="7">
        <f t="shared" si="19"/>
        <v>8.1577702643721537</v>
      </c>
      <c r="AE45" s="7">
        <f t="shared" si="20"/>
        <v>0.91936886636231141</v>
      </c>
      <c r="AF45" s="7">
        <f t="shared" si="21"/>
        <v>0.1312041531113069</v>
      </c>
      <c r="AG45" s="7" t="s">
        <v>193</v>
      </c>
      <c r="AH45" s="12" t="s">
        <v>193</v>
      </c>
      <c r="AI45" s="12" t="s">
        <v>780</v>
      </c>
      <c r="AJ45" s="12" t="s">
        <v>348</v>
      </c>
      <c r="AK45" s="12"/>
      <c r="AL45" s="12"/>
      <c r="AM45" s="4" t="s">
        <v>722</v>
      </c>
      <c r="AN45" s="10" t="s">
        <v>193</v>
      </c>
    </row>
    <row r="46" spans="1:40" s="10" customFormat="1" x14ac:dyDescent="0.2">
      <c r="A46" s="4">
        <v>2005</v>
      </c>
      <c r="B46" s="10">
        <v>16087788</v>
      </c>
      <c r="C46" s="4" t="s">
        <v>113</v>
      </c>
      <c r="D46" s="4" t="s">
        <v>908</v>
      </c>
      <c r="E46" s="4" t="s">
        <v>157</v>
      </c>
      <c r="F46" s="4" t="s">
        <v>66</v>
      </c>
      <c r="G46" s="4" t="s">
        <v>66</v>
      </c>
      <c r="H46" s="4" t="s">
        <v>66</v>
      </c>
      <c r="I46" s="4">
        <v>1</v>
      </c>
      <c r="J46" s="4" t="s">
        <v>912</v>
      </c>
      <c r="K46" s="4" t="s">
        <v>86</v>
      </c>
      <c r="L46" s="4" t="s">
        <v>412</v>
      </c>
      <c r="M46" s="10" t="s">
        <v>902</v>
      </c>
      <c r="N46" s="10" t="s">
        <v>766</v>
      </c>
      <c r="P46" s="10" t="s">
        <v>911</v>
      </c>
      <c r="Q46" s="10">
        <v>2</v>
      </c>
      <c r="R46" s="10">
        <v>257</v>
      </c>
      <c r="S46" s="10">
        <v>44.6</v>
      </c>
      <c r="T46" s="13">
        <v>62</v>
      </c>
      <c r="U46" s="4" t="s">
        <v>645</v>
      </c>
      <c r="V46" s="4" t="s">
        <v>635</v>
      </c>
      <c r="W46" s="7">
        <v>82.3</v>
      </c>
      <c r="X46" s="7">
        <v>77.599999999999994</v>
      </c>
      <c r="Y46" s="7">
        <v>6.3</v>
      </c>
      <c r="Z46" s="7">
        <v>8.1999999999999993</v>
      </c>
      <c r="AA46" s="16">
        <v>126</v>
      </c>
      <c r="AB46" s="16">
        <v>131</v>
      </c>
      <c r="AC46" s="7">
        <f t="shared" si="18"/>
        <v>4.7000000000000028</v>
      </c>
      <c r="AD46" s="7">
        <f t="shared" si="19"/>
        <v>7.3304227735660428</v>
      </c>
      <c r="AE46" s="7">
        <f t="shared" si="20"/>
        <v>0.64116356521052142</v>
      </c>
      <c r="AF46" s="7">
        <f t="shared" si="21"/>
        <v>0.12794484401731354</v>
      </c>
      <c r="AG46" s="7" t="s">
        <v>193</v>
      </c>
      <c r="AH46" s="12"/>
      <c r="AI46" s="12" t="s">
        <v>780</v>
      </c>
      <c r="AJ46" s="12" t="s">
        <v>348</v>
      </c>
      <c r="AK46" s="12"/>
      <c r="AL46" s="12"/>
      <c r="AM46" s="4" t="s">
        <v>722</v>
      </c>
      <c r="AN46" s="10" t="s">
        <v>193</v>
      </c>
    </row>
    <row r="47" spans="1:40" s="10" customFormat="1" x14ac:dyDescent="0.2">
      <c r="A47" s="4">
        <v>2005</v>
      </c>
      <c r="B47" s="10">
        <v>16087788</v>
      </c>
      <c r="C47" s="4" t="s">
        <v>113</v>
      </c>
      <c r="D47" s="4" t="s">
        <v>908</v>
      </c>
      <c r="E47" s="4" t="s">
        <v>157</v>
      </c>
      <c r="F47" s="4" t="s">
        <v>66</v>
      </c>
      <c r="G47" s="4" t="s">
        <v>66</v>
      </c>
      <c r="H47" s="4" t="s">
        <v>66</v>
      </c>
      <c r="I47" s="4">
        <v>1</v>
      </c>
      <c r="J47" s="4" t="s">
        <v>912</v>
      </c>
      <c r="K47" s="4" t="s">
        <v>86</v>
      </c>
      <c r="L47" s="4" t="s">
        <v>412</v>
      </c>
      <c r="M47" s="10" t="s">
        <v>902</v>
      </c>
      <c r="N47" s="10" t="s">
        <v>766</v>
      </c>
      <c r="P47" s="10" t="s">
        <v>911</v>
      </c>
      <c r="Q47" s="10">
        <v>2</v>
      </c>
      <c r="R47" s="10">
        <v>257</v>
      </c>
      <c r="S47" s="10">
        <v>44.6</v>
      </c>
      <c r="T47" s="13">
        <v>62</v>
      </c>
      <c r="U47" s="4" t="s">
        <v>640</v>
      </c>
      <c r="V47" s="4" t="s">
        <v>635</v>
      </c>
      <c r="W47" s="7">
        <v>125.7</v>
      </c>
      <c r="X47" s="7">
        <v>118.1</v>
      </c>
      <c r="Y47" s="7">
        <v>8.4</v>
      </c>
      <c r="Z47" s="7">
        <v>7</v>
      </c>
      <c r="AA47" s="16">
        <v>126</v>
      </c>
      <c r="AB47" s="16">
        <v>131</v>
      </c>
      <c r="AC47" s="7">
        <f t="shared" si="18"/>
        <v>7.6000000000000085</v>
      </c>
      <c r="AD47" s="7">
        <f t="shared" si="19"/>
        <v>7.7180714852209285</v>
      </c>
      <c r="AE47" s="7">
        <f t="shared" si="20"/>
        <v>0.98470194459237503</v>
      </c>
      <c r="AF47" s="7">
        <f t="shared" si="21"/>
        <v>0.13212324102681167</v>
      </c>
      <c r="AG47" s="7" t="s">
        <v>193</v>
      </c>
      <c r="AH47" s="12"/>
      <c r="AI47" s="12" t="s">
        <v>780</v>
      </c>
      <c r="AJ47" s="12" t="s">
        <v>348</v>
      </c>
      <c r="AK47" s="12"/>
      <c r="AL47" s="12"/>
      <c r="AM47" s="4" t="s">
        <v>722</v>
      </c>
      <c r="AN47" s="10" t="s">
        <v>193</v>
      </c>
    </row>
    <row r="48" spans="1:40" s="10" customFormat="1" x14ac:dyDescent="0.2">
      <c r="A48" s="4">
        <v>2005</v>
      </c>
      <c r="B48" s="10">
        <v>16087788</v>
      </c>
      <c r="C48" s="4" t="s">
        <v>113</v>
      </c>
      <c r="D48" s="4" t="s">
        <v>908</v>
      </c>
      <c r="E48" s="4" t="s">
        <v>157</v>
      </c>
      <c r="F48" s="4" t="s">
        <v>66</v>
      </c>
      <c r="G48" s="4" t="s">
        <v>66</v>
      </c>
      <c r="H48" s="4" t="s">
        <v>66</v>
      </c>
      <c r="I48" s="4">
        <v>1</v>
      </c>
      <c r="J48" s="4" t="s">
        <v>912</v>
      </c>
      <c r="K48" s="4" t="s">
        <v>86</v>
      </c>
      <c r="L48" s="4" t="s">
        <v>412</v>
      </c>
      <c r="M48" s="10" t="s">
        <v>902</v>
      </c>
      <c r="N48" s="10" t="s">
        <v>766</v>
      </c>
      <c r="P48" s="10" t="s">
        <v>911</v>
      </c>
      <c r="Q48" s="10">
        <v>2</v>
      </c>
      <c r="R48" s="10">
        <v>257</v>
      </c>
      <c r="S48" s="10">
        <v>44.6</v>
      </c>
      <c r="T48" s="13">
        <v>62</v>
      </c>
      <c r="U48" s="4" t="s">
        <v>641</v>
      </c>
      <c r="V48" s="4" t="s">
        <v>635</v>
      </c>
      <c r="W48" s="7">
        <v>78.599999999999994</v>
      </c>
      <c r="X48" s="7">
        <v>73.099999999999994</v>
      </c>
      <c r="Y48" s="7">
        <v>5.5</v>
      </c>
      <c r="Z48" s="7">
        <v>7.4</v>
      </c>
      <c r="AA48" s="16">
        <v>126</v>
      </c>
      <c r="AB48" s="16">
        <v>131</v>
      </c>
      <c r="AC48" s="7">
        <f t="shared" si="18"/>
        <v>5.5</v>
      </c>
      <c r="AD48" s="7">
        <f t="shared" si="19"/>
        <v>6.537988537589146</v>
      </c>
      <c r="AE48" s="7">
        <f t="shared" si="20"/>
        <v>0.8412373267983887</v>
      </c>
      <c r="AF48" s="7">
        <f t="shared" si="21"/>
        <v>0.13018028087315225</v>
      </c>
      <c r="AG48" s="7" t="s">
        <v>193</v>
      </c>
      <c r="AH48" s="12"/>
      <c r="AI48" s="12" t="s">
        <v>780</v>
      </c>
      <c r="AJ48" s="12" t="s">
        <v>348</v>
      </c>
      <c r="AK48" s="12"/>
      <c r="AL48" s="12"/>
      <c r="AM48" s="4" t="s">
        <v>722</v>
      </c>
      <c r="AN48" s="10" t="s">
        <v>193</v>
      </c>
    </row>
    <row r="49" spans="1:40" s="10" customFormat="1" x14ac:dyDescent="0.2">
      <c r="A49" s="4">
        <v>2012</v>
      </c>
      <c r="B49" s="6">
        <v>21810842</v>
      </c>
      <c r="C49" s="4" t="s">
        <v>113</v>
      </c>
      <c r="D49" s="4"/>
      <c r="E49" s="10" t="s">
        <v>157</v>
      </c>
      <c r="F49" s="4" t="s">
        <v>66</v>
      </c>
      <c r="G49" s="4" t="s">
        <v>66</v>
      </c>
      <c r="H49" s="4" t="s">
        <v>66</v>
      </c>
      <c r="I49" s="4">
        <v>1</v>
      </c>
      <c r="J49" s="4" t="s">
        <v>1034</v>
      </c>
      <c r="K49" s="4" t="s">
        <v>86</v>
      </c>
      <c r="L49" s="4" t="s">
        <v>156</v>
      </c>
      <c r="M49" s="4" t="s">
        <v>903</v>
      </c>
      <c r="N49" s="4" t="s">
        <v>766</v>
      </c>
      <c r="O49" s="4"/>
      <c r="P49" s="4" t="s">
        <v>911</v>
      </c>
      <c r="Q49" s="4">
        <v>2</v>
      </c>
      <c r="R49" s="4">
        <v>75</v>
      </c>
      <c r="S49" s="10">
        <v>65</v>
      </c>
      <c r="T49" s="13">
        <v>7</v>
      </c>
      <c r="U49" s="10" t="s">
        <v>640</v>
      </c>
      <c r="V49" s="10" t="s">
        <v>642</v>
      </c>
      <c r="W49" s="12">
        <v>128.30000000000001</v>
      </c>
      <c r="X49" s="12">
        <v>128.30000000000001</v>
      </c>
      <c r="Y49" s="12">
        <f>1.4*SQRT(AA49)</f>
        <v>12.124355652982141</v>
      </c>
      <c r="Z49" s="12">
        <f>1.4*SQRT(AB49)</f>
        <v>12.124355652982141</v>
      </c>
      <c r="AA49" s="15">
        <v>75</v>
      </c>
      <c r="AB49" s="15">
        <v>75</v>
      </c>
      <c r="AC49" s="12">
        <f t="shared" ref="AC49:AC62" si="22">W49-X49</f>
        <v>0</v>
      </c>
      <c r="AD49" s="12">
        <f t="shared" ref="AD49:AD60" si="23">SQRT(((AA49-1)*Y49^2+(AB49-1)*Z49^2)/(AA49+AB49-2))</f>
        <v>12.124355652982141</v>
      </c>
      <c r="AE49" s="12">
        <f t="shared" ref="AE49:AE60" si="24">AC49/AD49</f>
        <v>0</v>
      </c>
      <c r="AF49" s="12">
        <f t="shared" ref="AF49:AF60" si="25">SQRT(((AA49+AB49)/(AA49*AB49)+(AE49^2/(2*(AA49+AB49)))))</f>
        <v>0.16329931618554522</v>
      </c>
      <c r="AG49" s="12" t="s">
        <v>193</v>
      </c>
      <c r="AH49" s="12" t="s">
        <v>193</v>
      </c>
      <c r="AI49" s="12" t="s">
        <v>780</v>
      </c>
      <c r="AJ49" s="12" t="s">
        <v>642</v>
      </c>
      <c r="AK49" s="12" t="s">
        <v>1039</v>
      </c>
      <c r="AL49" s="12"/>
      <c r="AM49" s="10" t="s">
        <v>1038</v>
      </c>
      <c r="AN49" s="10" t="s">
        <v>157</v>
      </c>
    </row>
    <row r="50" spans="1:40" s="10" customFormat="1" x14ac:dyDescent="0.2">
      <c r="A50" s="4">
        <v>2012</v>
      </c>
      <c r="B50" s="6">
        <v>21810842</v>
      </c>
      <c r="C50" s="4" t="s">
        <v>113</v>
      </c>
      <c r="D50" s="4"/>
      <c r="E50" s="10" t="s">
        <v>157</v>
      </c>
      <c r="F50" s="4" t="s">
        <v>66</v>
      </c>
      <c r="G50" s="4" t="s">
        <v>66</v>
      </c>
      <c r="H50" s="4" t="s">
        <v>66</v>
      </c>
      <c r="I50" s="4">
        <v>1</v>
      </c>
      <c r="J50" s="4" t="s">
        <v>1034</v>
      </c>
      <c r="K50" s="4" t="s">
        <v>86</v>
      </c>
      <c r="L50" s="4" t="s">
        <v>156</v>
      </c>
      <c r="M50" s="4" t="s">
        <v>903</v>
      </c>
      <c r="N50" s="4" t="s">
        <v>766</v>
      </c>
      <c r="O50" s="4"/>
      <c r="P50" s="4" t="s">
        <v>911</v>
      </c>
      <c r="Q50" s="4">
        <v>2</v>
      </c>
      <c r="R50" s="4">
        <v>75</v>
      </c>
      <c r="S50" s="10">
        <v>65</v>
      </c>
      <c r="T50" s="13">
        <v>7</v>
      </c>
      <c r="U50" s="10" t="s">
        <v>641</v>
      </c>
      <c r="V50" s="10" t="s">
        <v>642</v>
      </c>
      <c r="W50" s="12">
        <v>72.5</v>
      </c>
      <c r="X50" s="12">
        <v>72.599999999999994</v>
      </c>
      <c r="Y50" s="12">
        <f>0.9*SQRT(AA50)</f>
        <v>7.7942286340599489</v>
      </c>
      <c r="Z50" s="12">
        <f>0.9*SQRT(AB50)</f>
        <v>7.7942286340599489</v>
      </c>
      <c r="AA50" s="15">
        <v>75</v>
      </c>
      <c r="AB50" s="15">
        <v>75</v>
      </c>
      <c r="AC50" s="12">
        <f t="shared" si="22"/>
        <v>-9.9999999999994316E-2</v>
      </c>
      <c r="AD50" s="12">
        <f t="shared" si="23"/>
        <v>7.7942286340599489</v>
      </c>
      <c r="AE50" s="12">
        <f t="shared" si="24"/>
        <v>-1.2830005981990952E-2</v>
      </c>
      <c r="AF50" s="12">
        <f t="shared" si="25"/>
        <v>0.16330099621102029</v>
      </c>
      <c r="AG50" s="12" t="s">
        <v>193</v>
      </c>
      <c r="AH50" s="12"/>
      <c r="AI50" s="12" t="s">
        <v>780</v>
      </c>
      <c r="AJ50" s="12" t="s">
        <v>328</v>
      </c>
      <c r="AK50" s="12"/>
      <c r="AL50" s="12"/>
      <c r="AM50" s="10" t="s">
        <v>1038</v>
      </c>
      <c r="AN50" s="10" t="s">
        <v>157</v>
      </c>
    </row>
    <row r="51" spans="1:40" s="10" customFormat="1" x14ac:dyDescent="0.2">
      <c r="A51" s="4">
        <v>2012</v>
      </c>
      <c r="B51" s="6">
        <v>21810842</v>
      </c>
      <c r="C51" s="4" t="s">
        <v>113</v>
      </c>
      <c r="D51" s="4"/>
      <c r="E51" s="10" t="s">
        <v>157</v>
      </c>
      <c r="F51" s="4" t="s">
        <v>66</v>
      </c>
      <c r="G51" s="4" t="s">
        <v>66</v>
      </c>
      <c r="H51" s="4" t="s">
        <v>66</v>
      </c>
      <c r="I51" s="4">
        <v>1</v>
      </c>
      <c r="J51" s="4" t="s">
        <v>1034</v>
      </c>
      <c r="K51" s="4" t="s">
        <v>86</v>
      </c>
      <c r="L51" s="4" t="s">
        <v>156</v>
      </c>
      <c r="M51" s="4" t="s">
        <v>903</v>
      </c>
      <c r="N51" s="4" t="s">
        <v>766</v>
      </c>
      <c r="O51" s="4"/>
      <c r="P51" s="4" t="s">
        <v>911</v>
      </c>
      <c r="Q51" s="4">
        <v>2</v>
      </c>
      <c r="R51" s="4">
        <v>75</v>
      </c>
      <c r="S51" s="10">
        <v>65</v>
      </c>
      <c r="T51" s="13">
        <v>7</v>
      </c>
      <c r="U51" s="10" t="s">
        <v>644</v>
      </c>
      <c r="V51" s="10" t="s">
        <v>642</v>
      </c>
      <c r="W51" s="12">
        <v>131.9</v>
      </c>
      <c r="X51" s="12">
        <v>131.19999999999999</v>
      </c>
      <c r="Y51" s="12">
        <f>1.5*SQRT(AA51)</f>
        <v>12.99038105676658</v>
      </c>
      <c r="Z51" s="12">
        <f>1.5*SQRT(AB51)</f>
        <v>12.99038105676658</v>
      </c>
      <c r="AA51" s="15">
        <v>75</v>
      </c>
      <c r="AB51" s="15">
        <v>75</v>
      </c>
      <c r="AC51" s="12">
        <f t="shared" si="22"/>
        <v>0.70000000000001705</v>
      </c>
      <c r="AD51" s="12">
        <f t="shared" si="23"/>
        <v>12.99038105676658</v>
      </c>
      <c r="AE51" s="12">
        <f t="shared" si="24"/>
        <v>5.3886025124366382E-2</v>
      </c>
      <c r="AF51" s="12">
        <f t="shared" si="25"/>
        <v>0.1633289492986848</v>
      </c>
      <c r="AG51" s="12" t="s">
        <v>193</v>
      </c>
      <c r="AH51" s="12"/>
      <c r="AI51" s="12" t="s">
        <v>780</v>
      </c>
      <c r="AJ51" s="12" t="s">
        <v>348</v>
      </c>
      <c r="AK51" s="12"/>
      <c r="AL51" s="12"/>
      <c r="AM51" s="10" t="s">
        <v>1038</v>
      </c>
      <c r="AN51" s="10" t="s">
        <v>157</v>
      </c>
    </row>
    <row r="52" spans="1:40" s="10" customFormat="1" x14ac:dyDescent="0.2">
      <c r="A52" s="4">
        <v>2012</v>
      </c>
      <c r="B52" s="6">
        <v>21810842</v>
      </c>
      <c r="C52" s="4" t="s">
        <v>113</v>
      </c>
      <c r="D52" s="4"/>
      <c r="E52" s="10" t="s">
        <v>157</v>
      </c>
      <c r="F52" s="4" t="s">
        <v>66</v>
      </c>
      <c r="G52" s="4" t="s">
        <v>66</v>
      </c>
      <c r="H52" s="4" t="s">
        <v>66</v>
      </c>
      <c r="I52" s="4">
        <v>1</v>
      </c>
      <c r="J52" s="4" t="s">
        <v>1034</v>
      </c>
      <c r="K52" s="4" t="s">
        <v>86</v>
      </c>
      <c r="L52" s="4" t="s">
        <v>156</v>
      </c>
      <c r="M52" s="4" t="s">
        <v>903</v>
      </c>
      <c r="N52" s="4" t="s">
        <v>766</v>
      </c>
      <c r="O52" s="4"/>
      <c r="P52" s="4" t="s">
        <v>911</v>
      </c>
      <c r="Q52" s="4">
        <v>2</v>
      </c>
      <c r="R52" s="4">
        <v>75</v>
      </c>
      <c r="S52" s="10">
        <v>65</v>
      </c>
      <c r="T52" s="13">
        <v>7</v>
      </c>
      <c r="U52" s="10" t="s">
        <v>645</v>
      </c>
      <c r="V52" s="10" t="s">
        <v>642</v>
      </c>
      <c r="W52" s="12">
        <v>75.400000000000006</v>
      </c>
      <c r="X52" s="12">
        <v>74.5</v>
      </c>
      <c r="Y52" s="12">
        <f>1*SQRT(AA52)</f>
        <v>8.6602540378443873</v>
      </c>
      <c r="Z52" s="12">
        <f>1*SQRT(AB52)</f>
        <v>8.6602540378443873</v>
      </c>
      <c r="AA52" s="15">
        <v>75</v>
      </c>
      <c r="AB52" s="15">
        <v>75</v>
      </c>
      <c r="AC52" s="12">
        <f t="shared" si="22"/>
        <v>0.90000000000000568</v>
      </c>
      <c r="AD52" s="12">
        <f t="shared" si="23"/>
        <v>8.6602540378443873</v>
      </c>
      <c r="AE52" s="12">
        <f t="shared" si="24"/>
        <v>0.10392304845413329</v>
      </c>
      <c r="AF52" s="12">
        <f t="shared" si="25"/>
        <v>0.16340950604743493</v>
      </c>
      <c r="AG52" s="12" t="s">
        <v>193</v>
      </c>
      <c r="AH52" s="12"/>
      <c r="AI52" s="12" t="s">
        <v>780</v>
      </c>
      <c r="AJ52" s="12" t="s">
        <v>348</v>
      </c>
      <c r="AK52" s="12"/>
      <c r="AL52" s="12"/>
      <c r="AM52" s="10" t="s">
        <v>1038</v>
      </c>
      <c r="AN52" s="10" t="s">
        <v>157</v>
      </c>
    </row>
    <row r="53" spans="1:40" s="10" customFormat="1" x14ac:dyDescent="0.2">
      <c r="A53" s="4">
        <v>2012</v>
      </c>
      <c r="B53" s="6">
        <v>21810842</v>
      </c>
      <c r="C53" s="4" t="s">
        <v>113</v>
      </c>
      <c r="D53" s="4"/>
      <c r="E53" s="10" t="s">
        <v>157</v>
      </c>
      <c r="F53" s="4" t="s">
        <v>66</v>
      </c>
      <c r="G53" s="4" t="s">
        <v>66</v>
      </c>
      <c r="H53" s="4" t="s">
        <v>66</v>
      </c>
      <c r="I53" s="4">
        <v>1</v>
      </c>
      <c r="J53" s="4" t="s">
        <v>1034</v>
      </c>
      <c r="K53" s="4" t="s">
        <v>86</v>
      </c>
      <c r="L53" s="4" t="s">
        <v>156</v>
      </c>
      <c r="M53" s="4" t="s">
        <v>903</v>
      </c>
      <c r="N53" s="4" t="s">
        <v>766</v>
      </c>
      <c r="O53" s="4"/>
      <c r="P53" s="4" t="s">
        <v>911</v>
      </c>
      <c r="Q53" s="4">
        <v>2</v>
      </c>
      <c r="R53" s="4">
        <v>75</v>
      </c>
      <c r="S53" s="10">
        <v>65</v>
      </c>
      <c r="T53" s="13">
        <v>7</v>
      </c>
      <c r="U53" s="10" t="s">
        <v>637</v>
      </c>
      <c r="V53" s="10" t="s">
        <v>642</v>
      </c>
      <c r="W53" s="12">
        <v>121.4</v>
      </c>
      <c r="X53" s="12">
        <v>122.5</v>
      </c>
      <c r="Y53" s="12">
        <f>1.7*SQRT(AA53)</f>
        <v>14.722431864335459</v>
      </c>
      <c r="Z53" s="12">
        <f>1.7*SQRT(AB53)</f>
        <v>14.722431864335459</v>
      </c>
      <c r="AA53" s="15">
        <v>75</v>
      </c>
      <c r="AB53" s="15">
        <v>75</v>
      </c>
      <c r="AC53" s="12">
        <f t="shared" si="22"/>
        <v>-1.0999999999999943</v>
      </c>
      <c r="AD53" s="12">
        <f t="shared" si="23"/>
        <v>14.722431864335459</v>
      </c>
      <c r="AE53" s="12">
        <f t="shared" si="24"/>
        <v>-7.4715917189245293E-2</v>
      </c>
      <c r="AF53" s="12">
        <f t="shared" si="25"/>
        <v>0.16335628207776839</v>
      </c>
      <c r="AG53" s="12" t="s">
        <v>193</v>
      </c>
      <c r="AH53" s="12"/>
      <c r="AI53" s="12" t="s">
        <v>780</v>
      </c>
      <c r="AJ53" s="12" t="s">
        <v>328</v>
      </c>
      <c r="AK53" s="12"/>
      <c r="AL53" s="12"/>
      <c r="AM53" s="10" t="s">
        <v>1038</v>
      </c>
      <c r="AN53" s="10" t="s">
        <v>157</v>
      </c>
    </row>
    <row r="54" spans="1:40" s="10" customFormat="1" x14ac:dyDescent="0.2">
      <c r="A54" s="4">
        <v>2012</v>
      </c>
      <c r="B54" s="6">
        <v>21810842</v>
      </c>
      <c r="C54" s="4" t="s">
        <v>113</v>
      </c>
      <c r="D54" s="4"/>
      <c r="E54" s="10" t="s">
        <v>157</v>
      </c>
      <c r="F54" s="4" t="s">
        <v>66</v>
      </c>
      <c r="G54" s="4" t="s">
        <v>66</v>
      </c>
      <c r="H54" s="4" t="s">
        <v>66</v>
      </c>
      <c r="I54" s="4">
        <v>1</v>
      </c>
      <c r="J54" s="4" t="s">
        <v>1034</v>
      </c>
      <c r="K54" s="4" t="s">
        <v>86</v>
      </c>
      <c r="L54" s="4" t="s">
        <v>156</v>
      </c>
      <c r="M54" s="4" t="s">
        <v>903</v>
      </c>
      <c r="N54" s="4" t="s">
        <v>766</v>
      </c>
      <c r="O54" s="4"/>
      <c r="P54" s="4" t="s">
        <v>911</v>
      </c>
      <c r="Q54" s="4">
        <v>2</v>
      </c>
      <c r="R54" s="4">
        <v>75</v>
      </c>
      <c r="S54" s="10">
        <v>65</v>
      </c>
      <c r="T54" s="13">
        <v>7</v>
      </c>
      <c r="U54" s="10" t="s">
        <v>638</v>
      </c>
      <c r="V54" s="10" t="s">
        <v>642</v>
      </c>
      <c r="W54" s="12">
        <v>66.599999999999994</v>
      </c>
      <c r="X54" s="12">
        <v>66.900000000000006</v>
      </c>
      <c r="Y54" s="12">
        <f>0.9*SQRT(AA54)</f>
        <v>7.7942286340599489</v>
      </c>
      <c r="Z54" s="12">
        <f>0.9*SQRT(AB54)</f>
        <v>7.7942286340599489</v>
      </c>
      <c r="AA54" s="15">
        <v>75</v>
      </c>
      <c r="AB54" s="15">
        <v>75</v>
      </c>
      <c r="AC54" s="12">
        <f t="shared" si="22"/>
        <v>-0.30000000000001137</v>
      </c>
      <c r="AD54" s="12">
        <f t="shared" si="23"/>
        <v>7.7942286340599489</v>
      </c>
      <c r="AE54" s="12">
        <f t="shared" si="24"/>
        <v>-3.8490017945976507E-2</v>
      </c>
      <c r="AF54" s="12">
        <f t="shared" si="25"/>
        <v>0.16331443579265004</v>
      </c>
      <c r="AG54" s="12" t="s">
        <v>193</v>
      </c>
      <c r="AH54" s="12"/>
      <c r="AI54" s="12" t="s">
        <v>780</v>
      </c>
      <c r="AJ54" s="12" t="s">
        <v>328</v>
      </c>
      <c r="AK54" s="12"/>
      <c r="AL54" s="12"/>
      <c r="AM54" s="10" t="s">
        <v>1038</v>
      </c>
      <c r="AN54" s="10" t="s">
        <v>157</v>
      </c>
    </row>
    <row r="55" spans="1:40" s="10" customFormat="1" x14ac:dyDescent="0.2">
      <c r="A55" s="4">
        <v>2015</v>
      </c>
      <c r="B55" s="6" t="s">
        <v>1040</v>
      </c>
      <c r="C55" s="4" t="s">
        <v>113</v>
      </c>
      <c r="E55" s="10" t="s">
        <v>157</v>
      </c>
      <c r="F55" s="10" t="s">
        <v>66</v>
      </c>
      <c r="G55" s="10" t="s">
        <v>66</v>
      </c>
      <c r="H55" s="10" t="s">
        <v>66</v>
      </c>
      <c r="I55" s="10">
        <v>1</v>
      </c>
      <c r="J55" s="4" t="s">
        <v>1041</v>
      </c>
      <c r="K55" s="10" t="s">
        <v>86</v>
      </c>
      <c r="L55" s="10" t="s">
        <v>156</v>
      </c>
      <c r="M55" s="10" t="s">
        <v>903</v>
      </c>
      <c r="N55" s="10" t="s">
        <v>766</v>
      </c>
      <c r="P55" s="10" t="s">
        <v>911</v>
      </c>
      <c r="Q55" s="10">
        <v>2</v>
      </c>
      <c r="R55" s="10">
        <v>34</v>
      </c>
      <c r="S55" s="10">
        <v>64.900000000000006</v>
      </c>
      <c r="T55" s="13">
        <v>41</v>
      </c>
      <c r="U55" s="10" t="s">
        <v>1046</v>
      </c>
      <c r="V55" s="10" t="s">
        <v>642</v>
      </c>
      <c r="W55" s="12">
        <v>136.69999999999999</v>
      </c>
      <c r="X55" s="12">
        <v>135.80000000000001</v>
      </c>
      <c r="Y55" s="12">
        <v>18.399999999999999</v>
      </c>
      <c r="Z55" s="12">
        <v>16.899999999999999</v>
      </c>
      <c r="AA55" s="15">
        <v>34</v>
      </c>
      <c r="AB55" s="15">
        <v>34</v>
      </c>
      <c r="AC55" s="12">
        <f t="shared" si="22"/>
        <v>0.89999999999997726</v>
      </c>
      <c r="AD55" s="12">
        <f t="shared" si="23"/>
        <v>17.665927657499335</v>
      </c>
      <c r="AE55" s="12">
        <f t="shared" si="24"/>
        <v>5.0945527313869629E-2</v>
      </c>
      <c r="AF55" s="12">
        <f t="shared" si="25"/>
        <v>0.24257496486461314</v>
      </c>
      <c r="AG55" s="12" t="s">
        <v>157</v>
      </c>
      <c r="AH55" s="12"/>
      <c r="AI55" s="12" t="s">
        <v>780</v>
      </c>
      <c r="AJ55" s="12" t="s">
        <v>348</v>
      </c>
      <c r="AK55" s="12"/>
      <c r="AL55" s="12"/>
      <c r="AM55" s="10" t="s">
        <v>1045</v>
      </c>
      <c r="AN55" s="10" t="s">
        <v>157</v>
      </c>
    </row>
    <row r="56" spans="1:40" s="10" customFormat="1" x14ac:dyDescent="0.2">
      <c r="A56" s="4">
        <v>2015</v>
      </c>
      <c r="B56" s="6" t="s">
        <v>1040</v>
      </c>
      <c r="C56" s="4" t="s">
        <v>113</v>
      </c>
      <c r="E56" s="10" t="s">
        <v>157</v>
      </c>
      <c r="F56" s="10" t="s">
        <v>66</v>
      </c>
      <c r="G56" s="10" t="s">
        <v>66</v>
      </c>
      <c r="H56" s="10" t="s">
        <v>66</v>
      </c>
      <c r="I56" s="10">
        <v>1</v>
      </c>
      <c r="J56" s="4" t="s">
        <v>1041</v>
      </c>
      <c r="K56" s="10" t="s">
        <v>86</v>
      </c>
      <c r="L56" s="10" t="s">
        <v>156</v>
      </c>
      <c r="M56" s="10" t="s">
        <v>903</v>
      </c>
      <c r="N56" s="10" t="s">
        <v>766</v>
      </c>
      <c r="P56" s="10" t="s">
        <v>911</v>
      </c>
      <c r="Q56" s="10">
        <v>2</v>
      </c>
      <c r="R56" s="10">
        <v>34</v>
      </c>
      <c r="S56" s="10">
        <v>64.900000000000006</v>
      </c>
      <c r="T56" s="13">
        <v>41</v>
      </c>
      <c r="U56" s="10" t="s">
        <v>1047</v>
      </c>
      <c r="V56" s="10" t="s">
        <v>642</v>
      </c>
      <c r="W56" s="10">
        <v>135.19999999999999</v>
      </c>
      <c r="X56" s="12">
        <v>136.5</v>
      </c>
      <c r="Y56" s="12">
        <v>16.600000000000001</v>
      </c>
      <c r="Z56" s="12">
        <v>15.4</v>
      </c>
      <c r="AA56" s="15">
        <v>34</v>
      </c>
      <c r="AB56" s="15">
        <v>34</v>
      </c>
      <c r="AC56" s="12">
        <f t="shared" si="22"/>
        <v>-1.3000000000000114</v>
      </c>
      <c r="AD56" s="12">
        <f t="shared" si="23"/>
        <v>16.011246047700347</v>
      </c>
      <c r="AE56" s="12">
        <f t="shared" si="24"/>
        <v>-8.1192931276371644E-2</v>
      </c>
      <c r="AF56" s="12">
        <f t="shared" si="25"/>
        <v>0.24263553356364576</v>
      </c>
      <c r="AG56" s="12" t="s">
        <v>157</v>
      </c>
      <c r="AH56" s="12"/>
      <c r="AI56" s="12" t="s">
        <v>780</v>
      </c>
      <c r="AJ56" s="12" t="s">
        <v>328</v>
      </c>
      <c r="AK56" s="12"/>
      <c r="AL56" s="12"/>
      <c r="AM56" s="10" t="s">
        <v>1045</v>
      </c>
      <c r="AN56" s="10" t="s">
        <v>157</v>
      </c>
    </row>
    <row r="57" spans="1:40" s="10" customFormat="1" x14ac:dyDescent="0.2">
      <c r="A57" s="4">
        <v>2015</v>
      </c>
      <c r="B57" s="6" t="s">
        <v>1040</v>
      </c>
      <c r="C57" s="4" t="s">
        <v>113</v>
      </c>
      <c r="E57" s="10" t="s">
        <v>157</v>
      </c>
      <c r="F57" s="10" t="s">
        <v>66</v>
      </c>
      <c r="G57" s="10" t="s">
        <v>66</v>
      </c>
      <c r="H57" s="10" t="s">
        <v>66</v>
      </c>
      <c r="I57" s="10">
        <v>1</v>
      </c>
      <c r="J57" s="4" t="s">
        <v>1041</v>
      </c>
      <c r="K57" s="10" t="s">
        <v>86</v>
      </c>
      <c r="L57" s="10" t="s">
        <v>156</v>
      </c>
      <c r="M57" s="10" t="s">
        <v>903</v>
      </c>
      <c r="N57" s="10" t="s">
        <v>766</v>
      </c>
      <c r="P57" s="10" t="s">
        <v>911</v>
      </c>
      <c r="Q57" s="10">
        <v>2</v>
      </c>
      <c r="R57" s="10">
        <v>34</v>
      </c>
      <c r="S57" s="10">
        <v>64.900000000000006</v>
      </c>
      <c r="T57" s="13">
        <v>41</v>
      </c>
      <c r="U57" s="10" t="s">
        <v>1048</v>
      </c>
      <c r="V57" s="10" t="s">
        <v>642</v>
      </c>
      <c r="W57" s="12">
        <v>81.7</v>
      </c>
      <c r="X57" s="12">
        <v>81.7</v>
      </c>
      <c r="Y57" s="12">
        <v>9.9</v>
      </c>
      <c r="Z57" s="12">
        <v>9.4</v>
      </c>
      <c r="AA57" s="15">
        <v>34</v>
      </c>
      <c r="AB57" s="15">
        <v>34</v>
      </c>
      <c r="AC57" s="12">
        <f t="shared" si="22"/>
        <v>0</v>
      </c>
      <c r="AD57" s="12">
        <f t="shared" si="23"/>
        <v>9.6532377987906219</v>
      </c>
      <c r="AE57" s="12">
        <f t="shared" si="24"/>
        <v>0</v>
      </c>
      <c r="AF57" s="12">
        <f t="shared" si="25"/>
        <v>0.24253562503633297</v>
      </c>
      <c r="AG57" s="12" t="s">
        <v>157</v>
      </c>
      <c r="AH57" s="12"/>
      <c r="AI57" s="12" t="s">
        <v>780</v>
      </c>
      <c r="AJ57" s="12" t="s">
        <v>642</v>
      </c>
      <c r="AK57" s="12"/>
      <c r="AL57" s="12"/>
      <c r="AM57" s="10" t="s">
        <v>1045</v>
      </c>
      <c r="AN57" s="10" t="s">
        <v>157</v>
      </c>
    </row>
    <row r="58" spans="1:40" s="10" customFormat="1" x14ac:dyDescent="0.2">
      <c r="A58" s="4">
        <v>2015</v>
      </c>
      <c r="B58" s="6" t="s">
        <v>1040</v>
      </c>
      <c r="C58" s="4" t="s">
        <v>113</v>
      </c>
      <c r="E58" s="10" t="s">
        <v>157</v>
      </c>
      <c r="F58" s="10" t="s">
        <v>66</v>
      </c>
      <c r="G58" s="10" t="s">
        <v>66</v>
      </c>
      <c r="H58" s="10" t="s">
        <v>66</v>
      </c>
      <c r="I58" s="10">
        <v>1</v>
      </c>
      <c r="J58" s="4" t="s">
        <v>1041</v>
      </c>
      <c r="K58" s="10" t="s">
        <v>86</v>
      </c>
      <c r="L58" s="10" t="s">
        <v>156</v>
      </c>
      <c r="M58" s="10" t="s">
        <v>903</v>
      </c>
      <c r="N58" s="10" t="s">
        <v>766</v>
      </c>
      <c r="P58" s="10" t="s">
        <v>911</v>
      </c>
      <c r="Q58" s="10">
        <v>2</v>
      </c>
      <c r="R58" s="10">
        <v>34</v>
      </c>
      <c r="S58" s="10">
        <v>64.900000000000006</v>
      </c>
      <c r="T58" s="13">
        <v>41</v>
      </c>
      <c r="U58" s="10" t="s">
        <v>1049</v>
      </c>
      <c r="V58" s="10" t="s">
        <v>642</v>
      </c>
      <c r="W58" s="12">
        <v>80.099999999999994</v>
      </c>
      <c r="X58" s="12">
        <v>81.2</v>
      </c>
      <c r="Y58" s="12">
        <v>10.6</v>
      </c>
      <c r="Z58" s="12">
        <v>9.3000000000000007</v>
      </c>
      <c r="AA58" s="15">
        <v>34</v>
      </c>
      <c r="AB58" s="15">
        <v>34</v>
      </c>
      <c r="AC58" s="12">
        <f t="shared" si="22"/>
        <v>-1.1000000000000085</v>
      </c>
      <c r="AD58" s="12">
        <f t="shared" si="23"/>
        <v>9.9712085526279104</v>
      </c>
      <c r="AE58" s="12">
        <f t="shared" si="24"/>
        <v>-0.11031762039618595</v>
      </c>
      <c r="AF58" s="12">
        <f t="shared" si="25"/>
        <v>0.24272003324712277</v>
      </c>
      <c r="AG58" s="12" t="s">
        <v>157</v>
      </c>
      <c r="AH58" s="12"/>
      <c r="AI58" s="12" t="s">
        <v>780</v>
      </c>
      <c r="AJ58" s="12" t="s">
        <v>328</v>
      </c>
      <c r="AK58" s="12"/>
      <c r="AL58" s="12"/>
      <c r="AM58" s="10" t="s">
        <v>1045</v>
      </c>
      <c r="AN58" s="10" t="s">
        <v>157</v>
      </c>
    </row>
    <row r="59" spans="1:40" s="10" customFormat="1" x14ac:dyDescent="0.2">
      <c r="A59" s="4">
        <v>2015</v>
      </c>
      <c r="B59" s="6" t="s">
        <v>1040</v>
      </c>
      <c r="C59" s="4" t="s">
        <v>113</v>
      </c>
      <c r="E59" s="10" t="s">
        <v>157</v>
      </c>
      <c r="F59" s="10" t="s">
        <v>66</v>
      </c>
      <c r="G59" s="10" t="s">
        <v>66</v>
      </c>
      <c r="H59" s="10" t="s">
        <v>66</v>
      </c>
      <c r="I59" s="10">
        <v>1</v>
      </c>
      <c r="J59" s="4" t="s">
        <v>1041</v>
      </c>
      <c r="K59" s="10" t="s">
        <v>86</v>
      </c>
      <c r="L59" s="10" t="s">
        <v>156</v>
      </c>
      <c r="M59" s="10" t="s">
        <v>903</v>
      </c>
      <c r="N59" s="10" t="s">
        <v>766</v>
      </c>
      <c r="P59" s="10" t="s">
        <v>911</v>
      </c>
      <c r="Q59" s="10">
        <v>2</v>
      </c>
      <c r="R59" s="10">
        <v>34</v>
      </c>
      <c r="S59" s="10">
        <v>64.900000000000006</v>
      </c>
      <c r="T59" s="13">
        <v>41</v>
      </c>
      <c r="U59" s="10" t="s">
        <v>644</v>
      </c>
      <c r="V59" s="10" t="s">
        <v>642</v>
      </c>
      <c r="W59" s="12">
        <v>136.6</v>
      </c>
      <c r="X59" s="12">
        <v>138.80000000000001</v>
      </c>
      <c r="Y59" s="12">
        <v>15.8</v>
      </c>
      <c r="Z59" s="12">
        <v>14.2</v>
      </c>
      <c r="AA59" s="15">
        <v>34</v>
      </c>
      <c r="AB59" s="15">
        <v>34</v>
      </c>
      <c r="AC59" s="12">
        <f t="shared" si="22"/>
        <v>-2.2000000000000171</v>
      </c>
      <c r="AD59" s="12">
        <f t="shared" si="23"/>
        <v>15.021318184500322</v>
      </c>
      <c r="AE59" s="12">
        <f t="shared" si="24"/>
        <v>-0.1464585180194157</v>
      </c>
      <c r="AF59" s="12">
        <f t="shared" si="25"/>
        <v>0.24286055817467567</v>
      </c>
      <c r="AG59" s="12" t="s">
        <v>193</v>
      </c>
      <c r="AH59" s="12"/>
      <c r="AI59" s="12" t="s">
        <v>780</v>
      </c>
      <c r="AJ59" s="12" t="s">
        <v>328</v>
      </c>
      <c r="AK59" s="12"/>
      <c r="AL59" s="12"/>
      <c r="AM59" s="10" t="s">
        <v>1045</v>
      </c>
      <c r="AN59" s="10" t="s">
        <v>157</v>
      </c>
    </row>
    <row r="60" spans="1:40" s="10" customFormat="1" x14ac:dyDescent="0.2">
      <c r="A60" s="4">
        <v>2015</v>
      </c>
      <c r="B60" s="6" t="s">
        <v>1040</v>
      </c>
      <c r="C60" s="4" t="s">
        <v>113</v>
      </c>
      <c r="E60" s="10" t="s">
        <v>157</v>
      </c>
      <c r="F60" s="10" t="s">
        <v>66</v>
      </c>
      <c r="G60" s="10" t="s">
        <v>66</v>
      </c>
      <c r="H60" s="10" t="s">
        <v>66</v>
      </c>
      <c r="I60" s="10">
        <v>1</v>
      </c>
      <c r="J60" s="4" t="s">
        <v>1041</v>
      </c>
      <c r="K60" s="10" t="s">
        <v>86</v>
      </c>
      <c r="L60" s="10" t="s">
        <v>156</v>
      </c>
      <c r="M60" s="10" t="s">
        <v>903</v>
      </c>
      <c r="N60" s="10" t="s">
        <v>766</v>
      </c>
      <c r="P60" s="10" t="s">
        <v>911</v>
      </c>
      <c r="Q60" s="10">
        <v>2</v>
      </c>
      <c r="R60" s="10">
        <v>34</v>
      </c>
      <c r="S60" s="10">
        <v>64.900000000000006</v>
      </c>
      <c r="T60" s="13">
        <v>41</v>
      </c>
      <c r="U60" s="10" t="s">
        <v>645</v>
      </c>
      <c r="V60" s="10" t="s">
        <v>642</v>
      </c>
      <c r="W60" s="12">
        <v>79.8</v>
      </c>
      <c r="X60" s="12">
        <v>81.900000000000006</v>
      </c>
      <c r="Y60" s="12">
        <v>8.3000000000000007</v>
      </c>
      <c r="Z60" s="12">
        <v>9.3000000000000007</v>
      </c>
      <c r="AA60" s="15">
        <v>34</v>
      </c>
      <c r="AB60" s="15">
        <v>34</v>
      </c>
      <c r="AC60" s="12">
        <f t="shared" si="22"/>
        <v>-2.1000000000000085</v>
      </c>
      <c r="AD60" s="12">
        <f t="shared" si="23"/>
        <v>8.8141930997681239</v>
      </c>
      <c r="AE60" s="12">
        <f t="shared" si="24"/>
        <v>-0.23825209820457116</v>
      </c>
      <c r="AF60" s="12">
        <f t="shared" si="25"/>
        <v>0.2433945607912919</v>
      </c>
      <c r="AG60" s="12" t="s">
        <v>193</v>
      </c>
      <c r="AH60" s="12"/>
      <c r="AI60" s="12" t="s">
        <v>780</v>
      </c>
      <c r="AJ60" s="12" t="s">
        <v>328</v>
      </c>
      <c r="AK60" s="12"/>
      <c r="AL60" s="12"/>
      <c r="AM60" s="10" t="s">
        <v>1045</v>
      </c>
      <c r="AN60" s="10" t="s">
        <v>157</v>
      </c>
    </row>
    <row r="61" spans="1:40" s="10" customFormat="1" x14ac:dyDescent="0.2">
      <c r="A61" s="4">
        <v>2015</v>
      </c>
      <c r="B61" s="6" t="s">
        <v>1040</v>
      </c>
      <c r="C61" s="4" t="s">
        <v>113</v>
      </c>
      <c r="E61" s="10" t="s">
        <v>157</v>
      </c>
      <c r="F61" s="10" t="s">
        <v>66</v>
      </c>
      <c r="G61" s="10" t="s">
        <v>66</v>
      </c>
      <c r="H61" s="10" t="s">
        <v>66</v>
      </c>
      <c r="I61" s="10">
        <v>1</v>
      </c>
      <c r="J61" s="4" t="s">
        <v>1041</v>
      </c>
      <c r="K61" s="10" t="s">
        <v>86</v>
      </c>
      <c r="L61" s="10" t="s">
        <v>156</v>
      </c>
      <c r="M61" s="10" t="s">
        <v>903</v>
      </c>
      <c r="N61" s="10" t="s">
        <v>766</v>
      </c>
      <c r="P61" s="10" t="s">
        <v>911</v>
      </c>
      <c r="Q61" s="10">
        <v>2</v>
      </c>
      <c r="R61" s="10">
        <v>34</v>
      </c>
      <c r="S61" s="10">
        <v>64.900000000000006</v>
      </c>
      <c r="T61" s="13">
        <v>41</v>
      </c>
      <c r="U61" s="10" t="s">
        <v>637</v>
      </c>
      <c r="V61" s="10" t="s">
        <v>642</v>
      </c>
      <c r="W61" s="12">
        <v>129.19999999999999</v>
      </c>
      <c r="X61" s="12">
        <v>124.9</v>
      </c>
      <c r="Y61" s="12">
        <v>16.399999999999999</v>
      </c>
      <c r="Z61" s="12">
        <v>12.8</v>
      </c>
      <c r="AA61" s="15">
        <v>34</v>
      </c>
      <c r="AB61" s="15">
        <v>34</v>
      </c>
      <c r="AC61" s="12">
        <f t="shared" si="22"/>
        <v>4.2999999999999829</v>
      </c>
      <c r="AD61" s="12">
        <f t="shared" ref="AD61:AD62" si="26">SQRT(((AA61-1)*Y61^2+(AB61-1)*Z61^2)/(AA61+AB61-2))</f>
        <v>14.710540438746634</v>
      </c>
      <c r="AE61" s="12">
        <f t="shared" ref="AE61:AE62" si="27">AC61/AD61</f>
        <v>0.29230741167564822</v>
      </c>
      <c r="AF61" s="12">
        <f t="shared" ref="AF61:AF62" si="28">SQRT(((AA61+AB61)/(AA61*AB61)+(AE61^2/(2*(AA61+AB61)))))</f>
        <v>0.24382738022011352</v>
      </c>
      <c r="AG61" s="12" t="s">
        <v>193</v>
      </c>
      <c r="AH61" s="12" t="s">
        <v>193</v>
      </c>
      <c r="AI61" s="12" t="s">
        <v>780</v>
      </c>
      <c r="AJ61" s="12" t="s">
        <v>348</v>
      </c>
      <c r="AK61" s="12"/>
      <c r="AL61" s="12"/>
      <c r="AM61" s="10" t="s">
        <v>1045</v>
      </c>
      <c r="AN61" s="10" t="s">
        <v>157</v>
      </c>
    </row>
    <row r="62" spans="1:40" s="10" customFormat="1" x14ac:dyDescent="0.2">
      <c r="A62" s="4">
        <v>2015</v>
      </c>
      <c r="B62" s="6" t="s">
        <v>1040</v>
      </c>
      <c r="C62" s="4" t="s">
        <v>113</v>
      </c>
      <c r="E62" s="10" t="s">
        <v>157</v>
      </c>
      <c r="F62" s="10" t="s">
        <v>66</v>
      </c>
      <c r="G62" s="10" t="s">
        <v>66</v>
      </c>
      <c r="H62" s="10" t="s">
        <v>66</v>
      </c>
      <c r="I62" s="10">
        <v>1</v>
      </c>
      <c r="J62" s="4" t="s">
        <v>1041</v>
      </c>
      <c r="K62" s="10" t="s">
        <v>86</v>
      </c>
      <c r="L62" s="10" t="s">
        <v>156</v>
      </c>
      <c r="M62" s="10" t="s">
        <v>903</v>
      </c>
      <c r="N62" s="10" t="s">
        <v>766</v>
      </c>
      <c r="P62" s="10" t="s">
        <v>911</v>
      </c>
      <c r="Q62" s="10">
        <v>2</v>
      </c>
      <c r="R62" s="10">
        <v>34</v>
      </c>
      <c r="S62" s="10">
        <v>64.900000000000006</v>
      </c>
      <c r="T62" s="13">
        <v>41</v>
      </c>
      <c r="U62" s="10" t="s">
        <v>638</v>
      </c>
      <c r="V62" s="10" t="s">
        <v>642</v>
      </c>
      <c r="W62" s="12">
        <v>71.7</v>
      </c>
      <c r="X62" s="12">
        <v>70.3</v>
      </c>
      <c r="Y62" s="12">
        <v>8.6</v>
      </c>
      <c r="Z62" s="12">
        <v>7.5</v>
      </c>
      <c r="AA62" s="15">
        <v>34</v>
      </c>
      <c r="AB62" s="15">
        <v>34</v>
      </c>
      <c r="AC62" s="12">
        <f t="shared" si="22"/>
        <v>1.4000000000000057</v>
      </c>
      <c r="AD62" s="12">
        <f t="shared" si="26"/>
        <v>8.0687669442114878</v>
      </c>
      <c r="AE62" s="12">
        <f t="shared" si="27"/>
        <v>0.1735085434589683</v>
      </c>
      <c r="AF62" s="12">
        <f t="shared" si="28"/>
        <v>0.24299154570522633</v>
      </c>
      <c r="AG62" s="12" t="s">
        <v>193</v>
      </c>
      <c r="AH62" s="12"/>
      <c r="AI62" s="12" t="s">
        <v>780</v>
      </c>
      <c r="AJ62" s="12" t="s">
        <v>348</v>
      </c>
      <c r="AK62" s="12"/>
      <c r="AL62" s="12"/>
      <c r="AM62" s="10" t="s">
        <v>1045</v>
      </c>
      <c r="AN62" s="10" t="s">
        <v>157</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SMD</vt:lpstr>
      <vt:lpstr>Search_Summary</vt:lpstr>
      <vt:lpstr>aspirin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2020-09-24T15:09:51Z</dcterms:created>
  <dcterms:modified xsi:type="dcterms:W3CDTF">2021-10-20T22:31:57Z</dcterms:modified>
</cp:coreProperties>
</file>