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arce\Documents\MyExp\R_Analysis\R_CODE_DATA_OUTPUTS\BEST_2024\data\"/>
    </mc:Choice>
  </mc:AlternateContent>
  <xr:revisionPtr revIDLastSave="0" documentId="8_{4151B326-AAF9-4079-BEB3-93986010DADB}" xr6:coauthVersionLast="47" xr6:coauthVersionMax="47" xr10:uidLastSave="{00000000-0000-0000-0000-000000000000}"/>
  <bookViews>
    <workbookView xWindow="56205" yWindow="3315" windowWidth="28800" windowHeight="1510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2" i="1"/>
  <c r="B2" i="2"/>
  <c r="J3" i="1" s="1"/>
  <c r="J5" i="1"/>
  <c r="J6" i="1"/>
  <c r="J7" i="1"/>
  <c r="J8" i="1"/>
  <c r="J9" i="1"/>
  <c r="J10" i="1"/>
  <c r="J11" i="1"/>
  <c r="J12" i="1"/>
  <c r="J13" i="1"/>
  <c r="J14" i="1"/>
  <c r="J17" i="1"/>
  <c r="J18" i="1"/>
  <c r="J19" i="1"/>
  <c r="J20" i="1"/>
  <c r="J21" i="1"/>
  <c r="J22" i="1"/>
  <c r="J23" i="1"/>
  <c r="J24" i="1"/>
  <c r="J25" i="1"/>
  <c r="J26" i="1"/>
  <c r="J29" i="1"/>
  <c r="J30" i="1"/>
  <c r="J31" i="1"/>
  <c r="J32" i="1"/>
  <c r="J33" i="1"/>
  <c r="J34" i="1"/>
  <c r="J35" i="1"/>
  <c r="J36" i="1"/>
  <c r="J37" i="1"/>
  <c r="J38" i="1"/>
  <c r="J41" i="1"/>
  <c r="J42" i="1"/>
  <c r="J43" i="1"/>
  <c r="J44" i="1"/>
  <c r="J45" i="1"/>
  <c r="J46" i="1"/>
  <c r="J47" i="1"/>
  <c r="J48" i="1"/>
  <c r="J49" i="1"/>
  <c r="J50" i="1"/>
  <c r="J53" i="1"/>
  <c r="J54" i="1"/>
  <c r="J55" i="1"/>
  <c r="J56" i="1"/>
  <c r="J57" i="1"/>
  <c r="J58" i="1"/>
  <c r="J59" i="1"/>
  <c r="J60" i="1"/>
  <c r="J61" i="1"/>
  <c r="J62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2" i="1"/>
  <c r="F26" i="1"/>
  <c r="F27" i="1"/>
  <c r="E177" i="1"/>
  <c r="F177" i="1" s="1"/>
  <c r="E176" i="1"/>
  <c r="F176" i="1" s="1"/>
  <c r="C177" i="1"/>
  <c r="C176" i="1"/>
  <c r="E4" i="2"/>
  <c r="E3" i="2"/>
  <c r="E2" i="2"/>
  <c r="B3" i="2"/>
  <c r="H54" i="2"/>
  <c r="E53" i="2"/>
  <c r="E52" i="2"/>
  <c r="D53" i="2"/>
  <c r="D52" i="2"/>
  <c r="G47" i="2"/>
  <c r="H47" i="2"/>
  <c r="G48" i="2"/>
  <c r="H48" i="2"/>
  <c r="G49" i="2"/>
  <c r="H49" i="2"/>
  <c r="G50" i="2"/>
  <c r="H50" i="2"/>
  <c r="H46" i="2"/>
  <c r="G46" i="2"/>
  <c r="G40" i="2"/>
  <c r="H45" i="2"/>
  <c r="H44" i="2"/>
  <c r="H43" i="2"/>
  <c r="H42" i="2"/>
  <c r="G45" i="2"/>
  <c r="G44" i="2"/>
  <c r="G43" i="2"/>
  <c r="G42" i="2"/>
  <c r="H41" i="2"/>
  <c r="G41" i="2"/>
  <c r="H31" i="2"/>
  <c r="G37" i="2"/>
  <c r="H37" i="2"/>
  <c r="G38" i="2"/>
  <c r="H38" i="2"/>
  <c r="G39" i="2"/>
  <c r="H39" i="2"/>
  <c r="H40" i="2"/>
  <c r="H36" i="2"/>
  <c r="G36" i="2"/>
  <c r="E175" i="1"/>
  <c r="F175" i="1" s="1"/>
  <c r="E174" i="1"/>
  <c r="F174" i="1" s="1"/>
  <c r="E173" i="1"/>
  <c r="F173" i="1" s="1"/>
  <c r="E172" i="1"/>
  <c r="H172" i="1" s="1"/>
  <c r="R172" i="1" s="1"/>
  <c r="C175" i="1"/>
  <c r="C174" i="1"/>
  <c r="C173" i="1"/>
  <c r="C172" i="1"/>
  <c r="E171" i="1"/>
  <c r="F171" i="1" s="1"/>
  <c r="E170" i="1"/>
  <c r="F170" i="1" s="1"/>
  <c r="C171" i="1"/>
  <c r="C170" i="1"/>
  <c r="E169" i="1"/>
  <c r="F169" i="1" s="1"/>
  <c r="E168" i="1"/>
  <c r="E167" i="1"/>
  <c r="F167" i="1" s="1"/>
  <c r="E166" i="1"/>
  <c r="F166" i="1" s="1"/>
  <c r="C169" i="1"/>
  <c r="C168" i="1"/>
  <c r="C167" i="1"/>
  <c r="C166" i="1"/>
  <c r="E165" i="1"/>
  <c r="F165" i="1" s="1"/>
  <c r="E164" i="1"/>
  <c r="C165" i="1"/>
  <c r="C164" i="1"/>
  <c r="E163" i="1"/>
  <c r="E162" i="1"/>
  <c r="F162" i="1" s="1"/>
  <c r="C163" i="1"/>
  <c r="C162" i="1"/>
  <c r="E161" i="1"/>
  <c r="E160" i="1"/>
  <c r="F160" i="1" s="1"/>
  <c r="C161" i="1"/>
  <c r="C160" i="1"/>
  <c r="E159" i="1"/>
  <c r="F159" i="1" s="1"/>
  <c r="E158" i="1"/>
  <c r="E157" i="1"/>
  <c r="E156" i="1"/>
  <c r="F156" i="1" s="1"/>
  <c r="E155" i="1"/>
  <c r="F155" i="1" s="1"/>
  <c r="E154" i="1"/>
  <c r="F154" i="1" s="1"/>
  <c r="C159" i="1"/>
  <c r="C158" i="1"/>
  <c r="C157" i="1"/>
  <c r="C156" i="1"/>
  <c r="C155" i="1"/>
  <c r="C154" i="1"/>
  <c r="E153" i="1"/>
  <c r="F153" i="1" s="1"/>
  <c r="E152" i="1"/>
  <c r="F152" i="1" s="1"/>
  <c r="C153" i="1"/>
  <c r="C152" i="1"/>
  <c r="E151" i="1"/>
  <c r="F151" i="1" s="1"/>
  <c r="E150" i="1"/>
  <c r="H151" i="1" s="1"/>
  <c r="R151" i="1" s="1"/>
  <c r="E149" i="1"/>
  <c r="F149" i="1" s="1"/>
  <c r="E148" i="1"/>
  <c r="E147" i="1"/>
  <c r="F147" i="1" s="1"/>
  <c r="E146" i="1"/>
  <c r="E145" i="1"/>
  <c r="F145" i="1" s="1"/>
  <c r="E144" i="1"/>
  <c r="C151" i="1"/>
  <c r="C150" i="1"/>
  <c r="C149" i="1"/>
  <c r="C148" i="1"/>
  <c r="C147" i="1"/>
  <c r="C146" i="1"/>
  <c r="C145" i="1"/>
  <c r="C144" i="1"/>
  <c r="E30" i="2"/>
  <c r="D30" i="2"/>
  <c r="H148" i="1" l="1"/>
  <c r="R148" i="1" s="1"/>
  <c r="H144" i="1"/>
  <c r="R144" i="1" s="1"/>
  <c r="H167" i="1"/>
  <c r="R167" i="1" s="1"/>
  <c r="H162" i="1"/>
  <c r="R162" i="1" s="1"/>
  <c r="H157" i="1"/>
  <c r="R157" i="1" s="1"/>
  <c r="H158" i="1"/>
  <c r="R158" i="1" s="1"/>
  <c r="H169" i="1"/>
  <c r="R169" i="1" s="1"/>
  <c r="H177" i="1"/>
  <c r="R177" i="1" s="1"/>
  <c r="H173" i="1"/>
  <c r="R173" i="1" s="1"/>
  <c r="H165" i="1"/>
  <c r="R165" i="1" s="1"/>
  <c r="H161" i="1"/>
  <c r="R161" i="1" s="1"/>
  <c r="H152" i="1"/>
  <c r="R152" i="1" s="1"/>
  <c r="F172" i="1"/>
  <c r="F148" i="1"/>
  <c r="F150" i="1"/>
  <c r="F161" i="1"/>
  <c r="H147" i="1"/>
  <c r="R147" i="1" s="1"/>
  <c r="H153" i="1"/>
  <c r="R153" i="1" s="1"/>
  <c r="H166" i="1"/>
  <c r="R166" i="1" s="1"/>
  <c r="F158" i="1"/>
  <c r="F146" i="1"/>
  <c r="H155" i="1"/>
  <c r="R155" i="1" s="1"/>
  <c r="H163" i="1"/>
  <c r="R163" i="1" s="1"/>
  <c r="H154" i="1"/>
  <c r="R154" i="1" s="1"/>
  <c r="F157" i="1"/>
  <c r="H159" i="1"/>
  <c r="R159" i="1" s="1"/>
  <c r="H175" i="1"/>
  <c r="R175" i="1" s="1"/>
  <c r="H176" i="1"/>
  <c r="R176" i="1" s="1"/>
  <c r="F168" i="1"/>
  <c r="F144" i="1"/>
  <c r="H149" i="1"/>
  <c r="R149" i="1" s="1"/>
  <c r="H156" i="1"/>
  <c r="R156" i="1" s="1"/>
  <c r="H171" i="1"/>
  <c r="R171" i="1" s="1"/>
  <c r="F164" i="1"/>
  <c r="F163" i="1"/>
  <c r="J64" i="1"/>
  <c r="J52" i="1"/>
  <c r="J40" i="1"/>
  <c r="J28" i="1"/>
  <c r="J16" i="1"/>
  <c r="J4" i="1"/>
  <c r="J63" i="1"/>
  <c r="J51" i="1"/>
  <c r="J39" i="1"/>
  <c r="J27" i="1"/>
  <c r="J15" i="1"/>
  <c r="H164" i="1"/>
  <c r="R164" i="1" s="1"/>
  <c r="H174" i="1"/>
  <c r="R174" i="1" s="1"/>
  <c r="H160" i="1"/>
  <c r="R160" i="1" s="1"/>
  <c r="H150" i="1"/>
  <c r="R150" i="1" s="1"/>
  <c r="H168" i="1"/>
  <c r="R168" i="1" s="1"/>
  <c r="H170" i="1"/>
  <c r="R170" i="1" s="1"/>
  <c r="D54" i="2"/>
  <c r="E54" i="2"/>
  <c r="H145" i="1"/>
  <c r="R145" i="1" s="1"/>
  <c r="H146" i="1"/>
  <c r="R146" i="1" s="1"/>
  <c r="E143" i="1"/>
  <c r="F143" i="1" s="1"/>
  <c r="E142" i="1"/>
  <c r="F142" i="1" s="1"/>
  <c r="E141" i="1"/>
  <c r="F141" i="1" s="1"/>
  <c r="E140" i="1"/>
  <c r="E139" i="1"/>
  <c r="F139" i="1" s="1"/>
  <c r="E138" i="1"/>
  <c r="C143" i="1"/>
  <c r="C142" i="1"/>
  <c r="C141" i="1"/>
  <c r="C140" i="1"/>
  <c r="C139" i="1"/>
  <c r="C13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2" i="1"/>
  <c r="Q2" i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R97" i="1"/>
  <c r="R96" i="1"/>
  <c r="H27" i="1"/>
  <c r="R27" i="1" s="1"/>
  <c r="H26" i="1"/>
  <c r="R26" i="1" s="1"/>
  <c r="E49" i="1"/>
  <c r="F49" i="1" s="1"/>
  <c r="E48" i="1"/>
  <c r="F48" i="1" s="1"/>
  <c r="R2" i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R82" i="1"/>
  <c r="R83" i="1"/>
  <c r="E81" i="1"/>
  <c r="F81" i="1" s="1"/>
  <c r="E80" i="1"/>
  <c r="E79" i="1"/>
  <c r="F79" i="1" s="1"/>
  <c r="E78" i="1"/>
  <c r="F78" i="1" s="1"/>
  <c r="E77" i="1"/>
  <c r="F77" i="1" s="1"/>
  <c r="E76" i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R3" i="1"/>
  <c r="R4" i="1"/>
  <c r="R5" i="1"/>
  <c r="R6" i="1"/>
  <c r="R7" i="1"/>
  <c r="R8" i="1"/>
  <c r="R9" i="1"/>
  <c r="R10" i="1"/>
  <c r="R11" i="1"/>
  <c r="R12" i="1"/>
  <c r="R13" i="1"/>
  <c r="E47" i="1"/>
  <c r="F47" i="1" s="1"/>
  <c r="E46" i="1"/>
  <c r="F46" i="1" s="1"/>
  <c r="E45" i="1"/>
  <c r="F45" i="1" s="1"/>
  <c r="E44" i="1"/>
  <c r="F44" i="1" s="1"/>
  <c r="E43" i="1"/>
  <c r="F43" i="1" s="1"/>
  <c r="E42" i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5" i="1"/>
  <c r="F25" i="1" s="1"/>
  <c r="E24" i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B4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H7" i="2"/>
  <c r="G7" i="2"/>
  <c r="E32" i="2"/>
  <c r="E31" i="2"/>
  <c r="D32" i="2"/>
  <c r="D31" i="2"/>
  <c r="H51" i="1" l="1"/>
  <c r="R51" i="1" s="1"/>
  <c r="F50" i="1"/>
  <c r="H77" i="1"/>
  <c r="R77" i="1" s="1"/>
  <c r="F76" i="1"/>
  <c r="H127" i="1"/>
  <c r="R127" i="1" s="1"/>
  <c r="F126" i="1"/>
  <c r="H80" i="1"/>
  <c r="R80" i="1" s="1"/>
  <c r="F80" i="1"/>
  <c r="H43" i="1"/>
  <c r="R43" i="1" s="1"/>
  <c r="F42" i="1"/>
  <c r="H115" i="1"/>
  <c r="R115" i="1" s="1"/>
  <c r="F114" i="1"/>
  <c r="H24" i="1"/>
  <c r="R24" i="1" s="1"/>
  <c r="F24" i="1"/>
  <c r="H59" i="1"/>
  <c r="R59" i="1" s="1"/>
  <c r="F58" i="1"/>
  <c r="H139" i="1"/>
  <c r="R139" i="1" s="1"/>
  <c r="F138" i="1"/>
  <c r="H141" i="1"/>
  <c r="R141" i="1" s="1"/>
  <c r="F140" i="1"/>
  <c r="H93" i="1"/>
  <c r="R93" i="1" s="1"/>
  <c r="H107" i="1"/>
  <c r="R107" i="1" s="1"/>
  <c r="H118" i="1"/>
  <c r="R118" i="1" s="1"/>
  <c r="H138" i="1"/>
  <c r="R138" i="1" s="1"/>
  <c r="H129" i="1"/>
  <c r="R129" i="1" s="1"/>
  <c r="H137" i="1"/>
  <c r="R137" i="1" s="1"/>
  <c r="H143" i="1"/>
  <c r="R143" i="1" s="1"/>
  <c r="H30" i="1"/>
  <c r="R30" i="1" s="1"/>
  <c r="H39" i="1"/>
  <c r="R39" i="1" s="1"/>
  <c r="H44" i="1"/>
  <c r="R44" i="1" s="1"/>
  <c r="H108" i="1"/>
  <c r="R108" i="1" s="1"/>
  <c r="H121" i="1"/>
  <c r="R121" i="1" s="1"/>
  <c r="H135" i="1"/>
  <c r="R135" i="1" s="1"/>
  <c r="H142" i="1"/>
  <c r="R142" i="1" s="1"/>
  <c r="H140" i="1"/>
  <c r="R140" i="1" s="1"/>
  <c r="H28" i="1"/>
  <c r="R28" i="1" s="1"/>
  <c r="H35" i="1"/>
  <c r="R35" i="1" s="1"/>
  <c r="H41" i="1"/>
  <c r="R41" i="1" s="1"/>
  <c r="H46" i="1"/>
  <c r="R46" i="1" s="1"/>
  <c r="H53" i="1"/>
  <c r="R53" i="1" s="1"/>
  <c r="H64" i="1"/>
  <c r="R64" i="1" s="1"/>
  <c r="H47" i="1"/>
  <c r="R47" i="1" s="1"/>
  <c r="H88" i="1"/>
  <c r="R88" i="1" s="1"/>
  <c r="H62" i="1"/>
  <c r="R62" i="1" s="1"/>
  <c r="H70" i="1"/>
  <c r="R70" i="1" s="1"/>
  <c r="H134" i="1"/>
  <c r="R134" i="1" s="1"/>
  <c r="H101" i="1"/>
  <c r="R101" i="1" s="1"/>
  <c r="H133" i="1"/>
  <c r="R133" i="1" s="1"/>
  <c r="H131" i="1"/>
  <c r="R131" i="1" s="1"/>
  <c r="H49" i="1"/>
  <c r="R49" i="1" s="1"/>
  <c r="H105" i="1"/>
  <c r="R105" i="1" s="1"/>
  <c r="H116" i="1"/>
  <c r="R116" i="1" s="1"/>
  <c r="H84" i="1"/>
  <c r="R84" i="1" s="1"/>
  <c r="H106" i="1"/>
  <c r="R106" i="1" s="1"/>
  <c r="H85" i="1"/>
  <c r="R85" i="1" s="1"/>
  <c r="H22" i="1"/>
  <c r="R22" i="1" s="1"/>
  <c r="H31" i="1"/>
  <c r="R31" i="1" s="1"/>
  <c r="H87" i="1"/>
  <c r="R87" i="1" s="1"/>
  <c r="H130" i="1"/>
  <c r="R130" i="1" s="1"/>
  <c r="H103" i="1"/>
  <c r="R103" i="1" s="1"/>
  <c r="H132" i="1"/>
  <c r="R132" i="1" s="1"/>
  <c r="H63" i="1"/>
  <c r="R63" i="1" s="1"/>
  <c r="H81" i="1"/>
  <c r="R81" i="1" s="1"/>
  <c r="H100" i="1"/>
  <c r="R100" i="1" s="1"/>
  <c r="H92" i="1"/>
  <c r="R92" i="1" s="1"/>
  <c r="H119" i="1"/>
  <c r="R119" i="1" s="1"/>
  <c r="H136" i="1"/>
  <c r="R136" i="1" s="1"/>
  <c r="H19" i="1"/>
  <c r="R19" i="1" s="1"/>
  <c r="H25" i="1"/>
  <c r="R25" i="1" s="1"/>
  <c r="H50" i="1"/>
  <c r="R50" i="1" s="1"/>
  <c r="H104" i="1"/>
  <c r="R104" i="1" s="1"/>
  <c r="H91" i="1"/>
  <c r="R91" i="1" s="1"/>
  <c r="H69" i="1"/>
  <c r="R69" i="1" s="1"/>
  <c r="H94" i="1"/>
  <c r="R94" i="1" s="1"/>
  <c r="H109" i="1"/>
  <c r="R109" i="1" s="1"/>
  <c r="H36" i="1"/>
  <c r="R36" i="1" s="1"/>
  <c r="H99" i="1"/>
  <c r="R99" i="1" s="1"/>
  <c r="H111" i="1"/>
  <c r="R111" i="1" s="1"/>
  <c r="H123" i="1"/>
  <c r="R123" i="1" s="1"/>
  <c r="H128" i="1"/>
  <c r="R128" i="1" s="1"/>
  <c r="H33" i="1"/>
  <c r="R33" i="1" s="1"/>
  <c r="H38" i="1"/>
  <c r="R38" i="1" s="1"/>
  <c r="H71" i="1"/>
  <c r="R71" i="1" s="1"/>
  <c r="H117" i="1"/>
  <c r="R117" i="1" s="1"/>
  <c r="H113" i="1"/>
  <c r="R113" i="1" s="1"/>
  <c r="H125" i="1"/>
  <c r="R125" i="1" s="1"/>
  <c r="H126" i="1"/>
  <c r="R126" i="1" s="1"/>
  <c r="H124" i="1"/>
  <c r="R124" i="1" s="1"/>
  <c r="H122" i="1"/>
  <c r="R122" i="1" s="1"/>
  <c r="H120" i="1"/>
  <c r="R120" i="1" s="1"/>
  <c r="H114" i="1"/>
  <c r="R114" i="1" s="1"/>
  <c r="H112" i="1"/>
  <c r="R112" i="1" s="1"/>
  <c r="H110" i="1"/>
  <c r="R110" i="1" s="1"/>
  <c r="H102" i="1"/>
  <c r="R102" i="1" s="1"/>
  <c r="H98" i="1"/>
  <c r="R98" i="1" s="1"/>
  <c r="H95" i="1"/>
  <c r="R95" i="1" s="1"/>
  <c r="H90" i="1"/>
  <c r="R90" i="1" s="1"/>
  <c r="H48" i="1"/>
  <c r="R48" i="1" s="1"/>
  <c r="H61" i="1"/>
  <c r="R61" i="1" s="1"/>
  <c r="H52" i="1"/>
  <c r="R52" i="1" s="1"/>
  <c r="H37" i="1"/>
  <c r="R37" i="1" s="1"/>
  <c r="H65" i="1"/>
  <c r="R65" i="1" s="1"/>
  <c r="H32" i="1"/>
  <c r="R32" i="1" s="1"/>
  <c r="H54" i="1"/>
  <c r="R54" i="1" s="1"/>
  <c r="H66" i="1"/>
  <c r="R66" i="1" s="1"/>
  <c r="H34" i="1"/>
  <c r="R34" i="1" s="1"/>
  <c r="H56" i="1"/>
  <c r="R56" i="1" s="1"/>
  <c r="H68" i="1"/>
  <c r="R68" i="1" s="1"/>
  <c r="H57" i="1"/>
  <c r="R57" i="1" s="1"/>
  <c r="H79" i="1"/>
  <c r="R79" i="1" s="1"/>
  <c r="H42" i="1"/>
  <c r="R42" i="1" s="1"/>
  <c r="H58" i="1"/>
  <c r="R58" i="1" s="1"/>
  <c r="H75" i="1"/>
  <c r="R75" i="1" s="1"/>
  <c r="H15" i="1"/>
  <c r="R15" i="1" s="1"/>
  <c r="H21" i="1"/>
  <c r="R21" i="1" s="1"/>
  <c r="H17" i="1"/>
  <c r="R17" i="1" s="1"/>
  <c r="H23" i="1"/>
  <c r="R23" i="1" s="1"/>
  <c r="H29" i="1"/>
  <c r="R29" i="1" s="1"/>
  <c r="H40" i="1"/>
  <c r="R40" i="1" s="1"/>
  <c r="H86" i="1"/>
  <c r="R86" i="1" s="1"/>
  <c r="H89" i="1"/>
  <c r="R89" i="1" s="1"/>
  <c r="H60" i="1"/>
  <c r="R60" i="1" s="1"/>
  <c r="H55" i="1"/>
  <c r="R55" i="1" s="1"/>
  <c r="H67" i="1"/>
  <c r="R67" i="1" s="1"/>
  <c r="H73" i="1"/>
  <c r="R73" i="1" s="1"/>
  <c r="H78" i="1"/>
  <c r="R78" i="1" s="1"/>
  <c r="H76" i="1"/>
  <c r="R76" i="1" s="1"/>
  <c r="H74" i="1"/>
  <c r="R74" i="1" s="1"/>
  <c r="H72" i="1"/>
  <c r="R72" i="1" s="1"/>
  <c r="H45" i="1"/>
  <c r="R45" i="1" s="1"/>
  <c r="H20" i="1"/>
  <c r="R20" i="1" s="1"/>
  <c r="H18" i="1"/>
  <c r="R18" i="1" s="1"/>
  <c r="H16" i="1"/>
  <c r="R16" i="1" s="1"/>
  <c r="H14" i="1"/>
  <c r="R14" i="1" s="1"/>
  <c r="S2" i="1" l="1"/>
  <c r="T2" i="1" s="1"/>
  <c r="P2" i="1"/>
</calcChain>
</file>

<file path=xl/sharedStrings.xml><?xml version="1.0" encoding="utf-8"?>
<sst xmlns="http://schemas.openxmlformats.org/spreadsheetml/2006/main" count="910" uniqueCount="209">
  <si>
    <t>Sample Name</t>
  </si>
  <si>
    <t>FSES_ID</t>
  </si>
  <si>
    <t>MyE_Received</t>
  </si>
  <si>
    <t>size_factor</t>
  </si>
  <si>
    <t>WB lot</t>
  </si>
  <si>
    <t>Hours worn</t>
  </si>
  <si>
    <t>Wristband factors</t>
  </si>
  <si>
    <t>Full:</t>
  </si>
  <si>
    <t>1/2:</t>
  </si>
  <si>
    <t>1/4:</t>
  </si>
  <si>
    <t>Creation Batch</t>
  </si>
  <si>
    <t>Whole wt</t>
  </si>
  <si>
    <t>P1</t>
  </si>
  <si>
    <t>P2</t>
  </si>
  <si>
    <t>Order #</t>
  </si>
  <si>
    <t>AVG</t>
  </si>
  <si>
    <t>SD</t>
  </si>
  <si>
    <t>RSD</t>
  </si>
  <si>
    <t>P1 % diff</t>
  </si>
  <si>
    <t>P2 % diff</t>
  </si>
  <si>
    <t>AVG % DIFF:</t>
  </si>
  <si>
    <t>EST</t>
  </si>
  <si>
    <t>CALC</t>
  </si>
  <si>
    <t>sample type</t>
  </si>
  <si>
    <t>Air-tight?</t>
  </si>
  <si>
    <t>Other notes</t>
  </si>
  <si>
    <t>necklace</t>
  </si>
  <si>
    <t>wristband</t>
  </si>
  <si>
    <t>Neck &amp; WB Match hours</t>
  </si>
  <si>
    <t>Yes</t>
  </si>
  <si>
    <t>yes</t>
  </si>
  <si>
    <t>no</t>
  </si>
  <si>
    <t>pin-hole leak somewhere</t>
  </si>
  <si>
    <t>19NOV19-01</t>
  </si>
  <si>
    <t>19NOV07-01</t>
  </si>
  <si>
    <t>not filled</t>
  </si>
  <si>
    <t>wrapped in rubber bands did not use clip</t>
  </si>
  <si>
    <t>19DEC02-01</t>
  </si>
  <si>
    <t>19DEC04-01</t>
  </si>
  <si>
    <t>19DEC01-02</t>
  </si>
  <si>
    <t>19NOV27-01</t>
  </si>
  <si>
    <t>19NOV21-01</t>
  </si>
  <si>
    <t>SWB lot #'s:</t>
  </si>
  <si>
    <t>N/A</t>
  </si>
  <si>
    <t>No issue samples</t>
  </si>
  <si>
    <t>No Isssue %</t>
  </si>
  <si>
    <t>taped shut with label</t>
  </si>
  <si>
    <t>19NOV05-01</t>
  </si>
  <si>
    <t>no rod, completely open</t>
  </si>
  <si>
    <t>air tight</t>
  </si>
  <si>
    <t>compliant wb/neck</t>
  </si>
  <si>
    <t>Count of good:</t>
  </si>
  <si>
    <t>none</t>
  </si>
  <si>
    <t>For time: "8 hrs; 7 or 8; 8+" for days 1,2,3 resp.</t>
  </si>
  <si>
    <t>might have been air-tight, but used 1 rod and clip to close both bags.  Necklace bag had small hole near rod and clip (dog?).  Seal was good.</t>
  </si>
  <si>
    <t>Sample ID partial</t>
  </si>
  <si>
    <t>PO 259</t>
  </si>
  <si>
    <t>Batch_Num (MASV15)</t>
  </si>
  <si>
    <t>Batch_Num (P&amp;T_VOC)</t>
  </si>
  <si>
    <t>received on 9/4/24 at UPS, picked up 5 days later</t>
  </si>
  <si>
    <t>necklace bag and sample were inside the wristband bag with WB sample.  Seal was complete, but folds in plastic had a tiny leak.  Picture will show I took out the necklace bag (with sample) and sealed both bags with the same rod and clip.</t>
  </si>
  <si>
    <t>This is for gray WBs!</t>
  </si>
  <si>
    <t>Days_worn</t>
  </si>
  <si>
    <t>IF WB IS GRAY, IT IS LIGHTER WEIGHT</t>
  </si>
  <si>
    <t>A241227</t>
  </si>
  <si>
    <t>A241132</t>
  </si>
  <si>
    <t>A241133</t>
  </si>
  <si>
    <t>A241134</t>
  </si>
  <si>
    <t>A241135</t>
  </si>
  <si>
    <t>A241136</t>
  </si>
  <si>
    <t>A241137</t>
  </si>
  <si>
    <t>A241138</t>
  </si>
  <si>
    <t>A241139</t>
  </si>
  <si>
    <t>A241140</t>
  </si>
  <si>
    <t>A241141</t>
  </si>
  <si>
    <t>A241142</t>
  </si>
  <si>
    <t>A241143</t>
  </si>
  <si>
    <t>A241144</t>
  </si>
  <si>
    <t>A241145</t>
  </si>
  <si>
    <t>A241146</t>
  </si>
  <si>
    <t>A241147</t>
  </si>
  <si>
    <t>A241148</t>
  </si>
  <si>
    <t>A241149</t>
  </si>
  <si>
    <t>A241150</t>
  </si>
  <si>
    <t>A241151</t>
  </si>
  <si>
    <t>A241152</t>
  </si>
  <si>
    <t>A241153</t>
  </si>
  <si>
    <t>A241154</t>
  </si>
  <si>
    <t>A241155</t>
  </si>
  <si>
    <t>A241156</t>
  </si>
  <si>
    <t>A241157</t>
  </si>
  <si>
    <t>A241158</t>
  </si>
  <si>
    <t>A241159</t>
  </si>
  <si>
    <t>A241160</t>
  </si>
  <si>
    <t>A241161</t>
  </si>
  <si>
    <t>A241162</t>
  </si>
  <si>
    <t>A241163</t>
  </si>
  <si>
    <t>A241164</t>
  </si>
  <si>
    <t>A241165</t>
  </si>
  <si>
    <t>A241166</t>
  </si>
  <si>
    <t>A241167</t>
  </si>
  <si>
    <t>A241168</t>
  </si>
  <si>
    <t>A241169</t>
  </si>
  <si>
    <t>A241170</t>
  </si>
  <si>
    <t>A241171</t>
  </si>
  <si>
    <t>A241172</t>
  </si>
  <si>
    <t>A241173</t>
  </si>
  <si>
    <t>A241174</t>
  </si>
  <si>
    <t>A241175</t>
  </si>
  <si>
    <t>A241176</t>
  </si>
  <si>
    <t>A241177</t>
  </si>
  <si>
    <t>A241178</t>
  </si>
  <si>
    <t>A241179</t>
  </si>
  <si>
    <t>A241180</t>
  </si>
  <si>
    <t>A241181</t>
  </si>
  <si>
    <t>A241182</t>
  </si>
  <si>
    <t>A241183</t>
  </si>
  <si>
    <t>A241184</t>
  </si>
  <si>
    <t>A241185</t>
  </si>
  <si>
    <t>A241186</t>
  </si>
  <si>
    <t>A241187</t>
  </si>
  <si>
    <t>A241188</t>
  </si>
  <si>
    <t>A241189</t>
  </si>
  <si>
    <t>A241190</t>
  </si>
  <si>
    <t>A241191</t>
  </si>
  <si>
    <t>A241192</t>
  </si>
  <si>
    <t>A241193</t>
  </si>
  <si>
    <t>A241194</t>
  </si>
  <si>
    <t>A241195</t>
  </si>
  <si>
    <t>A241196</t>
  </si>
  <si>
    <t>A241197</t>
  </si>
  <si>
    <t>A241198</t>
  </si>
  <si>
    <t>A241199</t>
  </si>
  <si>
    <t>A241200</t>
  </si>
  <si>
    <t>A241201</t>
  </si>
  <si>
    <t>A241202</t>
  </si>
  <si>
    <t>A241203</t>
  </si>
  <si>
    <t>A241204</t>
  </si>
  <si>
    <t>A241205</t>
  </si>
  <si>
    <t>A241206</t>
  </si>
  <si>
    <t>A241207</t>
  </si>
  <si>
    <t>A241208</t>
  </si>
  <si>
    <t>A241209</t>
  </si>
  <si>
    <t>A241210</t>
  </si>
  <si>
    <t>A241211</t>
  </si>
  <si>
    <t>A241212</t>
  </si>
  <si>
    <t>A241213</t>
  </si>
  <si>
    <t>A241214</t>
  </si>
  <si>
    <t>A241215</t>
  </si>
  <si>
    <t>A241216</t>
  </si>
  <si>
    <t>A241217</t>
  </si>
  <si>
    <t>A241218</t>
  </si>
  <si>
    <t>A241219</t>
  </si>
  <si>
    <t>A241220</t>
  </si>
  <si>
    <t>A241221</t>
  </si>
  <si>
    <t>A241222</t>
  </si>
  <si>
    <t>A241223</t>
  </si>
  <si>
    <t>A241224</t>
  </si>
  <si>
    <t>A241225</t>
  </si>
  <si>
    <t>A241226</t>
  </si>
  <si>
    <t>A241228</t>
  </si>
  <si>
    <t>A241229</t>
  </si>
  <si>
    <t>A241230</t>
  </si>
  <si>
    <t>A241231</t>
  </si>
  <si>
    <t>A241232</t>
  </si>
  <si>
    <t>A241233</t>
  </si>
  <si>
    <t>A241234</t>
  </si>
  <si>
    <t>A241235</t>
  </si>
  <si>
    <t>A241236</t>
  </si>
  <si>
    <t>A241237</t>
  </si>
  <si>
    <t>A241238</t>
  </si>
  <si>
    <t>A241239</t>
  </si>
  <si>
    <t>A241240</t>
  </si>
  <si>
    <t>A241241</t>
  </si>
  <si>
    <t>A241242</t>
  </si>
  <si>
    <t>A241243</t>
  </si>
  <si>
    <t>A241244</t>
  </si>
  <si>
    <t>A241245</t>
  </si>
  <si>
    <t>A241246</t>
  </si>
  <si>
    <t>A241247</t>
  </si>
  <si>
    <t>A241248</t>
  </si>
  <si>
    <t>A241249</t>
  </si>
  <si>
    <t>A241250</t>
  </si>
  <si>
    <t>A241251</t>
  </si>
  <si>
    <t>A241252</t>
  </si>
  <si>
    <t>A241253</t>
  </si>
  <si>
    <t>A241254</t>
  </si>
  <si>
    <t>A241255</t>
  </si>
  <si>
    <t>A241256</t>
  </si>
  <si>
    <t>A241257</t>
  </si>
  <si>
    <t>A241258</t>
  </si>
  <si>
    <t>A241259</t>
  </si>
  <si>
    <t>A241260</t>
  </si>
  <si>
    <t>A241261</t>
  </si>
  <si>
    <t>A241262</t>
  </si>
  <si>
    <t>A241263</t>
  </si>
  <si>
    <t>A241264</t>
  </si>
  <si>
    <t>A241265</t>
  </si>
  <si>
    <t>A241266</t>
  </si>
  <si>
    <t>A241267</t>
  </si>
  <si>
    <t>A241268</t>
  </si>
  <si>
    <t>A241269</t>
  </si>
  <si>
    <t>A241270</t>
  </si>
  <si>
    <t>A241271</t>
  </si>
  <si>
    <t>A241272</t>
  </si>
  <si>
    <t>A241273</t>
  </si>
  <si>
    <t>LABEL NOT FILLED, ASSUMED 24 HRS</t>
  </si>
  <si>
    <t>LABEL NOT FILLED, ASSUMED 24 HRS/THIS PERSON NOT A LOT FOUND, COULD NOT HAVE WORN IT</t>
  </si>
  <si>
    <t>week_factor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</si>
</sst>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9" fontId="0" fillId="0" borderId="0" xfId="1" applyFont="1"/>
    <xf numFmtId="164" fontId="0" fillId="0" borderId="0" xfId="0" applyNumberFormat="1"/>
    <xf numFmtId="14" fontId="0" fillId="0" borderId="0" xfId="0" applyNumberFormat="1"/>
    <xf numFmtId="0" fontId="2" fillId="2" borderId="0" xfId="0" applyFont="1" applyFill="1"/>
    <xf numFmtId="0" fontId="0" fillId="2" borderId="0" xfId="0" applyFill="1"/>
    <xf numFmtId="0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0" fontId="3" fillId="0" borderId="0" xfId="0" applyFont="1"/>
    <xf numFmtId="165" fontId="3" fillId="0" borderId="0" xfId="1" applyNumberFormat="1" applyFont="1"/>
    <xf numFmtId="0" fontId="4" fillId="0" borderId="0" xfId="0" applyFont="1"/>
    <xf numFmtId="0" fontId="0" fillId="3" borderId="0" xfId="0" applyFill="1"/>
    <xf numFmtId="164" fontId="0" fillId="3" borderId="0" xfId="0" applyNumberFormat="1" applyFill="1"/>
    <xf numFmtId="0" fontId="4" fillId="4" borderId="0" xfId="0" applyFont="1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 applyAlignment="1">
      <alignment horizontal="center"/>
    </xf>
    <xf numFmtId="164" fontId="0" fillId="5" borderId="0" xfId="0" applyNumberFormat="1" applyFill="1"/>
    <xf numFmtId="0" fontId="5" fillId="2" borderId="0" xfId="0" applyFont="1" applyFill="1"/>
    <xf numFmtId="2" fontId="0" fillId="2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8"/>
  <sheetViews>
    <sheetView tabSelected="1" zoomScale="85" zoomScaleNormal="85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2" width="14.85546875" customWidth="1"/>
    <col min="3" max="3" width="20.42578125" style="16" customWidth="1"/>
    <col min="4" max="4" width="20.140625" style="16" customWidth="1"/>
    <col min="5" max="5" width="16" customWidth="1"/>
    <col min="6" max="7" width="19" style="16" customWidth="1"/>
    <col min="8" max="8" width="21.85546875" customWidth="1"/>
    <col min="9" max="9" width="16.28515625" customWidth="1"/>
    <col min="10" max="10" width="15" style="16" customWidth="1"/>
    <col min="11" max="11" width="27.5703125" customWidth="1"/>
    <col min="12" max="12" width="16.5703125" customWidth="1"/>
    <col min="13" max="13" width="40.7109375" customWidth="1"/>
    <col min="14" max="15" width="22.42578125" customWidth="1"/>
    <col min="16" max="16" width="21.140625" customWidth="1"/>
    <col min="17" max="17" width="11.42578125" customWidth="1"/>
    <col min="18" max="18" width="20" customWidth="1"/>
    <col min="19" max="19" width="19.85546875" customWidth="1"/>
  </cols>
  <sheetData>
    <row r="1" spans="1:20" x14ac:dyDescent="0.25">
      <c r="A1" t="s">
        <v>0</v>
      </c>
      <c r="B1" t="s">
        <v>23</v>
      </c>
      <c r="C1" s="16" t="s">
        <v>55</v>
      </c>
      <c r="D1" s="16" t="s">
        <v>1</v>
      </c>
      <c r="E1" t="s">
        <v>5</v>
      </c>
      <c r="F1" s="16" t="s">
        <v>62</v>
      </c>
      <c r="G1" s="16" t="s">
        <v>208</v>
      </c>
      <c r="H1" t="s">
        <v>28</v>
      </c>
      <c r="I1" t="s">
        <v>2</v>
      </c>
      <c r="J1" s="16" t="s">
        <v>3</v>
      </c>
      <c r="K1" t="s">
        <v>24</v>
      </c>
      <c r="L1" t="s">
        <v>4</v>
      </c>
      <c r="M1" t="s">
        <v>25</v>
      </c>
      <c r="N1" t="s">
        <v>57</v>
      </c>
      <c r="O1" t="s">
        <v>58</v>
      </c>
      <c r="P1" t="s">
        <v>50</v>
      </c>
      <c r="Q1" t="s">
        <v>49</v>
      </c>
      <c r="R1" t="s">
        <v>44</v>
      </c>
      <c r="S1" t="s">
        <v>51</v>
      </c>
      <c r="T1" t="s">
        <v>45</v>
      </c>
    </row>
    <row r="2" spans="1:20" x14ac:dyDescent="0.25">
      <c r="A2">
        <v>25</v>
      </c>
      <c r="B2" t="s">
        <v>26</v>
      </c>
      <c r="C2" s="16" t="str">
        <f>_xlfn.CONCAT(A2,(IF(B2="necklace","-N","-WB")))</f>
        <v>25-N</v>
      </c>
      <c r="D2" s="16" t="s">
        <v>65</v>
      </c>
      <c r="E2">
        <f>8+8+8</f>
        <v>24</v>
      </c>
      <c r="F2" s="17">
        <f>E2/24</f>
        <v>1</v>
      </c>
      <c r="G2" s="17">
        <f>+F2/7</f>
        <v>0.14285714285714285</v>
      </c>
      <c r="H2" t="s">
        <v>29</v>
      </c>
      <c r="I2" s="3">
        <v>45469</v>
      </c>
      <c r="J2" s="18">
        <f>Sheet2!B$2</f>
        <v>4.4301363636363638</v>
      </c>
      <c r="K2" t="s">
        <v>30</v>
      </c>
      <c r="L2" t="s">
        <v>52</v>
      </c>
      <c r="N2" t="s">
        <v>56</v>
      </c>
      <c r="P2" s="1">
        <f>COUNTIF(H2:H821,"Yes")/COUNTA(H2:H821)</f>
        <v>0.93181818181818177</v>
      </c>
      <c r="Q2" s="1">
        <f>COUNTIF(K2:K821,"yes")/COUNTA(K2:K821)</f>
        <v>0.92045454545454541</v>
      </c>
      <c r="R2" t="str">
        <f>IF(H2=K2,"Good","Issue")</f>
        <v>Good</v>
      </c>
      <c r="S2">
        <f>COUNTIF(R2:R803,"Good")</f>
        <v>150</v>
      </c>
      <c r="T2" s="1">
        <f>S2/COUNT(A2:A703)</f>
        <v>0.85227272727272729</v>
      </c>
    </row>
    <row r="3" spans="1:20" x14ac:dyDescent="0.25">
      <c r="A3">
        <v>25</v>
      </c>
      <c r="B3" t="s">
        <v>27</v>
      </c>
      <c r="C3" s="16" t="str">
        <f t="shared" ref="C3:C66" si="0">_xlfn.CONCAT(A3,(IF(B3="necklace","-N","-WB")))</f>
        <v>25-WB</v>
      </c>
      <c r="D3" s="16" t="s">
        <v>66</v>
      </c>
      <c r="E3">
        <f>8+8+8</f>
        <v>24</v>
      </c>
      <c r="F3" s="17">
        <f>E3/24</f>
        <v>1</v>
      </c>
      <c r="G3" s="17">
        <f t="shared" ref="G3:G66" si="1">+F3/7</f>
        <v>0.14285714285714285</v>
      </c>
      <c r="H3" t="s">
        <v>29</v>
      </c>
      <c r="I3" s="3">
        <v>45469</v>
      </c>
      <c r="J3" s="18">
        <f>Sheet2!B$2</f>
        <v>4.4301363636363638</v>
      </c>
      <c r="K3" t="s">
        <v>30</v>
      </c>
      <c r="L3" t="s">
        <v>34</v>
      </c>
      <c r="N3" t="s">
        <v>56</v>
      </c>
      <c r="R3" t="str">
        <f t="shared" ref="R3:R68" si="2">IF(H3=K3,"Good","Issue")</f>
        <v>Good</v>
      </c>
    </row>
    <row r="4" spans="1:20" x14ac:dyDescent="0.25">
      <c r="A4">
        <v>31</v>
      </c>
      <c r="B4" t="s">
        <v>27</v>
      </c>
      <c r="C4" s="16" t="str">
        <f t="shared" si="0"/>
        <v>31-WB</v>
      </c>
      <c r="D4" s="16" t="s">
        <v>67</v>
      </c>
      <c r="E4">
        <f>9.5+9+11</f>
        <v>29.5</v>
      </c>
      <c r="F4" s="17">
        <f>E4/24</f>
        <v>1.2291666666666667</v>
      </c>
      <c r="G4" s="17">
        <f t="shared" si="1"/>
        <v>0.17559523809523811</v>
      </c>
      <c r="H4" t="s">
        <v>29</v>
      </c>
      <c r="I4" s="3">
        <v>45469</v>
      </c>
      <c r="J4" s="18">
        <f>Sheet2!B$2</f>
        <v>4.4301363636363638</v>
      </c>
      <c r="K4" t="s">
        <v>30</v>
      </c>
      <c r="L4" t="s">
        <v>34</v>
      </c>
      <c r="N4" t="s">
        <v>56</v>
      </c>
      <c r="R4" t="str">
        <f t="shared" si="2"/>
        <v>Good</v>
      </c>
    </row>
    <row r="5" spans="1:20" x14ac:dyDescent="0.25">
      <c r="A5">
        <v>31</v>
      </c>
      <c r="B5" t="s">
        <v>26</v>
      </c>
      <c r="C5" s="16" t="str">
        <f t="shared" si="0"/>
        <v>31-N</v>
      </c>
      <c r="D5" s="16" t="s">
        <v>68</v>
      </c>
      <c r="E5">
        <f>9.5+9+11</f>
        <v>29.5</v>
      </c>
      <c r="F5" s="17">
        <f>E5/24</f>
        <v>1.2291666666666667</v>
      </c>
      <c r="G5" s="17">
        <f t="shared" si="1"/>
        <v>0.17559523809523811</v>
      </c>
      <c r="H5" t="s">
        <v>29</v>
      </c>
      <c r="I5" s="3">
        <v>45469</v>
      </c>
      <c r="J5" s="18">
        <f>Sheet2!B$2</f>
        <v>4.4301363636363638</v>
      </c>
      <c r="K5" t="s">
        <v>30</v>
      </c>
      <c r="L5" t="s">
        <v>33</v>
      </c>
      <c r="N5" t="s">
        <v>56</v>
      </c>
      <c r="R5" t="str">
        <f t="shared" si="2"/>
        <v>Good</v>
      </c>
    </row>
    <row r="6" spans="1:20" x14ac:dyDescent="0.25">
      <c r="A6">
        <v>45</v>
      </c>
      <c r="B6" t="s">
        <v>26</v>
      </c>
      <c r="C6" s="16" t="str">
        <f t="shared" si="0"/>
        <v>45-N</v>
      </c>
      <c r="D6" s="16" t="s">
        <v>69</v>
      </c>
      <c r="E6">
        <f>8+8+8</f>
        <v>24</v>
      </c>
      <c r="F6" s="17">
        <f>E6/24</f>
        <v>1</v>
      </c>
      <c r="G6" s="17">
        <f t="shared" si="1"/>
        <v>0.14285714285714285</v>
      </c>
      <c r="H6" t="s">
        <v>29</v>
      </c>
      <c r="I6" s="3">
        <v>45469</v>
      </c>
      <c r="J6" s="18">
        <f>Sheet2!B$2</f>
        <v>4.4301363636363638</v>
      </c>
      <c r="K6" t="s">
        <v>30</v>
      </c>
      <c r="L6" t="s">
        <v>33</v>
      </c>
      <c r="N6" t="s">
        <v>56</v>
      </c>
      <c r="R6" t="str">
        <f t="shared" si="2"/>
        <v>Good</v>
      </c>
    </row>
    <row r="7" spans="1:20" x14ac:dyDescent="0.25">
      <c r="A7">
        <v>45</v>
      </c>
      <c r="B7" t="s">
        <v>27</v>
      </c>
      <c r="C7" s="16" t="str">
        <f t="shared" si="0"/>
        <v>45-WB</v>
      </c>
      <c r="D7" s="16" t="s">
        <v>70</v>
      </c>
      <c r="E7">
        <f>8+8+8</f>
        <v>24</v>
      </c>
      <c r="F7" s="17">
        <f>E7/24</f>
        <v>1</v>
      </c>
      <c r="G7" s="17">
        <f t="shared" si="1"/>
        <v>0.14285714285714285</v>
      </c>
      <c r="H7" t="s">
        <v>29</v>
      </c>
      <c r="I7" s="3">
        <v>45469</v>
      </c>
      <c r="J7" s="18">
        <f>Sheet2!B$2</f>
        <v>4.4301363636363638</v>
      </c>
      <c r="K7" t="s">
        <v>30</v>
      </c>
      <c r="L7" t="s">
        <v>34</v>
      </c>
      <c r="N7" t="s">
        <v>56</v>
      </c>
      <c r="R7" t="str">
        <f t="shared" si="2"/>
        <v>Good</v>
      </c>
    </row>
    <row r="8" spans="1:20" x14ac:dyDescent="0.25">
      <c r="A8">
        <v>82</v>
      </c>
      <c r="B8" t="s">
        <v>26</v>
      </c>
      <c r="C8" s="16" t="str">
        <f t="shared" si="0"/>
        <v>82-N</v>
      </c>
      <c r="D8" s="16" t="s">
        <v>71</v>
      </c>
      <c r="E8">
        <f>8.5+8.5+9</f>
        <v>26</v>
      </c>
      <c r="F8" s="17">
        <f>E8/24</f>
        <v>1.0833333333333333</v>
      </c>
      <c r="G8" s="17">
        <f t="shared" si="1"/>
        <v>0.15476190476190474</v>
      </c>
      <c r="H8" t="s">
        <v>29</v>
      </c>
      <c r="I8" s="3">
        <v>45469</v>
      </c>
      <c r="J8" s="18">
        <f>Sheet2!B$2</f>
        <v>4.4301363636363638</v>
      </c>
      <c r="K8" t="s">
        <v>30</v>
      </c>
      <c r="L8" t="s">
        <v>52</v>
      </c>
      <c r="N8" t="s">
        <v>56</v>
      </c>
      <c r="R8" t="str">
        <f t="shared" si="2"/>
        <v>Good</v>
      </c>
    </row>
    <row r="9" spans="1:20" x14ac:dyDescent="0.25">
      <c r="A9">
        <v>82</v>
      </c>
      <c r="B9" t="s">
        <v>27</v>
      </c>
      <c r="C9" s="16" t="str">
        <f t="shared" si="0"/>
        <v>82-WB</v>
      </c>
      <c r="D9" s="16" t="s">
        <v>72</v>
      </c>
      <c r="E9">
        <f>8.5+8.5+9</f>
        <v>26</v>
      </c>
      <c r="F9" s="17">
        <f>E9/24</f>
        <v>1.0833333333333333</v>
      </c>
      <c r="G9" s="17">
        <f t="shared" si="1"/>
        <v>0.15476190476190474</v>
      </c>
      <c r="H9" t="s">
        <v>29</v>
      </c>
      <c r="I9" s="3">
        <v>45469</v>
      </c>
      <c r="J9" s="18">
        <f>Sheet2!B$2</f>
        <v>4.4301363636363638</v>
      </c>
      <c r="K9" t="s">
        <v>30</v>
      </c>
      <c r="L9" t="s">
        <v>40</v>
      </c>
      <c r="N9" t="s">
        <v>56</v>
      </c>
      <c r="R9" t="str">
        <f t="shared" si="2"/>
        <v>Good</v>
      </c>
    </row>
    <row r="10" spans="1:20" x14ac:dyDescent="0.25">
      <c r="A10">
        <v>67</v>
      </c>
      <c r="B10" t="s">
        <v>27</v>
      </c>
      <c r="C10" s="16" t="str">
        <f t="shared" si="0"/>
        <v>67-WB</v>
      </c>
      <c r="D10" s="16" t="s">
        <v>73</v>
      </c>
      <c r="E10">
        <f>8+8+8</f>
        <v>24</v>
      </c>
      <c r="F10" s="17">
        <f>E10/24</f>
        <v>1</v>
      </c>
      <c r="G10" s="17">
        <f t="shared" si="1"/>
        <v>0.14285714285714285</v>
      </c>
      <c r="H10" t="s">
        <v>29</v>
      </c>
      <c r="I10" s="3">
        <v>45474</v>
      </c>
      <c r="J10" s="18">
        <f>Sheet2!B$2</f>
        <v>4.4301363636363638</v>
      </c>
      <c r="K10" t="s">
        <v>30</v>
      </c>
      <c r="L10" t="s">
        <v>52</v>
      </c>
      <c r="N10" t="s">
        <v>56</v>
      </c>
      <c r="R10" t="str">
        <f t="shared" si="2"/>
        <v>Good</v>
      </c>
    </row>
    <row r="11" spans="1:20" x14ac:dyDescent="0.25">
      <c r="A11">
        <v>67</v>
      </c>
      <c r="B11" t="s">
        <v>26</v>
      </c>
      <c r="C11" s="16" t="str">
        <f t="shared" si="0"/>
        <v>67-N</v>
      </c>
      <c r="D11" s="16" t="s">
        <v>74</v>
      </c>
      <c r="E11">
        <f>8+8+8</f>
        <v>24</v>
      </c>
      <c r="F11" s="17">
        <f>E11/24</f>
        <v>1</v>
      </c>
      <c r="G11" s="17">
        <f t="shared" si="1"/>
        <v>0.14285714285714285</v>
      </c>
      <c r="H11" t="s">
        <v>29</v>
      </c>
      <c r="I11" s="3">
        <v>45474</v>
      </c>
      <c r="J11" s="18">
        <f>Sheet2!B$2</f>
        <v>4.4301363636363638</v>
      </c>
      <c r="K11" t="s">
        <v>30</v>
      </c>
      <c r="L11" t="s">
        <v>34</v>
      </c>
      <c r="N11" t="s">
        <v>56</v>
      </c>
      <c r="R11" t="str">
        <f t="shared" si="2"/>
        <v>Good</v>
      </c>
    </row>
    <row r="12" spans="1:20" x14ac:dyDescent="0.25">
      <c r="A12">
        <v>62</v>
      </c>
      <c r="B12" t="s">
        <v>27</v>
      </c>
      <c r="C12" s="16" t="str">
        <f t="shared" si="0"/>
        <v>62-WB</v>
      </c>
      <c r="D12" s="16" t="s">
        <v>75</v>
      </c>
      <c r="E12">
        <f>11+8+10.5</f>
        <v>29.5</v>
      </c>
      <c r="F12" s="17">
        <f>E12/24</f>
        <v>1.2291666666666667</v>
      </c>
      <c r="G12" s="17">
        <f t="shared" si="1"/>
        <v>0.17559523809523811</v>
      </c>
      <c r="H12" t="s">
        <v>29</v>
      </c>
      <c r="I12" s="3">
        <v>45474</v>
      </c>
      <c r="J12" s="18">
        <f>Sheet2!B$2</f>
        <v>4.4301363636363638</v>
      </c>
      <c r="K12" t="s">
        <v>30</v>
      </c>
      <c r="L12" t="s">
        <v>34</v>
      </c>
      <c r="N12" t="s">
        <v>56</v>
      </c>
      <c r="R12" t="str">
        <f t="shared" si="2"/>
        <v>Good</v>
      </c>
    </row>
    <row r="13" spans="1:20" x14ac:dyDescent="0.25">
      <c r="A13">
        <v>62</v>
      </c>
      <c r="B13" t="s">
        <v>26</v>
      </c>
      <c r="C13" s="16" t="str">
        <f t="shared" si="0"/>
        <v>62-N</v>
      </c>
      <c r="D13" s="16" t="s">
        <v>76</v>
      </c>
      <c r="E13">
        <f>11+8+10.5</f>
        <v>29.5</v>
      </c>
      <c r="F13" s="17">
        <f>E13/24</f>
        <v>1.2291666666666667</v>
      </c>
      <c r="G13" s="17">
        <f t="shared" si="1"/>
        <v>0.17559523809523811</v>
      </c>
      <c r="H13" t="s">
        <v>29</v>
      </c>
      <c r="I13" s="3">
        <v>45474</v>
      </c>
      <c r="J13" s="18">
        <f>Sheet2!B$2</f>
        <v>4.4301363636363638</v>
      </c>
      <c r="K13" t="s">
        <v>30</v>
      </c>
      <c r="L13" t="s">
        <v>33</v>
      </c>
      <c r="N13" t="s">
        <v>56</v>
      </c>
      <c r="R13" t="str">
        <f t="shared" si="2"/>
        <v>Good</v>
      </c>
    </row>
    <row r="14" spans="1:20" x14ac:dyDescent="0.25">
      <c r="A14">
        <v>65</v>
      </c>
      <c r="B14" t="s">
        <v>27</v>
      </c>
      <c r="C14" s="16" t="str">
        <f t="shared" si="0"/>
        <v>65-WB</v>
      </c>
      <c r="D14" s="16" t="s">
        <v>77</v>
      </c>
      <c r="E14">
        <f>10.5+8.5+11</f>
        <v>30</v>
      </c>
      <c r="F14" s="17">
        <f>E14/24</f>
        <v>1.25</v>
      </c>
      <c r="G14" s="17">
        <f t="shared" si="1"/>
        <v>0.17857142857142858</v>
      </c>
      <c r="H14" t="str">
        <f>IF(E14=E15,"Yes","No")</f>
        <v>Yes</v>
      </c>
      <c r="I14" s="3">
        <v>45474</v>
      </c>
      <c r="J14" s="18">
        <f>Sheet2!B$2</f>
        <v>4.4301363636363638</v>
      </c>
      <c r="K14" t="s">
        <v>30</v>
      </c>
      <c r="L14" t="s">
        <v>34</v>
      </c>
      <c r="N14" t="s">
        <v>56</v>
      </c>
      <c r="R14" t="str">
        <f>IF(H14=K14,"Good","Issue")</f>
        <v>Good</v>
      </c>
    </row>
    <row r="15" spans="1:20" x14ac:dyDescent="0.25">
      <c r="A15">
        <v>65</v>
      </c>
      <c r="B15" t="s">
        <v>26</v>
      </c>
      <c r="C15" s="16" t="str">
        <f t="shared" si="0"/>
        <v>65-N</v>
      </c>
      <c r="D15" s="16" t="s">
        <v>78</v>
      </c>
      <c r="E15">
        <f>10.5+8.5+11</f>
        <v>30</v>
      </c>
      <c r="F15" s="17">
        <f>E15/24</f>
        <v>1.25</v>
      </c>
      <c r="G15" s="17">
        <f t="shared" si="1"/>
        <v>0.17857142857142858</v>
      </c>
      <c r="H15" t="str">
        <f>IF(E14=E15,"Yes","No")</f>
        <v>Yes</v>
      </c>
      <c r="I15" s="3">
        <v>45474</v>
      </c>
      <c r="J15" s="18">
        <f>Sheet2!B$2</f>
        <v>4.4301363636363638</v>
      </c>
      <c r="K15" t="s">
        <v>31</v>
      </c>
      <c r="L15" t="s">
        <v>33</v>
      </c>
      <c r="M15" t="s">
        <v>32</v>
      </c>
      <c r="N15" t="s">
        <v>56</v>
      </c>
      <c r="R15" t="str">
        <f t="shared" si="2"/>
        <v>Issue</v>
      </c>
    </row>
    <row r="16" spans="1:20" x14ac:dyDescent="0.25">
      <c r="A16">
        <v>74</v>
      </c>
      <c r="B16" t="s">
        <v>26</v>
      </c>
      <c r="C16" s="16" t="str">
        <f t="shared" si="0"/>
        <v>74-N</v>
      </c>
      <c r="D16" s="16" t="s">
        <v>79</v>
      </c>
      <c r="E16">
        <f>11+12+12</f>
        <v>35</v>
      </c>
      <c r="F16" s="17">
        <f>E16/24</f>
        <v>1.4583333333333333</v>
      </c>
      <c r="G16" s="17">
        <f t="shared" si="1"/>
        <v>0.20833333333333331</v>
      </c>
      <c r="H16" t="str">
        <f>IF(E16=E17,"Yes","No")</f>
        <v>Yes</v>
      </c>
      <c r="I16" s="3">
        <v>45474</v>
      </c>
      <c r="J16" s="18">
        <f>Sheet2!B$2</f>
        <v>4.4301363636363638</v>
      </c>
      <c r="K16" t="s">
        <v>31</v>
      </c>
      <c r="L16" t="s">
        <v>33</v>
      </c>
      <c r="M16" t="s">
        <v>32</v>
      </c>
      <c r="N16" t="s">
        <v>56</v>
      </c>
      <c r="R16" t="str">
        <f t="shared" si="2"/>
        <v>Issue</v>
      </c>
    </row>
    <row r="17" spans="1:18" x14ac:dyDescent="0.25">
      <c r="A17">
        <v>74</v>
      </c>
      <c r="B17" t="s">
        <v>27</v>
      </c>
      <c r="C17" s="16" t="str">
        <f t="shared" si="0"/>
        <v>74-WB</v>
      </c>
      <c r="D17" s="16" t="s">
        <v>80</v>
      </c>
      <c r="E17">
        <f>11+12+12</f>
        <v>35</v>
      </c>
      <c r="F17" s="17">
        <f>E17/24</f>
        <v>1.4583333333333333</v>
      </c>
      <c r="G17" s="17">
        <f t="shared" si="1"/>
        <v>0.20833333333333331</v>
      </c>
      <c r="H17" t="str">
        <f>IF(E16=E17,"Yes","No")</f>
        <v>Yes</v>
      </c>
      <c r="I17" s="3">
        <v>45474</v>
      </c>
      <c r="J17" s="18">
        <f>Sheet2!B$2</f>
        <v>4.4301363636363638</v>
      </c>
      <c r="K17" t="s">
        <v>30</v>
      </c>
      <c r="L17" t="s">
        <v>34</v>
      </c>
      <c r="N17" t="s">
        <v>56</v>
      </c>
      <c r="R17" t="str">
        <f t="shared" si="2"/>
        <v>Good</v>
      </c>
    </row>
    <row r="18" spans="1:18" x14ac:dyDescent="0.25">
      <c r="A18">
        <v>40</v>
      </c>
      <c r="B18" t="s">
        <v>26</v>
      </c>
      <c r="C18" s="16" t="str">
        <f t="shared" si="0"/>
        <v>40-N</v>
      </c>
      <c r="D18" s="16" t="s">
        <v>81</v>
      </c>
      <c r="E18">
        <f>13.5+19+10.5</f>
        <v>43</v>
      </c>
      <c r="F18" s="17">
        <f>E18/24</f>
        <v>1.7916666666666667</v>
      </c>
      <c r="G18" s="17">
        <f t="shared" si="1"/>
        <v>0.25595238095238099</v>
      </c>
      <c r="H18" t="str">
        <f>IF(E18=E19,"Yes","No")</f>
        <v>Yes</v>
      </c>
      <c r="I18" s="3">
        <v>45474</v>
      </c>
      <c r="J18" s="18">
        <f>Sheet2!B$2</f>
        <v>4.4301363636363638</v>
      </c>
      <c r="K18" t="s">
        <v>30</v>
      </c>
      <c r="L18" t="s">
        <v>33</v>
      </c>
      <c r="N18" t="s">
        <v>56</v>
      </c>
      <c r="R18" t="str">
        <f t="shared" si="2"/>
        <v>Good</v>
      </c>
    </row>
    <row r="19" spans="1:18" x14ac:dyDescent="0.25">
      <c r="A19">
        <v>40</v>
      </c>
      <c r="B19" t="s">
        <v>27</v>
      </c>
      <c r="C19" s="16" t="str">
        <f t="shared" si="0"/>
        <v>40-WB</v>
      </c>
      <c r="D19" s="16" t="s">
        <v>82</v>
      </c>
      <c r="E19">
        <f>13.5+19+10.5</f>
        <v>43</v>
      </c>
      <c r="F19" s="17">
        <f>E19/24</f>
        <v>1.7916666666666667</v>
      </c>
      <c r="G19" s="17">
        <f t="shared" si="1"/>
        <v>0.25595238095238099</v>
      </c>
      <c r="H19" t="str">
        <f>IF(E18=E19,"Yes","No")</f>
        <v>Yes</v>
      </c>
      <c r="I19" s="3">
        <v>45474</v>
      </c>
      <c r="J19" s="18">
        <f>Sheet2!B$2</f>
        <v>4.4301363636363638</v>
      </c>
      <c r="K19" t="s">
        <v>30</v>
      </c>
      <c r="L19" t="s">
        <v>34</v>
      </c>
      <c r="N19" t="s">
        <v>56</v>
      </c>
      <c r="R19" t="str">
        <f t="shared" si="2"/>
        <v>Good</v>
      </c>
    </row>
    <row r="20" spans="1:18" x14ac:dyDescent="0.25">
      <c r="A20">
        <v>56</v>
      </c>
      <c r="B20" t="s">
        <v>26</v>
      </c>
      <c r="C20" s="16" t="str">
        <f t="shared" si="0"/>
        <v>56-N</v>
      </c>
      <c r="D20" s="16" t="s">
        <v>83</v>
      </c>
      <c r="E20">
        <f>11+8+8</f>
        <v>27</v>
      </c>
      <c r="F20" s="17">
        <f>E20/24</f>
        <v>1.125</v>
      </c>
      <c r="G20" s="17">
        <f t="shared" si="1"/>
        <v>0.16071428571428573</v>
      </c>
      <c r="H20" t="str">
        <f>IF(E20=E21,"Yes","No")</f>
        <v>Yes</v>
      </c>
      <c r="I20" s="3">
        <v>45474</v>
      </c>
      <c r="J20" s="18">
        <f>Sheet2!B$2</f>
        <v>4.4301363636363638</v>
      </c>
      <c r="K20" t="s">
        <v>30</v>
      </c>
      <c r="L20" t="s">
        <v>52</v>
      </c>
      <c r="N20" t="s">
        <v>56</v>
      </c>
      <c r="R20" t="str">
        <f t="shared" si="2"/>
        <v>Good</v>
      </c>
    </row>
    <row r="21" spans="1:18" x14ac:dyDescent="0.25">
      <c r="A21">
        <v>56</v>
      </c>
      <c r="B21" t="s">
        <v>27</v>
      </c>
      <c r="C21" s="16" t="str">
        <f t="shared" si="0"/>
        <v>56-WB</v>
      </c>
      <c r="D21" s="16" t="s">
        <v>84</v>
      </c>
      <c r="E21">
        <f>11+8+8</f>
        <v>27</v>
      </c>
      <c r="F21" s="17">
        <f>E21/24</f>
        <v>1.125</v>
      </c>
      <c r="G21" s="17">
        <f t="shared" si="1"/>
        <v>0.16071428571428573</v>
      </c>
      <c r="H21" t="str">
        <f>IF(E20=E21,"Yes","No")</f>
        <v>Yes</v>
      </c>
      <c r="I21" s="3">
        <v>45474</v>
      </c>
      <c r="J21" s="18">
        <f>Sheet2!B$2</f>
        <v>4.4301363636363638</v>
      </c>
      <c r="K21" t="s">
        <v>30</v>
      </c>
      <c r="L21" t="s">
        <v>34</v>
      </c>
      <c r="N21" t="s">
        <v>56</v>
      </c>
      <c r="R21" t="str">
        <f t="shared" si="2"/>
        <v>Good</v>
      </c>
    </row>
    <row r="22" spans="1:18" x14ac:dyDescent="0.25">
      <c r="A22">
        <v>29</v>
      </c>
      <c r="B22" t="s">
        <v>26</v>
      </c>
      <c r="C22" s="16" t="str">
        <f t="shared" si="0"/>
        <v>29-N</v>
      </c>
      <c r="D22" s="16" t="s">
        <v>85</v>
      </c>
      <c r="E22">
        <f>14.5+23.5+20.5</f>
        <v>58.5</v>
      </c>
      <c r="F22" s="17">
        <f>E22/24</f>
        <v>2.4375</v>
      </c>
      <c r="G22" s="17">
        <f t="shared" si="1"/>
        <v>0.3482142857142857</v>
      </c>
      <c r="H22" t="str">
        <f>IF(E22=E23,"Yes","No")</f>
        <v>Yes</v>
      </c>
      <c r="I22" s="3">
        <v>45474</v>
      </c>
      <c r="J22" s="18">
        <f>Sheet2!B$2</f>
        <v>4.4301363636363638</v>
      </c>
      <c r="K22" t="s">
        <v>30</v>
      </c>
      <c r="L22" t="s">
        <v>33</v>
      </c>
      <c r="N22" t="s">
        <v>56</v>
      </c>
      <c r="R22" t="str">
        <f t="shared" si="2"/>
        <v>Good</v>
      </c>
    </row>
    <row r="23" spans="1:18" x14ac:dyDescent="0.25">
      <c r="A23">
        <v>29</v>
      </c>
      <c r="B23" t="s">
        <v>27</v>
      </c>
      <c r="C23" s="16" t="str">
        <f t="shared" si="0"/>
        <v>29-WB</v>
      </c>
      <c r="D23" s="16" t="s">
        <v>86</v>
      </c>
      <c r="E23">
        <f>14.5+23.5+20.5</f>
        <v>58.5</v>
      </c>
      <c r="F23" s="17">
        <f>E23/24</f>
        <v>2.4375</v>
      </c>
      <c r="G23" s="17">
        <f t="shared" si="1"/>
        <v>0.3482142857142857</v>
      </c>
      <c r="H23" t="str">
        <f>IF(E22=E23,"Yes","No")</f>
        <v>Yes</v>
      </c>
      <c r="I23" s="3">
        <v>45474</v>
      </c>
      <c r="J23" s="18">
        <f>Sheet2!B$2</f>
        <v>4.4301363636363638</v>
      </c>
      <c r="K23" t="s">
        <v>30</v>
      </c>
      <c r="L23" t="s">
        <v>34</v>
      </c>
      <c r="N23" t="s">
        <v>56</v>
      </c>
      <c r="R23" t="str">
        <f t="shared" si="2"/>
        <v>Good</v>
      </c>
    </row>
    <row r="24" spans="1:18" x14ac:dyDescent="0.25">
      <c r="A24">
        <v>72</v>
      </c>
      <c r="B24" t="s">
        <v>26</v>
      </c>
      <c r="C24" s="16" t="str">
        <f t="shared" si="0"/>
        <v>72-N</v>
      </c>
      <c r="D24" s="16" t="s">
        <v>87</v>
      </c>
      <c r="E24">
        <f>8.5+8+8</f>
        <v>24.5</v>
      </c>
      <c r="F24" s="17">
        <f>E24/24</f>
        <v>1.0208333333333333</v>
      </c>
      <c r="G24" s="17">
        <f t="shared" si="1"/>
        <v>0.14583333333333331</v>
      </c>
      <c r="H24" t="str">
        <f>IF(E24=E25,"Yes","No")</f>
        <v>Yes</v>
      </c>
      <c r="I24" s="3">
        <v>45474</v>
      </c>
      <c r="J24" s="18">
        <f>Sheet2!B$2</f>
        <v>4.4301363636363638</v>
      </c>
      <c r="K24" t="s">
        <v>30</v>
      </c>
      <c r="L24" t="s">
        <v>33</v>
      </c>
      <c r="N24" t="s">
        <v>56</v>
      </c>
      <c r="R24" t="str">
        <f t="shared" si="2"/>
        <v>Good</v>
      </c>
    </row>
    <row r="25" spans="1:18" x14ac:dyDescent="0.25">
      <c r="A25">
        <v>72</v>
      </c>
      <c r="B25" t="s">
        <v>27</v>
      </c>
      <c r="C25" s="16" t="str">
        <f t="shared" si="0"/>
        <v>72-WB</v>
      </c>
      <c r="D25" s="16" t="s">
        <v>88</v>
      </c>
      <c r="E25">
        <f>8.5+8+8</f>
        <v>24.5</v>
      </c>
      <c r="F25" s="17">
        <f>E25/24</f>
        <v>1.0208333333333333</v>
      </c>
      <c r="G25" s="17">
        <f t="shared" si="1"/>
        <v>0.14583333333333331</v>
      </c>
      <c r="H25" t="str">
        <f>IF(E24=E25,"Yes","No")</f>
        <v>Yes</v>
      </c>
      <c r="I25" s="3">
        <v>45474</v>
      </c>
      <c r="J25" s="18">
        <f>Sheet2!B$2</f>
        <v>4.4301363636363638</v>
      </c>
      <c r="K25" t="s">
        <v>30</v>
      </c>
      <c r="L25" t="s">
        <v>34</v>
      </c>
      <c r="N25" t="s">
        <v>56</v>
      </c>
      <c r="R25" t="str">
        <f t="shared" si="2"/>
        <v>Good</v>
      </c>
    </row>
    <row r="26" spans="1:18" x14ac:dyDescent="0.25">
      <c r="A26">
        <v>26</v>
      </c>
      <c r="B26" t="s">
        <v>27</v>
      </c>
      <c r="C26" s="16" t="str">
        <f t="shared" si="0"/>
        <v>26-WB</v>
      </c>
      <c r="D26" s="16" t="s">
        <v>89</v>
      </c>
      <c r="E26">
        <v>24</v>
      </c>
      <c r="F26" s="17">
        <f>E26/24</f>
        <v>1</v>
      </c>
      <c r="G26" s="17">
        <f t="shared" si="1"/>
        <v>0.14285714285714285</v>
      </c>
      <c r="H26" s="5" t="str">
        <f>IF(E26=E27,"Yes","No")</f>
        <v>Yes</v>
      </c>
      <c r="I26" s="3">
        <v>45474</v>
      </c>
      <c r="J26" s="18">
        <f>Sheet2!B$2</f>
        <v>4.4301363636363638</v>
      </c>
      <c r="K26" t="s">
        <v>31</v>
      </c>
      <c r="L26" t="s">
        <v>34</v>
      </c>
      <c r="M26" t="s">
        <v>36</v>
      </c>
      <c r="N26" t="s">
        <v>56</v>
      </c>
      <c r="R26" t="str">
        <f t="shared" si="2"/>
        <v>Issue</v>
      </c>
    </row>
    <row r="27" spans="1:18" x14ac:dyDescent="0.25">
      <c r="A27">
        <v>26</v>
      </c>
      <c r="B27" t="s">
        <v>26</v>
      </c>
      <c r="C27" s="16" t="str">
        <f t="shared" si="0"/>
        <v>26-N</v>
      </c>
      <c r="D27" s="16" t="s">
        <v>90</v>
      </c>
      <c r="E27">
        <v>24</v>
      </c>
      <c r="F27" s="17">
        <f>E27/24</f>
        <v>1</v>
      </c>
      <c r="G27" s="17">
        <f t="shared" si="1"/>
        <v>0.14285714285714285</v>
      </c>
      <c r="H27" s="5" t="str">
        <f>IF(E26=E27,"Yes","No")</f>
        <v>Yes</v>
      </c>
      <c r="I27" s="3">
        <v>45474</v>
      </c>
      <c r="J27" s="18">
        <f>Sheet2!B$2</f>
        <v>4.4301363636363638</v>
      </c>
      <c r="K27" t="s">
        <v>31</v>
      </c>
      <c r="L27" t="s">
        <v>33</v>
      </c>
      <c r="M27" t="s">
        <v>36</v>
      </c>
      <c r="N27" t="s">
        <v>56</v>
      </c>
      <c r="R27" t="str">
        <f t="shared" si="2"/>
        <v>Issue</v>
      </c>
    </row>
    <row r="28" spans="1:18" x14ac:dyDescent="0.25">
      <c r="A28">
        <v>73</v>
      </c>
      <c r="B28" t="s">
        <v>27</v>
      </c>
      <c r="C28" s="16" t="str">
        <f t="shared" si="0"/>
        <v>73-WB</v>
      </c>
      <c r="D28" s="16" t="s">
        <v>91</v>
      </c>
      <c r="E28">
        <f>8+10+9</f>
        <v>27</v>
      </c>
      <c r="F28" s="17">
        <f>E28/24</f>
        <v>1.125</v>
      </c>
      <c r="G28" s="17">
        <f t="shared" si="1"/>
        <v>0.16071428571428573</v>
      </c>
      <c r="H28" t="str">
        <f>IF(E28=E29,"Yes","No")</f>
        <v>Yes</v>
      </c>
      <c r="I28" s="3">
        <v>45475</v>
      </c>
      <c r="J28" s="18">
        <f>Sheet2!B$2</f>
        <v>4.4301363636363638</v>
      </c>
      <c r="K28" t="s">
        <v>30</v>
      </c>
      <c r="L28" t="s">
        <v>34</v>
      </c>
      <c r="N28" t="s">
        <v>56</v>
      </c>
      <c r="R28" t="str">
        <f t="shared" si="2"/>
        <v>Good</v>
      </c>
    </row>
    <row r="29" spans="1:18" x14ac:dyDescent="0.25">
      <c r="A29">
        <v>73</v>
      </c>
      <c r="B29" t="s">
        <v>26</v>
      </c>
      <c r="C29" s="16" t="str">
        <f t="shared" si="0"/>
        <v>73-N</v>
      </c>
      <c r="D29" s="16" t="s">
        <v>92</v>
      </c>
      <c r="E29">
        <f>8+10+9</f>
        <v>27</v>
      </c>
      <c r="F29" s="17">
        <f>E29/24</f>
        <v>1.125</v>
      </c>
      <c r="G29" s="17">
        <f t="shared" si="1"/>
        <v>0.16071428571428573</v>
      </c>
      <c r="H29" t="str">
        <f>IF(E28=E29,"Yes","No")</f>
        <v>Yes</v>
      </c>
      <c r="I29" s="3">
        <v>45475</v>
      </c>
      <c r="J29" s="18">
        <f>Sheet2!B$2</f>
        <v>4.4301363636363638</v>
      </c>
      <c r="K29" t="s">
        <v>30</v>
      </c>
      <c r="L29" t="s">
        <v>33</v>
      </c>
      <c r="N29" t="s">
        <v>56</v>
      </c>
      <c r="R29" t="str">
        <f t="shared" si="2"/>
        <v>Good</v>
      </c>
    </row>
    <row r="30" spans="1:18" x14ac:dyDescent="0.25">
      <c r="A30">
        <v>85</v>
      </c>
      <c r="B30" t="s">
        <v>26</v>
      </c>
      <c r="C30" s="16" t="str">
        <f t="shared" si="0"/>
        <v>85-N</v>
      </c>
      <c r="D30" s="16" t="s">
        <v>93</v>
      </c>
      <c r="E30">
        <f>13+12+9</f>
        <v>34</v>
      </c>
      <c r="F30" s="17">
        <f>E30/24</f>
        <v>1.4166666666666667</v>
      </c>
      <c r="G30" s="17">
        <f t="shared" si="1"/>
        <v>0.20238095238095238</v>
      </c>
      <c r="H30" t="str">
        <f>IF(E30=E31,"Yes","No")</f>
        <v>Yes</v>
      </c>
      <c r="I30" s="3">
        <v>45476</v>
      </c>
      <c r="J30" s="18">
        <f>Sheet2!B$2</f>
        <v>4.4301363636363638</v>
      </c>
      <c r="K30" t="s">
        <v>30</v>
      </c>
      <c r="L30" t="s">
        <v>47</v>
      </c>
      <c r="N30" t="s">
        <v>56</v>
      </c>
      <c r="R30" t="str">
        <f t="shared" si="2"/>
        <v>Good</v>
      </c>
    </row>
    <row r="31" spans="1:18" x14ac:dyDescent="0.25">
      <c r="A31">
        <v>85</v>
      </c>
      <c r="B31" t="s">
        <v>27</v>
      </c>
      <c r="C31" s="16" t="str">
        <f t="shared" si="0"/>
        <v>85-WB</v>
      </c>
      <c r="D31" s="16" t="s">
        <v>94</v>
      </c>
      <c r="E31">
        <f>13+12+9</f>
        <v>34</v>
      </c>
      <c r="F31" s="17">
        <f>E31/24</f>
        <v>1.4166666666666667</v>
      </c>
      <c r="G31" s="17">
        <f t="shared" si="1"/>
        <v>0.20238095238095238</v>
      </c>
      <c r="H31" t="str">
        <f>IF(E30=E31,"Yes","No")</f>
        <v>Yes</v>
      </c>
      <c r="I31" s="3">
        <v>45476</v>
      </c>
      <c r="J31" s="18">
        <f>Sheet2!B$2</f>
        <v>4.4301363636363638</v>
      </c>
      <c r="K31" t="s">
        <v>30</v>
      </c>
      <c r="L31" t="s">
        <v>40</v>
      </c>
      <c r="N31" t="s">
        <v>56</v>
      </c>
      <c r="R31" t="str">
        <f t="shared" si="2"/>
        <v>Good</v>
      </c>
    </row>
    <row r="32" spans="1:18" x14ac:dyDescent="0.25">
      <c r="A32">
        <v>60</v>
      </c>
      <c r="B32" t="s">
        <v>26</v>
      </c>
      <c r="C32" s="16" t="str">
        <f t="shared" si="0"/>
        <v>60-N</v>
      </c>
      <c r="D32" s="16" t="s">
        <v>95</v>
      </c>
      <c r="E32">
        <f>13.5+16+15</f>
        <v>44.5</v>
      </c>
      <c r="F32" s="17">
        <f>E32/24</f>
        <v>1.8541666666666667</v>
      </c>
      <c r="G32" s="17">
        <f t="shared" si="1"/>
        <v>0.26488095238095238</v>
      </c>
      <c r="H32" t="str">
        <f>IF(E32=E33,"Yes","No")</f>
        <v>Yes</v>
      </c>
      <c r="I32" s="3">
        <v>45476</v>
      </c>
      <c r="J32" s="18">
        <f>Sheet2!B$2</f>
        <v>4.4301363636363638</v>
      </c>
      <c r="K32" t="s">
        <v>30</v>
      </c>
      <c r="L32" t="s">
        <v>33</v>
      </c>
      <c r="N32" t="s">
        <v>56</v>
      </c>
      <c r="R32" t="str">
        <f t="shared" si="2"/>
        <v>Good</v>
      </c>
    </row>
    <row r="33" spans="1:18" x14ac:dyDescent="0.25">
      <c r="A33">
        <v>60</v>
      </c>
      <c r="B33" t="s">
        <v>27</v>
      </c>
      <c r="C33" s="16" t="str">
        <f t="shared" si="0"/>
        <v>60-WB</v>
      </c>
      <c r="D33" s="16" t="s">
        <v>96</v>
      </c>
      <c r="E33">
        <f>13.5+16+15</f>
        <v>44.5</v>
      </c>
      <c r="F33" s="17">
        <f>E33/24</f>
        <v>1.8541666666666667</v>
      </c>
      <c r="G33" s="17">
        <f t="shared" si="1"/>
        <v>0.26488095238095238</v>
      </c>
      <c r="H33" t="str">
        <f>IF(E32=E33,"Yes","No")</f>
        <v>Yes</v>
      </c>
      <c r="I33" s="3">
        <v>45476</v>
      </c>
      <c r="J33" s="18">
        <f>Sheet2!B$2</f>
        <v>4.4301363636363638</v>
      </c>
      <c r="K33" t="s">
        <v>30</v>
      </c>
      <c r="L33" t="s">
        <v>34</v>
      </c>
      <c r="N33" t="s">
        <v>56</v>
      </c>
      <c r="R33" t="str">
        <f t="shared" si="2"/>
        <v>Good</v>
      </c>
    </row>
    <row r="34" spans="1:18" x14ac:dyDescent="0.25">
      <c r="A34">
        <v>42</v>
      </c>
      <c r="B34" t="s">
        <v>27</v>
      </c>
      <c r="C34" s="16" t="str">
        <f t="shared" si="0"/>
        <v>42-WB</v>
      </c>
      <c r="D34" s="16" t="s">
        <v>97</v>
      </c>
      <c r="E34">
        <f>11.5+11+9</f>
        <v>31.5</v>
      </c>
      <c r="F34" s="17">
        <f>E34/24</f>
        <v>1.3125</v>
      </c>
      <c r="G34" s="17">
        <f t="shared" si="1"/>
        <v>0.1875</v>
      </c>
      <c r="H34" t="str">
        <f>IF(E34=E35,"Yes","No")</f>
        <v>Yes</v>
      </c>
      <c r="I34" s="3">
        <v>45476</v>
      </c>
      <c r="J34" s="18">
        <f>Sheet2!B$2</f>
        <v>4.4301363636363638</v>
      </c>
      <c r="K34" t="s">
        <v>31</v>
      </c>
      <c r="L34" t="s">
        <v>34</v>
      </c>
      <c r="N34" t="s">
        <v>56</v>
      </c>
      <c r="R34" t="str">
        <f t="shared" si="2"/>
        <v>Issue</v>
      </c>
    </row>
    <row r="35" spans="1:18" x14ac:dyDescent="0.25">
      <c r="A35">
        <v>42</v>
      </c>
      <c r="B35" t="s">
        <v>26</v>
      </c>
      <c r="C35" s="16" t="str">
        <f t="shared" si="0"/>
        <v>42-N</v>
      </c>
      <c r="D35" s="16" t="s">
        <v>98</v>
      </c>
      <c r="E35">
        <f>11.5+11+9</f>
        <v>31.5</v>
      </c>
      <c r="F35" s="17">
        <f>E35/24</f>
        <v>1.3125</v>
      </c>
      <c r="G35" s="17">
        <f t="shared" si="1"/>
        <v>0.1875</v>
      </c>
      <c r="H35" t="str">
        <f>IF(E34=E35,"Yes","No")</f>
        <v>Yes</v>
      </c>
      <c r="I35" s="3">
        <v>45476</v>
      </c>
      <c r="J35" s="18">
        <f>Sheet2!B$2</f>
        <v>4.4301363636363638</v>
      </c>
      <c r="K35" t="s">
        <v>31</v>
      </c>
      <c r="L35" t="s">
        <v>33</v>
      </c>
      <c r="N35" t="s">
        <v>56</v>
      </c>
      <c r="R35" t="str">
        <f t="shared" si="2"/>
        <v>Issue</v>
      </c>
    </row>
    <row r="36" spans="1:18" x14ac:dyDescent="0.25">
      <c r="A36">
        <v>57</v>
      </c>
      <c r="B36" t="s">
        <v>27</v>
      </c>
      <c r="C36" s="16" t="str">
        <f t="shared" si="0"/>
        <v>57-WB</v>
      </c>
      <c r="D36" s="16" t="s">
        <v>99</v>
      </c>
      <c r="E36">
        <f>8.5+8+10</f>
        <v>26.5</v>
      </c>
      <c r="F36" s="17">
        <f>E36/24</f>
        <v>1.1041666666666667</v>
      </c>
      <c r="G36" s="17">
        <f t="shared" si="1"/>
        <v>0.15773809523809526</v>
      </c>
      <c r="H36" t="str">
        <f>IF(E36=E37,"Yes","No")</f>
        <v>Yes</v>
      </c>
      <c r="I36" s="3">
        <v>45481</v>
      </c>
      <c r="J36" s="18">
        <f>Sheet2!B$2</f>
        <v>4.4301363636363638</v>
      </c>
      <c r="K36" t="s">
        <v>30</v>
      </c>
      <c r="L36" t="s">
        <v>34</v>
      </c>
      <c r="N36" t="s">
        <v>56</v>
      </c>
      <c r="R36" t="str">
        <f t="shared" si="2"/>
        <v>Good</v>
      </c>
    </row>
    <row r="37" spans="1:18" x14ac:dyDescent="0.25">
      <c r="A37">
        <v>57</v>
      </c>
      <c r="B37" t="s">
        <v>26</v>
      </c>
      <c r="C37" s="16" t="str">
        <f t="shared" si="0"/>
        <v>57-N</v>
      </c>
      <c r="D37" s="16" t="s">
        <v>100</v>
      </c>
      <c r="E37">
        <f>8.5+8+10</f>
        <v>26.5</v>
      </c>
      <c r="F37" s="17">
        <f>E37/24</f>
        <v>1.1041666666666667</v>
      </c>
      <c r="G37" s="17">
        <f t="shared" si="1"/>
        <v>0.15773809523809526</v>
      </c>
      <c r="H37" t="str">
        <f>IF(E36=E37,"Yes","No")</f>
        <v>Yes</v>
      </c>
      <c r="I37" s="3">
        <v>45481</v>
      </c>
      <c r="J37" s="18">
        <f>Sheet2!B$2</f>
        <v>4.4301363636363638</v>
      </c>
      <c r="K37" t="s">
        <v>30</v>
      </c>
      <c r="L37" t="s">
        <v>33</v>
      </c>
      <c r="N37" t="s">
        <v>56</v>
      </c>
      <c r="R37" t="str">
        <f t="shared" si="2"/>
        <v>Good</v>
      </c>
    </row>
    <row r="38" spans="1:18" x14ac:dyDescent="0.25">
      <c r="A38">
        <v>63</v>
      </c>
      <c r="B38" t="s">
        <v>27</v>
      </c>
      <c r="C38" s="16" t="str">
        <f t="shared" si="0"/>
        <v>63-WB</v>
      </c>
      <c r="D38" s="16" t="s">
        <v>101</v>
      </c>
      <c r="E38">
        <f>8+8+8</f>
        <v>24</v>
      </c>
      <c r="F38" s="17">
        <f>E38/24</f>
        <v>1</v>
      </c>
      <c r="G38" s="17">
        <f t="shared" si="1"/>
        <v>0.14285714285714285</v>
      </c>
      <c r="H38" t="str">
        <f>IF(E38=E39,"Yes","No")</f>
        <v>Yes</v>
      </c>
      <c r="I38" s="3">
        <v>45481</v>
      </c>
      <c r="J38" s="18">
        <f>Sheet2!B$2</f>
        <v>4.4301363636363638</v>
      </c>
      <c r="K38" t="s">
        <v>30</v>
      </c>
      <c r="L38" t="s">
        <v>34</v>
      </c>
      <c r="N38" t="s">
        <v>56</v>
      </c>
      <c r="R38" t="str">
        <f t="shared" si="2"/>
        <v>Good</v>
      </c>
    </row>
    <row r="39" spans="1:18" x14ac:dyDescent="0.25">
      <c r="A39">
        <v>63</v>
      </c>
      <c r="B39" t="s">
        <v>26</v>
      </c>
      <c r="C39" s="16" t="str">
        <f t="shared" si="0"/>
        <v>63-N</v>
      </c>
      <c r="D39" s="16" t="s">
        <v>102</v>
      </c>
      <c r="E39">
        <f>8+8+8</f>
        <v>24</v>
      </c>
      <c r="F39" s="17">
        <f>E39/24</f>
        <v>1</v>
      </c>
      <c r="G39" s="17">
        <f t="shared" si="1"/>
        <v>0.14285714285714285</v>
      </c>
      <c r="H39" t="str">
        <f>IF(E38=E39,"Yes","No")</f>
        <v>Yes</v>
      </c>
      <c r="I39" s="3">
        <v>45481</v>
      </c>
      <c r="J39" s="18">
        <f>Sheet2!B$2</f>
        <v>4.4301363636363638</v>
      </c>
      <c r="K39" t="s">
        <v>30</v>
      </c>
      <c r="L39" t="s">
        <v>52</v>
      </c>
      <c r="N39" t="s">
        <v>56</v>
      </c>
      <c r="R39" t="str">
        <f t="shared" si="2"/>
        <v>Good</v>
      </c>
    </row>
    <row r="40" spans="1:18" x14ac:dyDescent="0.25">
      <c r="A40">
        <v>36</v>
      </c>
      <c r="B40" t="s">
        <v>27</v>
      </c>
      <c r="C40" s="16" t="str">
        <f t="shared" si="0"/>
        <v>36-WB</v>
      </c>
      <c r="D40" s="16" t="s">
        <v>103</v>
      </c>
      <c r="E40">
        <f>24+24+24</f>
        <v>72</v>
      </c>
      <c r="F40" s="17">
        <f>E40/24</f>
        <v>3</v>
      </c>
      <c r="G40" s="17">
        <f t="shared" si="1"/>
        <v>0.42857142857142855</v>
      </c>
      <c r="H40" s="4" t="str">
        <f>IF(E40=E41,"Yes","No")</f>
        <v>No</v>
      </c>
      <c r="I40" s="3">
        <v>45482</v>
      </c>
      <c r="J40" s="18">
        <f>Sheet2!B$2</f>
        <v>4.4301363636363638</v>
      </c>
      <c r="K40" t="s">
        <v>30</v>
      </c>
      <c r="L40" t="s">
        <v>34</v>
      </c>
      <c r="N40" t="s">
        <v>56</v>
      </c>
      <c r="R40" t="str">
        <f t="shared" si="2"/>
        <v>Issue</v>
      </c>
    </row>
    <row r="41" spans="1:18" x14ac:dyDescent="0.25">
      <c r="A41">
        <v>36</v>
      </c>
      <c r="B41" t="s">
        <v>26</v>
      </c>
      <c r="C41" s="16" t="str">
        <f t="shared" si="0"/>
        <v>36-N</v>
      </c>
      <c r="D41" s="16" t="s">
        <v>104</v>
      </c>
      <c r="E41">
        <f>10+9</f>
        <v>19</v>
      </c>
      <c r="F41" s="17">
        <f>E41/24</f>
        <v>0.79166666666666663</v>
      </c>
      <c r="G41" s="17">
        <f t="shared" si="1"/>
        <v>0.1130952380952381</v>
      </c>
      <c r="H41" s="4" t="str">
        <f>IF(E40=E41,"Yes","No")</f>
        <v>No</v>
      </c>
      <c r="I41" s="3">
        <v>45482</v>
      </c>
      <c r="J41" s="18">
        <f>Sheet2!B$2</f>
        <v>4.4301363636363638</v>
      </c>
      <c r="K41" t="s">
        <v>30</v>
      </c>
      <c r="L41" t="s">
        <v>52</v>
      </c>
      <c r="N41" t="s">
        <v>56</v>
      </c>
      <c r="R41" t="str">
        <f t="shared" si="2"/>
        <v>Issue</v>
      </c>
    </row>
    <row r="42" spans="1:18" x14ac:dyDescent="0.25">
      <c r="A42">
        <v>64</v>
      </c>
      <c r="B42" t="s">
        <v>26</v>
      </c>
      <c r="C42" s="16" t="str">
        <f t="shared" si="0"/>
        <v>64-N</v>
      </c>
      <c r="D42" s="16" t="s">
        <v>105</v>
      </c>
      <c r="E42">
        <f>8.67+9.8+8</f>
        <v>26.47</v>
      </c>
      <c r="F42" s="17">
        <f>E42/24</f>
        <v>1.1029166666666665</v>
      </c>
      <c r="G42" s="17">
        <f t="shared" si="1"/>
        <v>0.15755952380952379</v>
      </c>
      <c r="H42" t="str">
        <f>IF(E42=E43,"Yes","No")</f>
        <v>Yes</v>
      </c>
      <c r="I42" s="3">
        <v>45484</v>
      </c>
      <c r="J42" s="18">
        <f>Sheet2!B$2</f>
        <v>4.4301363636363638</v>
      </c>
      <c r="K42" t="s">
        <v>30</v>
      </c>
      <c r="L42" t="s">
        <v>33</v>
      </c>
      <c r="N42" t="s">
        <v>56</v>
      </c>
      <c r="R42" t="str">
        <f t="shared" si="2"/>
        <v>Good</v>
      </c>
    </row>
    <row r="43" spans="1:18" x14ac:dyDescent="0.25">
      <c r="A43">
        <v>64</v>
      </c>
      <c r="B43" t="s">
        <v>27</v>
      </c>
      <c r="C43" s="16" t="str">
        <f t="shared" si="0"/>
        <v>64-WB</v>
      </c>
      <c r="D43" s="16" t="s">
        <v>106</v>
      </c>
      <c r="E43">
        <f>8.67+9.8+8</f>
        <v>26.47</v>
      </c>
      <c r="F43" s="17">
        <f>E43/24</f>
        <v>1.1029166666666665</v>
      </c>
      <c r="G43" s="17">
        <f t="shared" si="1"/>
        <v>0.15755952380952379</v>
      </c>
      <c r="H43" t="str">
        <f>IF(E42=E43,"Yes","No")</f>
        <v>Yes</v>
      </c>
      <c r="I43" s="3">
        <v>45484</v>
      </c>
      <c r="J43" s="18">
        <f>Sheet2!B$2</f>
        <v>4.4301363636363638</v>
      </c>
      <c r="K43" t="s">
        <v>30</v>
      </c>
      <c r="L43" t="s">
        <v>34</v>
      </c>
      <c r="N43" t="s">
        <v>56</v>
      </c>
      <c r="R43" t="str">
        <f t="shared" si="2"/>
        <v>Good</v>
      </c>
    </row>
    <row r="44" spans="1:18" x14ac:dyDescent="0.25">
      <c r="A44">
        <v>48</v>
      </c>
      <c r="B44" t="s">
        <v>26</v>
      </c>
      <c r="C44" s="16" t="str">
        <f t="shared" si="0"/>
        <v>48-N</v>
      </c>
      <c r="D44" s="16" t="s">
        <v>107</v>
      </c>
      <c r="E44">
        <f>8+8+8</f>
        <v>24</v>
      </c>
      <c r="F44" s="17">
        <f>E44/24</f>
        <v>1</v>
      </c>
      <c r="G44" s="17">
        <f t="shared" si="1"/>
        <v>0.14285714285714285</v>
      </c>
      <c r="H44" t="str">
        <f>IF(E44=E45,"Yes","No")</f>
        <v>Yes</v>
      </c>
      <c r="I44" s="3">
        <v>45484</v>
      </c>
      <c r="J44" s="18">
        <f>Sheet2!B$2</f>
        <v>4.4301363636363638</v>
      </c>
      <c r="K44" t="s">
        <v>30</v>
      </c>
      <c r="L44" t="s">
        <v>52</v>
      </c>
      <c r="N44" t="s">
        <v>56</v>
      </c>
      <c r="R44" t="str">
        <f t="shared" si="2"/>
        <v>Good</v>
      </c>
    </row>
    <row r="45" spans="1:18" x14ac:dyDescent="0.25">
      <c r="A45">
        <v>48</v>
      </c>
      <c r="B45" t="s">
        <v>27</v>
      </c>
      <c r="C45" s="16" t="str">
        <f t="shared" si="0"/>
        <v>48-WB</v>
      </c>
      <c r="D45" s="16" t="s">
        <v>108</v>
      </c>
      <c r="E45">
        <f>8+8+8</f>
        <v>24</v>
      </c>
      <c r="F45" s="17">
        <f>E45/24</f>
        <v>1</v>
      </c>
      <c r="G45" s="17">
        <f t="shared" si="1"/>
        <v>0.14285714285714285</v>
      </c>
      <c r="H45" t="str">
        <f>IF(E44=E45,"Yes","No")</f>
        <v>Yes</v>
      </c>
      <c r="I45" s="3">
        <v>45484</v>
      </c>
      <c r="J45" s="18">
        <f>Sheet2!B$2</f>
        <v>4.4301363636363638</v>
      </c>
      <c r="K45" t="s">
        <v>30</v>
      </c>
      <c r="L45" t="s">
        <v>34</v>
      </c>
      <c r="N45" t="s">
        <v>56</v>
      </c>
      <c r="R45" t="str">
        <f t="shared" si="2"/>
        <v>Good</v>
      </c>
    </row>
    <row r="46" spans="1:18" x14ac:dyDescent="0.25">
      <c r="A46">
        <v>34</v>
      </c>
      <c r="B46" t="s">
        <v>26</v>
      </c>
      <c r="C46" s="16" t="str">
        <f t="shared" si="0"/>
        <v>34-N</v>
      </c>
      <c r="D46" s="16" t="s">
        <v>109</v>
      </c>
      <c r="E46">
        <f>23+23+23</f>
        <v>69</v>
      </c>
      <c r="F46" s="17">
        <f>E46/24</f>
        <v>2.875</v>
      </c>
      <c r="G46" s="17">
        <f t="shared" si="1"/>
        <v>0.4107142857142857</v>
      </c>
      <c r="H46" s="4" t="str">
        <f>IF(E46=E47,"Yes","No")</f>
        <v>No</v>
      </c>
      <c r="I46" s="3">
        <v>45489</v>
      </c>
      <c r="J46" s="18">
        <f>Sheet2!B$2</f>
        <v>4.4301363636363638</v>
      </c>
      <c r="K46" t="s">
        <v>30</v>
      </c>
      <c r="L46" t="s">
        <v>33</v>
      </c>
      <c r="N46" t="s">
        <v>56</v>
      </c>
      <c r="R46" t="str">
        <f t="shared" si="2"/>
        <v>Issue</v>
      </c>
    </row>
    <row r="47" spans="1:18" x14ac:dyDescent="0.25">
      <c r="A47">
        <v>34</v>
      </c>
      <c r="B47" t="s">
        <v>27</v>
      </c>
      <c r="C47" s="16" t="str">
        <f t="shared" si="0"/>
        <v>34-WB</v>
      </c>
      <c r="D47" s="16" t="s">
        <v>110</v>
      </c>
      <c r="E47">
        <f>24+24+24</f>
        <v>72</v>
      </c>
      <c r="F47" s="17">
        <f>E47/24</f>
        <v>3</v>
      </c>
      <c r="G47" s="17">
        <f t="shared" si="1"/>
        <v>0.42857142857142855</v>
      </c>
      <c r="H47" s="4" t="str">
        <f>IF(E46=E47,"Yes","No")</f>
        <v>No</v>
      </c>
      <c r="I47" s="3">
        <v>45489</v>
      </c>
      <c r="J47" s="18">
        <f>Sheet2!B$2</f>
        <v>4.4301363636363638</v>
      </c>
      <c r="K47" t="s">
        <v>30</v>
      </c>
      <c r="L47" t="s">
        <v>34</v>
      </c>
      <c r="N47" t="s">
        <v>56</v>
      </c>
      <c r="R47" t="str">
        <f t="shared" si="2"/>
        <v>Issue</v>
      </c>
    </row>
    <row r="48" spans="1:18" x14ac:dyDescent="0.25">
      <c r="A48">
        <v>76</v>
      </c>
      <c r="B48" t="s">
        <v>26</v>
      </c>
      <c r="C48" s="16" t="str">
        <f t="shared" si="0"/>
        <v>76-N</v>
      </c>
      <c r="D48" s="16" t="s">
        <v>111</v>
      </c>
      <c r="E48">
        <f>8+10+10</f>
        <v>28</v>
      </c>
      <c r="F48" s="17">
        <f>E48/24</f>
        <v>1.1666666666666667</v>
      </c>
      <c r="G48" s="17">
        <f t="shared" si="1"/>
        <v>0.16666666666666669</v>
      </c>
      <c r="H48" s="4" t="str">
        <f>IF(E48=E49,"Yes","No")</f>
        <v>Yes</v>
      </c>
      <c r="I48" s="3">
        <v>45491</v>
      </c>
      <c r="J48" s="18">
        <f>Sheet2!B$2</f>
        <v>4.4301363636363638</v>
      </c>
      <c r="K48" t="s">
        <v>30</v>
      </c>
      <c r="L48" t="s">
        <v>52</v>
      </c>
      <c r="N48" t="s">
        <v>56</v>
      </c>
      <c r="R48" t="str">
        <f t="shared" si="2"/>
        <v>Good</v>
      </c>
    </row>
    <row r="49" spans="1:18" x14ac:dyDescent="0.25">
      <c r="A49">
        <v>76</v>
      </c>
      <c r="B49" t="s">
        <v>27</v>
      </c>
      <c r="C49" s="16" t="str">
        <f t="shared" si="0"/>
        <v>76-WB</v>
      </c>
      <c r="D49" s="16" t="s">
        <v>112</v>
      </c>
      <c r="E49">
        <f>8+10+10</f>
        <v>28</v>
      </c>
      <c r="F49" s="17">
        <f>E49/24</f>
        <v>1.1666666666666667</v>
      </c>
      <c r="G49" s="17">
        <f t="shared" si="1"/>
        <v>0.16666666666666669</v>
      </c>
      <c r="H49" s="4" t="str">
        <f>IF(E48=E49,"Yes","No")</f>
        <v>Yes</v>
      </c>
      <c r="I49" s="3">
        <v>45491</v>
      </c>
      <c r="J49" s="18">
        <f>Sheet2!B$2</f>
        <v>4.4301363636363638</v>
      </c>
      <c r="K49" t="s">
        <v>30</v>
      </c>
      <c r="L49" t="s">
        <v>34</v>
      </c>
      <c r="N49" t="s">
        <v>56</v>
      </c>
      <c r="R49" t="str">
        <f t="shared" si="2"/>
        <v>Good</v>
      </c>
    </row>
    <row r="50" spans="1:18" x14ac:dyDescent="0.25">
      <c r="A50">
        <v>27</v>
      </c>
      <c r="B50" t="s">
        <v>26</v>
      </c>
      <c r="C50" s="16" t="str">
        <f t="shared" si="0"/>
        <v>27-N</v>
      </c>
      <c r="D50" s="16" t="s">
        <v>113</v>
      </c>
      <c r="E50">
        <f>12+8.5+8</f>
        <v>28.5</v>
      </c>
      <c r="F50" s="17">
        <f>E50/24</f>
        <v>1.1875</v>
      </c>
      <c r="G50" s="17">
        <f t="shared" si="1"/>
        <v>0.16964285714285715</v>
      </c>
      <c r="H50" s="4" t="str">
        <f>IF(E50=E51,"Yes","No")</f>
        <v>Yes</v>
      </c>
      <c r="I50" s="3">
        <v>45495</v>
      </c>
      <c r="J50" s="18">
        <f>Sheet2!B$2</f>
        <v>4.4301363636363638</v>
      </c>
      <c r="K50" t="s">
        <v>31</v>
      </c>
      <c r="L50" t="s">
        <v>52</v>
      </c>
      <c r="M50" t="s">
        <v>46</v>
      </c>
      <c r="N50" t="s">
        <v>56</v>
      </c>
      <c r="R50" t="str">
        <f t="shared" si="2"/>
        <v>Issue</v>
      </c>
    </row>
    <row r="51" spans="1:18" x14ac:dyDescent="0.25">
      <c r="A51">
        <v>27</v>
      </c>
      <c r="B51" t="s">
        <v>27</v>
      </c>
      <c r="C51" s="16" t="str">
        <f t="shared" si="0"/>
        <v>27-WB</v>
      </c>
      <c r="D51" s="16" t="s">
        <v>114</v>
      </c>
      <c r="E51">
        <f>12+8.5+8</f>
        <v>28.5</v>
      </c>
      <c r="F51" s="17">
        <f>E51/24</f>
        <v>1.1875</v>
      </c>
      <c r="G51" s="17">
        <f t="shared" si="1"/>
        <v>0.16964285714285715</v>
      </c>
      <c r="H51" s="4" t="str">
        <f>IF(E50=E51,"Yes","No")</f>
        <v>Yes</v>
      </c>
      <c r="I51" s="3">
        <v>45495</v>
      </c>
      <c r="J51" s="18">
        <f>Sheet2!B$2</f>
        <v>4.4301363636363638</v>
      </c>
      <c r="K51" t="s">
        <v>31</v>
      </c>
      <c r="L51" t="s">
        <v>34</v>
      </c>
      <c r="M51" t="s">
        <v>46</v>
      </c>
      <c r="N51" t="s">
        <v>56</v>
      </c>
      <c r="R51" t="str">
        <f t="shared" si="2"/>
        <v>Issue</v>
      </c>
    </row>
    <row r="52" spans="1:18" x14ac:dyDescent="0.25">
      <c r="A52">
        <v>106</v>
      </c>
      <c r="B52" t="s">
        <v>27</v>
      </c>
      <c r="C52" s="16" t="str">
        <f t="shared" si="0"/>
        <v>106-WB</v>
      </c>
      <c r="D52" s="16" t="s">
        <v>115</v>
      </c>
      <c r="E52">
        <f>8.75+8.25+9</f>
        <v>26</v>
      </c>
      <c r="F52" s="17">
        <f>E52/24</f>
        <v>1.0833333333333333</v>
      </c>
      <c r="G52" s="17">
        <f t="shared" si="1"/>
        <v>0.15476190476190474</v>
      </c>
      <c r="H52" s="4" t="str">
        <f>IF(E52=E53,"Yes","No")</f>
        <v>Yes</v>
      </c>
      <c r="I52" s="3">
        <v>45495</v>
      </c>
      <c r="J52" s="18">
        <f>Sheet2!B$2</f>
        <v>4.4301363636363638</v>
      </c>
      <c r="K52" t="s">
        <v>30</v>
      </c>
      <c r="L52" t="s">
        <v>41</v>
      </c>
      <c r="N52" t="s">
        <v>56</v>
      </c>
      <c r="R52" t="str">
        <f t="shared" si="2"/>
        <v>Good</v>
      </c>
    </row>
    <row r="53" spans="1:18" x14ac:dyDescent="0.25">
      <c r="A53">
        <v>106</v>
      </c>
      <c r="B53" t="s">
        <v>26</v>
      </c>
      <c r="C53" s="16" t="str">
        <f t="shared" si="0"/>
        <v>106-N</v>
      </c>
      <c r="D53" s="16" t="s">
        <v>116</v>
      </c>
      <c r="E53">
        <f>8.75+8.25+9</f>
        <v>26</v>
      </c>
      <c r="F53" s="17">
        <f>E53/24</f>
        <v>1.0833333333333333</v>
      </c>
      <c r="G53" s="17">
        <f t="shared" si="1"/>
        <v>0.15476190476190474</v>
      </c>
      <c r="H53" s="4" t="str">
        <f>IF(E52=E53,"Yes","No")</f>
        <v>Yes</v>
      </c>
      <c r="I53" s="3">
        <v>45495</v>
      </c>
      <c r="J53" s="18">
        <f>Sheet2!B$2</f>
        <v>4.4301363636363638</v>
      </c>
      <c r="K53" t="s">
        <v>30</v>
      </c>
      <c r="L53" t="s">
        <v>52</v>
      </c>
      <c r="N53" t="s">
        <v>56</v>
      </c>
      <c r="R53" t="str">
        <f t="shared" si="2"/>
        <v>Good</v>
      </c>
    </row>
    <row r="54" spans="1:18" x14ac:dyDescent="0.25">
      <c r="A54">
        <v>96</v>
      </c>
      <c r="B54" t="s">
        <v>27</v>
      </c>
      <c r="C54" s="16" t="str">
        <f t="shared" si="0"/>
        <v>96-WB</v>
      </c>
      <c r="D54" s="16" t="s">
        <v>117</v>
      </c>
      <c r="E54">
        <f>11+11+27</f>
        <v>49</v>
      </c>
      <c r="F54" s="17">
        <f>E54/24</f>
        <v>2.0416666666666665</v>
      </c>
      <c r="G54" s="17">
        <f t="shared" si="1"/>
        <v>0.29166666666666663</v>
      </c>
      <c r="H54" s="4" t="str">
        <f>IF(E54=E55,"Yes","No")</f>
        <v>Yes</v>
      </c>
      <c r="I54" s="3">
        <v>45495</v>
      </c>
      <c r="J54" s="18">
        <f>Sheet2!B$2</f>
        <v>4.4301363636363638</v>
      </c>
      <c r="K54" t="s">
        <v>30</v>
      </c>
      <c r="L54" t="s">
        <v>40</v>
      </c>
      <c r="N54" t="s">
        <v>56</v>
      </c>
      <c r="R54" t="str">
        <f t="shared" si="2"/>
        <v>Good</v>
      </c>
    </row>
    <row r="55" spans="1:18" x14ac:dyDescent="0.25">
      <c r="A55">
        <v>96</v>
      </c>
      <c r="B55" t="s">
        <v>26</v>
      </c>
      <c r="C55" s="16" t="str">
        <f t="shared" si="0"/>
        <v>96-N</v>
      </c>
      <c r="D55" s="16" t="s">
        <v>118</v>
      </c>
      <c r="E55">
        <f>11+11+27</f>
        <v>49</v>
      </c>
      <c r="F55" s="17">
        <f>E55/24</f>
        <v>2.0416666666666665</v>
      </c>
      <c r="G55" s="17">
        <f t="shared" si="1"/>
        <v>0.29166666666666663</v>
      </c>
      <c r="H55" s="4" t="str">
        <f>IF(E54=E55,"Yes","No")</f>
        <v>Yes</v>
      </c>
      <c r="I55" s="3">
        <v>45495</v>
      </c>
      <c r="J55" s="18">
        <f>Sheet2!B$2</f>
        <v>4.4301363636363638</v>
      </c>
      <c r="K55" t="s">
        <v>30</v>
      </c>
      <c r="L55" t="s">
        <v>47</v>
      </c>
      <c r="N55" t="s">
        <v>56</v>
      </c>
      <c r="R55" t="str">
        <f t="shared" si="2"/>
        <v>Good</v>
      </c>
    </row>
    <row r="56" spans="1:18" x14ac:dyDescent="0.25">
      <c r="A56">
        <v>52</v>
      </c>
      <c r="B56" t="s">
        <v>27</v>
      </c>
      <c r="C56" s="16" t="str">
        <f t="shared" si="0"/>
        <v>52-WB</v>
      </c>
      <c r="D56" s="16" t="s">
        <v>119</v>
      </c>
      <c r="E56">
        <f>11.5+23+21</f>
        <v>55.5</v>
      </c>
      <c r="F56" s="17">
        <f>E56/24</f>
        <v>2.3125</v>
      </c>
      <c r="G56" s="17">
        <f t="shared" si="1"/>
        <v>0.33035714285714285</v>
      </c>
      <c r="H56" s="4" t="str">
        <f>IF(E56=E57,"Yes","No")</f>
        <v>Yes</v>
      </c>
      <c r="I56" s="3">
        <v>45495</v>
      </c>
      <c r="J56" s="18">
        <f>Sheet2!B$2</f>
        <v>4.4301363636363638</v>
      </c>
      <c r="K56" t="s">
        <v>30</v>
      </c>
      <c r="L56" t="s">
        <v>34</v>
      </c>
      <c r="N56" t="s">
        <v>56</v>
      </c>
      <c r="R56" t="str">
        <f t="shared" si="2"/>
        <v>Good</v>
      </c>
    </row>
    <row r="57" spans="1:18" x14ac:dyDescent="0.25">
      <c r="A57">
        <v>52</v>
      </c>
      <c r="B57" t="s">
        <v>26</v>
      </c>
      <c r="C57" s="16" t="str">
        <f t="shared" si="0"/>
        <v>52-N</v>
      </c>
      <c r="D57" s="16" t="s">
        <v>120</v>
      </c>
      <c r="E57">
        <f>11.5+23+21</f>
        <v>55.5</v>
      </c>
      <c r="F57" s="17">
        <f>E57/24</f>
        <v>2.3125</v>
      </c>
      <c r="G57" s="17">
        <f t="shared" si="1"/>
        <v>0.33035714285714285</v>
      </c>
      <c r="H57" s="4" t="str">
        <f>IF(E56=E57,"Yes","No")</f>
        <v>Yes</v>
      </c>
      <c r="I57" s="3">
        <v>45495</v>
      </c>
      <c r="J57" s="18">
        <f>Sheet2!B$2</f>
        <v>4.4301363636363638</v>
      </c>
      <c r="K57" t="s">
        <v>31</v>
      </c>
      <c r="L57" t="s">
        <v>33</v>
      </c>
      <c r="M57" t="s">
        <v>48</v>
      </c>
      <c r="N57" t="s">
        <v>56</v>
      </c>
      <c r="R57" t="str">
        <f t="shared" si="2"/>
        <v>Issue</v>
      </c>
    </row>
    <row r="58" spans="1:18" x14ac:dyDescent="0.25">
      <c r="A58">
        <v>122</v>
      </c>
      <c r="B58" t="s">
        <v>27</v>
      </c>
      <c r="C58" s="16" t="str">
        <f t="shared" si="0"/>
        <v>122-WB</v>
      </c>
      <c r="D58" s="16" t="s">
        <v>121</v>
      </c>
      <c r="E58">
        <f>12+24+24</f>
        <v>60</v>
      </c>
      <c r="F58" s="17">
        <f>E58/24</f>
        <v>2.5</v>
      </c>
      <c r="G58" s="17">
        <f t="shared" si="1"/>
        <v>0.35714285714285715</v>
      </c>
      <c r="H58" s="4" t="str">
        <f>IF(E58=E59,"Yes","No")</f>
        <v>Yes</v>
      </c>
      <c r="I58" s="3">
        <v>45496</v>
      </c>
      <c r="J58" s="18">
        <f>Sheet2!B$2</f>
        <v>4.4301363636363638</v>
      </c>
      <c r="K58" t="s">
        <v>30</v>
      </c>
      <c r="L58" t="s">
        <v>41</v>
      </c>
      <c r="N58" t="s">
        <v>56</v>
      </c>
      <c r="R58" t="str">
        <f t="shared" si="2"/>
        <v>Good</v>
      </c>
    </row>
    <row r="59" spans="1:18" x14ac:dyDescent="0.25">
      <c r="A59">
        <v>122</v>
      </c>
      <c r="B59" t="s">
        <v>26</v>
      </c>
      <c r="C59" s="16" t="str">
        <f t="shared" si="0"/>
        <v>122-N</v>
      </c>
      <c r="D59" s="16" t="s">
        <v>122</v>
      </c>
      <c r="E59">
        <f>12+24+24</f>
        <v>60</v>
      </c>
      <c r="F59" s="17">
        <f>E59/24</f>
        <v>2.5</v>
      </c>
      <c r="G59" s="17">
        <f t="shared" si="1"/>
        <v>0.35714285714285715</v>
      </c>
      <c r="H59" s="4" t="str">
        <f>IF(E58=E59,"Yes","No")</f>
        <v>Yes</v>
      </c>
      <c r="I59" s="3">
        <v>45496</v>
      </c>
      <c r="J59" s="18">
        <f>Sheet2!B$2</f>
        <v>4.4301363636363638</v>
      </c>
      <c r="K59" t="s">
        <v>30</v>
      </c>
      <c r="L59" t="s">
        <v>52</v>
      </c>
      <c r="N59" t="s">
        <v>56</v>
      </c>
      <c r="R59" t="str">
        <f t="shared" si="2"/>
        <v>Good</v>
      </c>
    </row>
    <row r="60" spans="1:18" x14ac:dyDescent="0.25">
      <c r="A60">
        <v>161</v>
      </c>
      <c r="B60" t="s">
        <v>26</v>
      </c>
      <c r="C60" s="16" t="str">
        <f t="shared" si="0"/>
        <v>161-N</v>
      </c>
      <c r="D60" s="16" t="s">
        <v>123</v>
      </c>
      <c r="E60">
        <f>8+8+8</f>
        <v>24</v>
      </c>
      <c r="F60" s="17">
        <f>E60/24</f>
        <v>1</v>
      </c>
      <c r="G60" s="17">
        <f t="shared" si="1"/>
        <v>0.14285714285714285</v>
      </c>
      <c r="H60" s="4" t="str">
        <f>IF(E60=E61,"Yes","No")</f>
        <v>Yes</v>
      </c>
      <c r="I60" s="3">
        <v>45496</v>
      </c>
      <c r="J60" s="18">
        <f>Sheet2!B$2</f>
        <v>4.4301363636363638</v>
      </c>
      <c r="K60" t="s">
        <v>30</v>
      </c>
      <c r="L60" t="s">
        <v>47</v>
      </c>
      <c r="N60" t="s">
        <v>56</v>
      </c>
      <c r="R60" t="str">
        <f t="shared" si="2"/>
        <v>Good</v>
      </c>
    </row>
    <row r="61" spans="1:18" x14ac:dyDescent="0.25">
      <c r="A61">
        <v>161</v>
      </c>
      <c r="B61" t="s">
        <v>27</v>
      </c>
      <c r="C61" s="16" t="str">
        <f t="shared" si="0"/>
        <v>161-WB</v>
      </c>
      <c r="D61" s="16" t="s">
        <v>124</v>
      </c>
      <c r="E61">
        <f>8+8+8</f>
        <v>24</v>
      </c>
      <c r="F61" s="17">
        <f>E61/24</f>
        <v>1</v>
      </c>
      <c r="G61" s="17">
        <f t="shared" si="1"/>
        <v>0.14285714285714285</v>
      </c>
      <c r="H61" s="4" t="str">
        <f>IF(E60=E61,"Yes","No")</f>
        <v>Yes</v>
      </c>
      <c r="I61" s="3">
        <v>45496</v>
      </c>
      <c r="J61" s="18">
        <f>Sheet2!B$2</f>
        <v>4.4301363636363638</v>
      </c>
      <c r="K61" t="s">
        <v>30</v>
      </c>
      <c r="L61" t="s">
        <v>40</v>
      </c>
      <c r="N61" t="s">
        <v>56</v>
      </c>
      <c r="R61" t="str">
        <f t="shared" si="2"/>
        <v>Good</v>
      </c>
    </row>
    <row r="62" spans="1:18" x14ac:dyDescent="0.25">
      <c r="A62">
        <v>124</v>
      </c>
      <c r="B62" t="s">
        <v>27</v>
      </c>
      <c r="C62" s="16" t="str">
        <f t="shared" si="0"/>
        <v>124-WB</v>
      </c>
      <c r="D62" s="16" t="s">
        <v>125</v>
      </c>
      <c r="E62">
        <f>10+10+10</f>
        <v>30</v>
      </c>
      <c r="F62" s="17">
        <f>E62/24</f>
        <v>1.25</v>
      </c>
      <c r="G62" s="17">
        <f t="shared" si="1"/>
        <v>0.17857142857142858</v>
      </c>
      <c r="H62" s="4" t="str">
        <f>IF(E62=E63,"Yes","No")</f>
        <v>Yes</v>
      </c>
      <c r="I62" s="3">
        <v>45497</v>
      </c>
      <c r="J62" s="18">
        <f>Sheet2!B$2</f>
        <v>4.4301363636363638</v>
      </c>
      <c r="K62" t="s">
        <v>30</v>
      </c>
      <c r="L62" t="s">
        <v>41</v>
      </c>
      <c r="N62" t="s">
        <v>56</v>
      </c>
      <c r="R62" t="str">
        <f t="shared" si="2"/>
        <v>Good</v>
      </c>
    </row>
    <row r="63" spans="1:18" x14ac:dyDescent="0.25">
      <c r="A63">
        <v>124</v>
      </c>
      <c r="B63" t="s">
        <v>26</v>
      </c>
      <c r="C63" s="16" t="str">
        <f t="shared" si="0"/>
        <v>124-N</v>
      </c>
      <c r="D63" s="16" t="s">
        <v>126</v>
      </c>
      <c r="E63">
        <f>10+10+10</f>
        <v>30</v>
      </c>
      <c r="F63" s="17">
        <f>E63/24</f>
        <v>1.25</v>
      </c>
      <c r="G63" s="17">
        <f t="shared" si="1"/>
        <v>0.17857142857142858</v>
      </c>
      <c r="H63" s="4" t="str">
        <f>IF(E62=E63,"Yes","No")</f>
        <v>Yes</v>
      </c>
      <c r="I63" s="3">
        <v>45497</v>
      </c>
      <c r="J63" s="18">
        <f>Sheet2!B$2</f>
        <v>4.4301363636363638</v>
      </c>
      <c r="K63" t="s">
        <v>30</v>
      </c>
      <c r="L63" t="s">
        <v>47</v>
      </c>
      <c r="N63" t="s">
        <v>56</v>
      </c>
      <c r="R63" t="str">
        <f t="shared" si="2"/>
        <v>Good</v>
      </c>
    </row>
    <row r="64" spans="1:18" x14ac:dyDescent="0.25">
      <c r="A64">
        <v>169</v>
      </c>
      <c r="B64" t="s">
        <v>27</v>
      </c>
      <c r="C64" s="16" t="str">
        <f t="shared" si="0"/>
        <v>169-WB</v>
      </c>
      <c r="D64" s="16" t="s">
        <v>127</v>
      </c>
      <c r="E64">
        <f>11+11+10</f>
        <v>32</v>
      </c>
      <c r="F64" s="17">
        <f>E64/24</f>
        <v>1.3333333333333333</v>
      </c>
      <c r="G64" s="17">
        <f t="shared" si="1"/>
        <v>0.19047619047619047</v>
      </c>
      <c r="H64" s="4" t="str">
        <f>IF(E64=E65,"Yes","No")</f>
        <v>Yes</v>
      </c>
      <c r="I64" s="3">
        <v>45497</v>
      </c>
      <c r="J64" s="18">
        <f>Sheet2!B$2</f>
        <v>4.4301363636363638</v>
      </c>
      <c r="K64" t="s">
        <v>30</v>
      </c>
      <c r="L64" t="s">
        <v>40</v>
      </c>
      <c r="N64" t="s">
        <v>56</v>
      </c>
      <c r="R64" t="str">
        <f t="shared" si="2"/>
        <v>Good</v>
      </c>
    </row>
    <row r="65" spans="1:18" x14ac:dyDescent="0.25">
      <c r="A65">
        <v>169</v>
      </c>
      <c r="B65" t="s">
        <v>26</v>
      </c>
      <c r="C65" s="16" t="str">
        <f t="shared" si="0"/>
        <v>169-N</v>
      </c>
      <c r="D65" s="16" t="s">
        <v>128</v>
      </c>
      <c r="E65">
        <f>11+11+10</f>
        <v>32</v>
      </c>
      <c r="F65" s="17">
        <f>E65/24</f>
        <v>1.3333333333333333</v>
      </c>
      <c r="G65" s="17">
        <f t="shared" si="1"/>
        <v>0.19047619047619047</v>
      </c>
      <c r="H65" s="4" t="str">
        <f>IF(E64=E65,"Yes","No")</f>
        <v>Yes</v>
      </c>
      <c r="I65" s="3">
        <v>45497</v>
      </c>
      <c r="J65" s="18">
        <f>Sheet2!B$2</f>
        <v>4.4301363636363638</v>
      </c>
      <c r="K65" t="s">
        <v>30</v>
      </c>
      <c r="L65" t="s">
        <v>33</v>
      </c>
      <c r="N65" t="s">
        <v>56</v>
      </c>
      <c r="R65" t="str">
        <f t="shared" si="2"/>
        <v>Good</v>
      </c>
    </row>
    <row r="66" spans="1:18" x14ac:dyDescent="0.25">
      <c r="A66">
        <v>134</v>
      </c>
      <c r="B66" t="s">
        <v>27</v>
      </c>
      <c r="C66" s="16" t="str">
        <f t="shared" si="0"/>
        <v>134-WB</v>
      </c>
      <c r="D66" s="16" t="s">
        <v>129</v>
      </c>
      <c r="E66">
        <f>11+9+8</f>
        <v>28</v>
      </c>
      <c r="F66" s="17">
        <f>E66/24</f>
        <v>1.1666666666666667</v>
      </c>
      <c r="G66" s="17">
        <f t="shared" si="1"/>
        <v>0.16666666666666669</v>
      </c>
      <c r="H66" s="4" t="str">
        <f>IF(E66=E67,"Yes","No")</f>
        <v>Yes</v>
      </c>
      <c r="I66" s="3">
        <v>45497</v>
      </c>
      <c r="J66" s="18">
        <f>Sheet2!B$2</f>
        <v>4.4301363636363638</v>
      </c>
      <c r="K66" t="s">
        <v>30</v>
      </c>
      <c r="L66" t="s">
        <v>41</v>
      </c>
      <c r="N66" t="s">
        <v>56</v>
      </c>
      <c r="R66" t="str">
        <f t="shared" si="2"/>
        <v>Good</v>
      </c>
    </row>
    <row r="67" spans="1:18" x14ac:dyDescent="0.25">
      <c r="A67">
        <v>134</v>
      </c>
      <c r="B67" t="s">
        <v>26</v>
      </c>
      <c r="C67" s="16" t="str">
        <f t="shared" ref="C67:C130" si="3">_xlfn.CONCAT(A67,(IF(B67="necklace","-N","-WB")))</f>
        <v>134-N</v>
      </c>
      <c r="D67" s="16" t="s">
        <v>130</v>
      </c>
      <c r="E67">
        <f>11+9+8</f>
        <v>28</v>
      </c>
      <c r="F67" s="17">
        <f>E67/24</f>
        <v>1.1666666666666667</v>
      </c>
      <c r="G67" s="17">
        <f t="shared" ref="G67:G130" si="4">+F67/7</f>
        <v>0.16666666666666669</v>
      </c>
      <c r="H67" s="4" t="str">
        <f>IF(E66=E67,"Yes","No")</f>
        <v>Yes</v>
      </c>
      <c r="I67" s="3">
        <v>45497</v>
      </c>
      <c r="J67" s="18">
        <f>Sheet2!B$2</f>
        <v>4.4301363636363638</v>
      </c>
      <c r="K67" t="s">
        <v>30</v>
      </c>
      <c r="L67" t="s">
        <v>47</v>
      </c>
      <c r="N67" t="s">
        <v>56</v>
      </c>
      <c r="R67" t="str">
        <f t="shared" si="2"/>
        <v>Good</v>
      </c>
    </row>
    <row r="68" spans="1:18" x14ac:dyDescent="0.25">
      <c r="A68">
        <v>33</v>
      </c>
      <c r="B68" t="s">
        <v>27</v>
      </c>
      <c r="C68" s="16" t="str">
        <f t="shared" si="3"/>
        <v>33-WB</v>
      </c>
      <c r="D68" s="16" t="s">
        <v>131</v>
      </c>
      <c r="E68">
        <f>8+8+8</f>
        <v>24</v>
      </c>
      <c r="F68" s="17">
        <f>E68/24</f>
        <v>1</v>
      </c>
      <c r="G68" s="17">
        <f t="shared" si="4"/>
        <v>0.14285714285714285</v>
      </c>
      <c r="H68" s="4" t="str">
        <f>IF(E68=E69,"Yes","No")</f>
        <v>Yes</v>
      </c>
      <c r="I68" s="3">
        <v>45498</v>
      </c>
      <c r="J68" s="18">
        <f>Sheet2!B$2</f>
        <v>4.4301363636363638</v>
      </c>
      <c r="K68" t="s">
        <v>30</v>
      </c>
      <c r="L68" t="s">
        <v>34</v>
      </c>
      <c r="N68" t="s">
        <v>56</v>
      </c>
      <c r="R68" t="str">
        <f t="shared" si="2"/>
        <v>Good</v>
      </c>
    </row>
    <row r="69" spans="1:18" x14ac:dyDescent="0.25">
      <c r="A69">
        <v>33</v>
      </c>
      <c r="B69" t="s">
        <v>26</v>
      </c>
      <c r="C69" s="16" t="str">
        <f t="shared" si="3"/>
        <v>33-N</v>
      </c>
      <c r="D69" s="16" t="s">
        <v>132</v>
      </c>
      <c r="E69">
        <f>8+8+8</f>
        <v>24</v>
      </c>
      <c r="F69" s="17">
        <f>E69/24</f>
        <v>1</v>
      </c>
      <c r="G69" s="17">
        <f t="shared" si="4"/>
        <v>0.14285714285714285</v>
      </c>
      <c r="H69" s="4" t="str">
        <f>IF(E68=E69,"Yes","No")</f>
        <v>Yes</v>
      </c>
      <c r="I69" s="3">
        <v>45498</v>
      </c>
      <c r="J69" s="18">
        <f>Sheet2!B$2</f>
        <v>4.4301363636363638</v>
      </c>
      <c r="K69" t="s">
        <v>30</v>
      </c>
      <c r="L69" t="s">
        <v>33</v>
      </c>
      <c r="N69" t="s">
        <v>56</v>
      </c>
      <c r="R69" t="str">
        <f t="shared" ref="R69:R132" si="5">IF(H69=K69,"Good","Issue")</f>
        <v>Good</v>
      </c>
    </row>
    <row r="70" spans="1:18" x14ac:dyDescent="0.25">
      <c r="A70">
        <v>147</v>
      </c>
      <c r="B70" t="s">
        <v>26</v>
      </c>
      <c r="C70" s="16" t="str">
        <f t="shared" si="3"/>
        <v>147-N</v>
      </c>
      <c r="D70" s="16" t="s">
        <v>133</v>
      </c>
      <c r="E70">
        <f>9+11+12</f>
        <v>32</v>
      </c>
      <c r="F70" s="17">
        <f>E70/24</f>
        <v>1.3333333333333333</v>
      </c>
      <c r="G70" s="17">
        <f t="shared" si="4"/>
        <v>0.19047619047619047</v>
      </c>
      <c r="H70" s="4" t="str">
        <f>IF(E70=E71,"Yes","No")</f>
        <v>Yes</v>
      </c>
      <c r="I70" s="3">
        <v>45499</v>
      </c>
      <c r="J70" s="18">
        <f>Sheet2!B$2</f>
        <v>4.4301363636363638</v>
      </c>
      <c r="K70" t="s">
        <v>30</v>
      </c>
      <c r="L70" t="s">
        <v>52</v>
      </c>
      <c r="N70" t="s">
        <v>56</v>
      </c>
      <c r="R70" t="str">
        <f t="shared" si="5"/>
        <v>Good</v>
      </c>
    </row>
    <row r="71" spans="1:18" x14ac:dyDescent="0.25">
      <c r="A71">
        <v>147</v>
      </c>
      <c r="B71" t="s">
        <v>27</v>
      </c>
      <c r="C71" s="16" t="str">
        <f t="shared" si="3"/>
        <v>147-WB</v>
      </c>
      <c r="D71" s="16" t="s">
        <v>134</v>
      </c>
      <c r="E71">
        <f>9+11+12</f>
        <v>32</v>
      </c>
      <c r="F71" s="17">
        <f>E71/24</f>
        <v>1.3333333333333333</v>
      </c>
      <c r="G71" s="17">
        <f t="shared" si="4"/>
        <v>0.19047619047619047</v>
      </c>
      <c r="H71" t="str">
        <f>IF(E70=E71,"Yes","No")</f>
        <v>Yes</v>
      </c>
      <c r="I71" s="3">
        <v>45499</v>
      </c>
      <c r="J71" s="18">
        <f>Sheet2!B$2</f>
        <v>4.4301363636363638</v>
      </c>
      <c r="K71" t="s">
        <v>30</v>
      </c>
      <c r="L71" t="s">
        <v>40</v>
      </c>
      <c r="N71" t="s">
        <v>56</v>
      </c>
      <c r="R71" t="str">
        <f t="shared" si="5"/>
        <v>Good</v>
      </c>
    </row>
    <row r="72" spans="1:18" x14ac:dyDescent="0.25">
      <c r="A72">
        <v>173</v>
      </c>
      <c r="B72" t="s">
        <v>26</v>
      </c>
      <c r="C72" s="16" t="str">
        <f t="shared" si="3"/>
        <v>173-N</v>
      </c>
      <c r="D72" s="16" t="s">
        <v>135</v>
      </c>
      <c r="E72">
        <f>9+8+10</f>
        <v>27</v>
      </c>
      <c r="F72" s="17">
        <f>E72/24</f>
        <v>1.125</v>
      </c>
      <c r="G72" s="17">
        <f t="shared" si="4"/>
        <v>0.16071428571428573</v>
      </c>
      <c r="H72" t="str">
        <f>IF(E72=E73,"Yes","No")</f>
        <v>Yes</v>
      </c>
      <c r="I72" s="3">
        <v>45502</v>
      </c>
      <c r="J72" s="18">
        <f>Sheet2!B$2</f>
        <v>4.4301363636363638</v>
      </c>
      <c r="K72" t="s">
        <v>30</v>
      </c>
      <c r="L72" t="s">
        <v>52</v>
      </c>
      <c r="N72" t="s">
        <v>56</v>
      </c>
      <c r="R72" t="str">
        <f t="shared" si="5"/>
        <v>Good</v>
      </c>
    </row>
    <row r="73" spans="1:18" x14ac:dyDescent="0.25">
      <c r="A73">
        <v>173</v>
      </c>
      <c r="B73" t="s">
        <v>27</v>
      </c>
      <c r="C73" s="16" t="str">
        <f t="shared" si="3"/>
        <v>173-WB</v>
      </c>
      <c r="D73" s="16" t="s">
        <v>136</v>
      </c>
      <c r="E73">
        <f>9+8+10</f>
        <v>27</v>
      </c>
      <c r="F73" s="17">
        <f>E73/24</f>
        <v>1.125</v>
      </c>
      <c r="G73" s="17">
        <f t="shared" si="4"/>
        <v>0.16071428571428573</v>
      </c>
      <c r="H73" t="str">
        <f>IF(E72=E73,"Yes","No")</f>
        <v>Yes</v>
      </c>
      <c r="I73" s="3">
        <v>45502</v>
      </c>
      <c r="J73" s="18">
        <f>Sheet2!B$2</f>
        <v>4.4301363636363638</v>
      </c>
      <c r="K73" t="s">
        <v>30</v>
      </c>
      <c r="L73" t="s">
        <v>40</v>
      </c>
      <c r="N73" t="s">
        <v>56</v>
      </c>
      <c r="R73" t="str">
        <f t="shared" si="5"/>
        <v>Good</v>
      </c>
    </row>
    <row r="74" spans="1:18" x14ac:dyDescent="0.25">
      <c r="A74">
        <v>135</v>
      </c>
      <c r="B74" t="s">
        <v>26</v>
      </c>
      <c r="C74" s="16" t="str">
        <f t="shared" si="3"/>
        <v>135-N</v>
      </c>
      <c r="D74" s="16" t="s">
        <v>137</v>
      </c>
      <c r="E74">
        <f>13+15+12</f>
        <v>40</v>
      </c>
      <c r="F74" s="17">
        <f>E74/24</f>
        <v>1.6666666666666667</v>
      </c>
      <c r="G74" s="17">
        <f t="shared" si="4"/>
        <v>0.23809523809523811</v>
      </c>
      <c r="H74" t="str">
        <f>IF(E74=E75,"Yes","No")</f>
        <v>Yes</v>
      </c>
      <c r="I74" s="3">
        <v>45502</v>
      </c>
      <c r="J74" s="18">
        <f>Sheet2!B$2</f>
        <v>4.4301363636363638</v>
      </c>
      <c r="K74" t="s">
        <v>30</v>
      </c>
      <c r="L74" t="s">
        <v>47</v>
      </c>
      <c r="N74" t="s">
        <v>56</v>
      </c>
      <c r="R74" t="str">
        <f t="shared" si="5"/>
        <v>Good</v>
      </c>
    </row>
    <row r="75" spans="1:18" x14ac:dyDescent="0.25">
      <c r="A75">
        <v>135</v>
      </c>
      <c r="B75" t="s">
        <v>27</v>
      </c>
      <c r="C75" s="16" t="str">
        <f t="shared" si="3"/>
        <v>135-WB</v>
      </c>
      <c r="D75" s="16" t="s">
        <v>138</v>
      </c>
      <c r="E75">
        <f>13+15+12</f>
        <v>40</v>
      </c>
      <c r="F75" s="17">
        <f>E75/24</f>
        <v>1.6666666666666667</v>
      </c>
      <c r="G75" s="17">
        <f t="shared" si="4"/>
        <v>0.23809523809523811</v>
      </c>
      <c r="H75" t="str">
        <f>IF(E74=E75,"Yes","No")</f>
        <v>Yes</v>
      </c>
      <c r="I75" s="3">
        <v>45502</v>
      </c>
      <c r="J75" s="18">
        <f>Sheet2!B$2</f>
        <v>4.4301363636363638</v>
      </c>
      <c r="K75" t="s">
        <v>30</v>
      </c>
      <c r="L75" t="s">
        <v>41</v>
      </c>
      <c r="N75" t="s">
        <v>56</v>
      </c>
      <c r="R75" t="str">
        <f t="shared" si="5"/>
        <v>Good</v>
      </c>
    </row>
    <row r="76" spans="1:18" x14ac:dyDescent="0.25">
      <c r="A76">
        <v>132</v>
      </c>
      <c r="B76" t="s">
        <v>26</v>
      </c>
      <c r="C76" s="16" t="str">
        <f t="shared" si="3"/>
        <v>132-N</v>
      </c>
      <c r="D76" s="16" t="s">
        <v>139</v>
      </c>
      <c r="E76">
        <f>8.5+11+10.5</f>
        <v>30</v>
      </c>
      <c r="F76" s="17">
        <f>E76/24</f>
        <v>1.25</v>
      </c>
      <c r="G76" s="17">
        <f t="shared" si="4"/>
        <v>0.17857142857142858</v>
      </c>
      <c r="H76" t="str">
        <f>IF(E76=E77,"Yes","No")</f>
        <v>Yes</v>
      </c>
      <c r="I76" s="3">
        <v>45502</v>
      </c>
      <c r="J76" s="18">
        <f>Sheet2!B$2</f>
        <v>4.4301363636363638</v>
      </c>
      <c r="K76" t="s">
        <v>30</v>
      </c>
      <c r="L76" t="s">
        <v>47</v>
      </c>
      <c r="N76" t="s">
        <v>56</v>
      </c>
      <c r="R76" t="str">
        <f t="shared" si="5"/>
        <v>Good</v>
      </c>
    </row>
    <row r="77" spans="1:18" x14ac:dyDescent="0.25">
      <c r="A77">
        <v>132</v>
      </c>
      <c r="B77" t="s">
        <v>27</v>
      </c>
      <c r="C77" s="16" t="str">
        <f t="shared" si="3"/>
        <v>132-WB</v>
      </c>
      <c r="D77" s="16" t="s">
        <v>140</v>
      </c>
      <c r="E77">
        <f>8.5+11+10.5</f>
        <v>30</v>
      </c>
      <c r="F77" s="17">
        <f>E77/24</f>
        <v>1.25</v>
      </c>
      <c r="G77" s="17">
        <f t="shared" si="4"/>
        <v>0.17857142857142858</v>
      </c>
      <c r="H77" t="str">
        <f>IF(E76=E77,"Yes","No")</f>
        <v>Yes</v>
      </c>
      <c r="I77" s="3">
        <v>45502</v>
      </c>
      <c r="J77" s="18">
        <f>Sheet2!B$2</f>
        <v>4.4301363636363638</v>
      </c>
      <c r="K77" t="s">
        <v>30</v>
      </c>
      <c r="L77" t="s">
        <v>41</v>
      </c>
      <c r="N77" t="s">
        <v>56</v>
      </c>
      <c r="R77" t="str">
        <f t="shared" si="5"/>
        <v>Good</v>
      </c>
    </row>
    <row r="78" spans="1:18" x14ac:dyDescent="0.25">
      <c r="A78">
        <v>190</v>
      </c>
      <c r="B78" t="s">
        <v>26</v>
      </c>
      <c r="C78" s="16" t="str">
        <f t="shared" si="3"/>
        <v>190-N</v>
      </c>
      <c r="D78" s="16" t="s">
        <v>141</v>
      </c>
      <c r="E78">
        <f>12+12+9</f>
        <v>33</v>
      </c>
      <c r="F78" s="17">
        <f>E78/24</f>
        <v>1.375</v>
      </c>
      <c r="G78" s="17">
        <f t="shared" si="4"/>
        <v>0.19642857142857142</v>
      </c>
      <c r="H78" t="str">
        <f>IF(E78=E79,"Yes","No")</f>
        <v>Yes</v>
      </c>
      <c r="I78" s="3">
        <v>45502</v>
      </c>
      <c r="J78" s="18">
        <f>Sheet2!B$2</f>
        <v>4.4301363636363638</v>
      </c>
      <c r="K78" t="s">
        <v>30</v>
      </c>
      <c r="L78" t="s">
        <v>33</v>
      </c>
      <c r="N78" t="s">
        <v>56</v>
      </c>
      <c r="R78" t="str">
        <f t="shared" si="5"/>
        <v>Good</v>
      </c>
    </row>
    <row r="79" spans="1:18" x14ac:dyDescent="0.25">
      <c r="A79">
        <v>190</v>
      </c>
      <c r="B79" t="s">
        <v>27</v>
      </c>
      <c r="C79" s="16" t="str">
        <f t="shared" si="3"/>
        <v>190-WB</v>
      </c>
      <c r="D79" s="16" t="s">
        <v>142</v>
      </c>
      <c r="E79">
        <f>12+12+9</f>
        <v>33</v>
      </c>
      <c r="F79" s="17">
        <f>E79/24</f>
        <v>1.375</v>
      </c>
      <c r="G79" s="17">
        <f t="shared" si="4"/>
        <v>0.19642857142857142</v>
      </c>
      <c r="H79" t="str">
        <f>IF(E78=E79,"Yes","No")</f>
        <v>Yes</v>
      </c>
      <c r="I79" s="3">
        <v>45502</v>
      </c>
      <c r="J79" s="18">
        <f>Sheet2!B$2</f>
        <v>4.4301363636363638</v>
      </c>
      <c r="K79" t="s">
        <v>30</v>
      </c>
      <c r="L79" t="s">
        <v>41</v>
      </c>
      <c r="N79" t="s">
        <v>56</v>
      </c>
      <c r="R79" t="str">
        <f t="shared" si="5"/>
        <v>Good</v>
      </c>
    </row>
    <row r="80" spans="1:18" x14ac:dyDescent="0.25">
      <c r="A80">
        <v>119</v>
      </c>
      <c r="B80" t="s">
        <v>26</v>
      </c>
      <c r="C80" s="16" t="str">
        <f t="shared" si="3"/>
        <v>119-N</v>
      </c>
      <c r="D80" s="16" t="s">
        <v>143</v>
      </c>
      <c r="E80">
        <f>11+8+14</f>
        <v>33</v>
      </c>
      <c r="F80" s="17">
        <f>E80/24</f>
        <v>1.375</v>
      </c>
      <c r="G80" s="17">
        <f t="shared" si="4"/>
        <v>0.19642857142857142</v>
      </c>
      <c r="H80" t="str">
        <f>IF(E80=E81,"Yes","No")</f>
        <v>Yes</v>
      </c>
      <c r="I80" s="3">
        <v>45502</v>
      </c>
      <c r="J80" s="18">
        <f>Sheet2!B$2</f>
        <v>4.4301363636363638</v>
      </c>
      <c r="K80" t="s">
        <v>30</v>
      </c>
      <c r="L80" t="s">
        <v>47</v>
      </c>
      <c r="N80" t="s">
        <v>56</v>
      </c>
      <c r="R80" t="str">
        <f t="shared" si="5"/>
        <v>Good</v>
      </c>
    </row>
    <row r="81" spans="1:18" x14ac:dyDescent="0.25">
      <c r="A81">
        <v>119</v>
      </c>
      <c r="B81" t="s">
        <v>27</v>
      </c>
      <c r="C81" s="16" t="str">
        <f t="shared" si="3"/>
        <v>119-WB</v>
      </c>
      <c r="D81" s="16" t="s">
        <v>144</v>
      </c>
      <c r="E81">
        <f>11+8+14</f>
        <v>33</v>
      </c>
      <c r="F81" s="17">
        <f>E81/24</f>
        <v>1.375</v>
      </c>
      <c r="G81" s="17">
        <f t="shared" si="4"/>
        <v>0.19642857142857142</v>
      </c>
      <c r="H81" t="str">
        <f>IF(E80=E81,"Yes","No")</f>
        <v>Yes</v>
      </c>
      <c r="I81" s="3">
        <v>45502</v>
      </c>
      <c r="J81" s="18">
        <f>Sheet2!B$2</f>
        <v>4.4301363636363638</v>
      </c>
      <c r="K81" t="s">
        <v>30</v>
      </c>
      <c r="L81" t="s">
        <v>41</v>
      </c>
      <c r="N81" t="s">
        <v>56</v>
      </c>
      <c r="R81" t="str">
        <f t="shared" si="5"/>
        <v>Good</v>
      </c>
    </row>
    <row r="82" spans="1:18" x14ac:dyDescent="0.25">
      <c r="A82">
        <v>156</v>
      </c>
      <c r="B82" t="s">
        <v>26</v>
      </c>
      <c r="C82" s="16" t="str">
        <f t="shared" si="3"/>
        <v>156-N</v>
      </c>
      <c r="D82" s="16" t="s">
        <v>145</v>
      </c>
      <c r="E82" s="19" t="s">
        <v>35</v>
      </c>
      <c r="F82" s="20">
        <v>1</v>
      </c>
      <c r="G82" s="17">
        <f t="shared" si="4"/>
        <v>0.14285714285714285</v>
      </c>
      <c r="H82" s="5" t="s">
        <v>43</v>
      </c>
      <c r="I82" s="3">
        <v>45502</v>
      </c>
      <c r="J82" s="18">
        <f>Sheet2!B$2</f>
        <v>4.4301363636363638</v>
      </c>
      <c r="K82" t="s">
        <v>30</v>
      </c>
      <c r="L82" t="s">
        <v>52</v>
      </c>
      <c r="M82" t="s">
        <v>206</v>
      </c>
      <c r="N82" t="s">
        <v>56</v>
      </c>
      <c r="R82" t="str">
        <f t="shared" si="5"/>
        <v>Issue</v>
      </c>
    </row>
    <row r="83" spans="1:18" x14ac:dyDescent="0.25">
      <c r="A83">
        <v>156</v>
      </c>
      <c r="B83" t="s">
        <v>27</v>
      </c>
      <c r="C83" s="16" t="str">
        <f t="shared" si="3"/>
        <v>156-WB</v>
      </c>
      <c r="D83" s="16" t="s">
        <v>146</v>
      </c>
      <c r="E83" s="19" t="s">
        <v>35</v>
      </c>
      <c r="F83" s="20">
        <v>1</v>
      </c>
      <c r="G83" s="17">
        <f t="shared" si="4"/>
        <v>0.14285714285714285</v>
      </c>
      <c r="H83" s="5" t="s">
        <v>43</v>
      </c>
      <c r="I83" s="3">
        <v>45502</v>
      </c>
      <c r="J83" s="18">
        <f>Sheet2!B$2</f>
        <v>4.4301363636363638</v>
      </c>
      <c r="K83" t="s">
        <v>30</v>
      </c>
      <c r="L83" t="s">
        <v>40</v>
      </c>
      <c r="M83" t="s">
        <v>206</v>
      </c>
      <c r="N83" t="s">
        <v>56</v>
      </c>
      <c r="R83" t="str">
        <f t="shared" si="5"/>
        <v>Issue</v>
      </c>
    </row>
    <row r="84" spans="1:18" x14ac:dyDescent="0.25">
      <c r="A84">
        <v>75</v>
      </c>
      <c r="B84" t="s">
        <v>26</v>
      </c>
      <c r="C84" s="16" t="str">
        <f t="shared" si="3"/>
        <v>75-N</v>
      </c>
      <c r="D84" s="16" t="s">
        <v>147</v>
      </c>
      <c r="E84">
        <f>9+9.5+8</f>
        <v>26.5</v>
      </c>
      <c r="F84" s="17">
        <f>E84/24</f>
        <v>1.1041666666666667</v>
      </c>
      <c r="G84" s="17">
        <f t="shared" si="4"/>
        <v>0.15773809523809526</v>
      </c>
      <c r="H84" t="str">
        <f>IF(E84=E85,"Yes","No")</f>
        <v>Yes</v>
      </c>
      <c r="I84" s="3">
        <v>45503</v>
      </c>
      <c r="J84" s="18">
        <f>Sheet2!B$2</f>
        <v>4.4301363636363638</v>
      </c>
      <c r="K84" t="s">
        <v>30</v>
      </c>
      <c r="L84" t="s">
        <v>33</v>
      </c>
      <c r="N84" t="s">
        <v>56</v>
      </c>
      <c r="R84" t="str">
        <f t="shared" si="5"/>
        <v>Good</v>
      </c>
    </row>
    <row r="85" spans="1:18" x14ac:dyDescent="0.25">
      <c r="A85">
        <v>75</v>
      </c>
      <c r="B85" t="s">
        <v>27</v>
      </c>
      <c r="C85" s="16" t="str">
        <f t="shared" si="3"/>
        <v>75-WB</v>
      </c>
      <c r="D85" s="16" t="s">
        <v>148</v>
      </c>
      <c r="E85">
        <f>9+9.5+8</f>
        <v>26.5</v>
      </c>
      <c r="F85" s="17">
        <f>E85/24</f>
        <v>1.1041666666666667</v>
      </c>
      <c r="G85" s="17">
        <f t="shared" si="4"/>
        <v>0.15773809523809526</v>
      </c>
      <c r="H85" t="str">
        <f>IF(E84=E85,"Yes","No")</f>
        <v>Yes</v>
      </c>
      <c r="I85" s="3">
        <v>45503</v>
      </c>
      <c r="J85" s="18">
        <f>Sheet2!B$2</f>
        <v>4.4301363636363638</v>
      </c>
      <c r="K85" t="s">
        <v>30</v>
      </c>
      <c r="L85" t="s">
        <v>34</v>
      </c>
      <c r="N85" t="s">
        <v>56</v>
      </c>
      <c r="R85" t="str">
        <f t="shared" si="5"/>
        <v>Good</v>
      </c>
    </row>
    <row r="86" spans="1:18" x14ac:dyDescent="0.25">
      <c r="A86">
        <v>191</v>
      </c>
      <c r="B86" t="s">
        <v>26</v>
      </c>
      <c r="C86" s="16" t="str">
        <f t="shared" si="3"/>
        <v>191-N</v>
      </c>
      <c r="D86" s="16" t="s">
        <v>149</v>
      </c>
      <c r="E86">
        <f>10+10+11</f>
        <v>31</v>
      </c>
      <c r="F86" s="17">
        <f>E86/24</f>
        <v>1.2916666666666667</v>
      </c>
      <c r="G86" s="17">
        <f t="shared" si="4"/>
        <v>0.18452380952380953</v>
      </c>
      <c r="H86" t="str">
        <f>IF(E86=E87,"Yes","No")</f>
        <v>Yes</v>
      </c>
      <c r="I86" s="3">
        <v>45503</v>
      </c>
      <c r="J86" s="18">
        <f>Sheet2!B$2</f>
        <v>4.4301363636363638</v>
      </c>
      <c r="K86" t="s">
        <v>30</v>
      </c>
      <c r="L86" t="s">
        <v>52</v>
      </c>
      <c r="N86" t="s">
        <v>56</v>
      </c>
      <c r="R86" t="str">
        <f t="shared" si="5"/>
        <v>Good</v>
      </c>
    </row>
    <row r="87" spans="1:18" x14ac:dyDescent="0.25">
      <c r="A87">
        <v>191</v>
      </c>
      <c r="B87" t="s">
        <v>27</v>
      </c>
      <c r="C87" s="16" t="str">
        <f t="shared" si="3"/>
        <v>191-WB</v>
      </c>
      <c r="D87" s="16" t="s">
        <v>150</v>
      </c>
      <c r="E87">
        <f>10+10+11</f>
        <v>31</v>
      </c>
      <c r="F87" s="17">
        <f>E87/24</f>
        <v>1.2916666666666667</v>
      </c>
      <c r="G87" s="17">
        <f t="shared" si="4"/>
        <v>0.18452380952380953</v>
      </c>
      <c r="H87" t="str">
        <f>IF(E86=E87,"Yes","No")</f>
        <v>Yes</v>
      </c>
      <c r="I87" s="3">
        <v>45503</v>
      </c>
      <c r="J87" s="18">
        <f>Sheet2!B$2</f>
        <v>4.4301363636363638</v>
      </c>
      <c r="K87" t="s">
        <v>30</v>
      </c>
      <c r="L87" t="s">
        <v>41</v>
      </c>
      <c r="N87" t="s">
        <v>56</v>
      </c>
      <c r="R87" t="str">
        <f t="shared" si="5"/>
        <v>Good</v>
      </c>
    </row>
    <row r="88" spans="1:18" x14ac:dyDescent="0.25">
      <c r="A88">
        <v>53</v>
      </c>
      <c r="B88" t="s">
        <v>26</v>
      </c>
      <c r="C88" s="16" t="str">
        <f t="shared" si="3"/>
        <v>53-N</v>
      </c>
      <c r="D88" s="16" t="s">
        <v>151</v>
      </c>
      <c r="E88">
        <f>8+10+10</f>
        <v>28</v>
      </c>
      <c r="F88" s="17">
        <f>E88/24</f>
        <v>1.1666666666666667</v>
      </c>
      <c r="G88" s="17">
        <f t="shared" si="4"/>
        <v>0.16666666666666669</v>
      </c>
      <c r="H88" t="str">
        <f>IF(E88=E89,"Yes","No")</f>
        <v>Yes</v>
      </c>
      <c r="I88" s="3">
        <v>45503</v>
      </c>
      <c r="J88" s="18">
        <f>Sheet2!B$2</f>
        <v>4.4301363636363638</v>
      </c>
      <c r="K88" t="s">
        <v>30</v>
      </c>
      <c r="L88" t="s">
        <v>33</v>
      </c>
      <c r="N88" t="s">
        <v>56</v>
      </c>
      <c r="R88" t="str">
        <f t="shared" si="5"/>
        <v>Good</v>
      </c>
    </row>
    <row r="89" spans="1:18" x14ac:dyDescent="0.25">
      <c r="A89">
        <v>53</v>
      </c>
      <c r="B89" t="s">
        <v>27</v>
      </c>
      <c r="C89" s="16" t="str">
        <f t="shared" si="3"/>
        <v>53-WB</v>
      </c>
      <c r="D89" s="16" t="s">
        <v>152</v>
      </c>
      <c r="E89">
        <f>8+10+10</f>
        <v>28</v>
      </c>
      <c r="F89" s="17">
        <f>E89/24</f>
        <v>1.1666666666666667</v>
      </c>
      <c r="G89" s="17">
        <f t="shared" si="4"/>
        <v>0.16666666666666669</v>
      </c>
      <c r="H89" t="str">
        <f>IF(E88=E89,"Yes","No")</f>
        <v>Yes</v>
      </c>
      <c r="I89" s="3">
        <v>45503</v>
      </c>
      <c r="J89" s="18">
        <f>Sheet2!B$2</f>
        <v>4.4301363636363638</v>
      </c>
      <c r="K89" t="s">
        <v>30</v>
      </c>
      <c r="L89" t="s">
        <v>34</v>
      </c>
      <c r="N89" t="s">
        <v>56</v>
      </c>
      <c r="R89" t="str">
        <f t="shared" si="5"/>
        <v>Good</v>
      </c>
    </row>
    <row r="90" spans="1:18" x14ac:dyDescent="0.25">
      <c r="A90">
        <v>140</v>
      </c>
      <c r="B90" t="s">
        <v>26</v>
      </c>
      <c r="C90" s="16" t="str">
        <f t="shared" si="3"/>
        <v>140-N</v>
      </c>
      <c r="D90" s="16" t="s">
        <v>153</v>
      </c>
      <c r="E90">
        <f>8+8+8.5</f>
        <v>24.5</v>
      </c>
      <c r="F90" s="17">
        <f>E90/24</f>
        <v>1.0208333333333333</v>
      </c>
      <c r="G90" s="17">
        <f t="shared" si="4"/>
        <v>0.14583333333333331</v>
      </c>
      <c r="H90" t="str">
        <f>IF(E90=E91,"Yes","No")</f>
        <v>Yes</v>
      </c>
      <c r="I90" s="3">
        <v>45505</v>
      </c>
      <c r="J90" s="18">
        <f>Sheet2!B$2</f>
        <v>4.4301363636363638</v>
      </c>
      <c r="K90" t="s">
        <v>30</v>
      </c>
      <c r="L90" t="s">
        <v>47</v>
      </c>
      <c r="N90" t="s">
        <v>56</v>
      </c>
      <c r="R90" t="str">
        <f t="shared" si="5"/>
        <v>Good</v>
      </c>
    </row>
    <row r="91" spans="1:18" x14ac:dyDescent="0.25">
      <c r="A91">
        <v>140</v>
      </c>
      <c r="B91" t="s">
        <v>27</v>
      </c>
      <c r="C91" s="16" t="str">
        <f t="shared" si="3"/>
        <v>140-WB</v>
      </c>
      <c r="D91" s="16" t="s">
        <v>154</v>
      </c>
      <c r="E91">
        <f>8+8+8.5</f>
        <v>24.5</v>
      </c>
      <c r="F91" s="17">
        <f>E91/24</f>
        <v>1.0208333333333333</v>
      </c>
      <c r="G91" s="17">
        <f t="shared" si="4"/>
        <v>0.14583333333333331</v>
      </c>
      <c r="H91" t="str">
        <f>IF(E90=E91,"Yes","No")</f>
        <v>Yes</v>
      </c>
      <c r="I91" s="3">
        <v>45505</v>
      </c>
      <c r="J91" s="18">
        <f>Sheet2!B$2</f>
        <v>4.4301363636363638</v>
      </c>
      <c r="K91" t="s">
        <v>30</v>
      </c>
      <c r="L91" t="s">
        <v>40</v>
      </c>
      <c r="N91" t="s">
        <v>56</v>
      </c>
      <c r="R91" t="str">
        <f t="shared" si="5"/>
        <v>Good</v>
      </c>
    </row>
    <row r="92" spans="1:18" x14ac:dyDescent="0.25">
      <c r="A92">
        <v>123</v>
      </c>
      <c r="B92" t="s">
        <v>27</v>
      </c>
      <c r="C92" s="16" t="str">
        <f t="shared" si="3"/>
        <v>123-WB</v>
      </c>
      <c r="D92" s="16" t="s">
        <v>155</v>
      </c>
      <c r="E92">
        <f>11+12+8</f>
        <v>31</v>
      </c>
      <c r="F92" s="17">
        <f>E92/24</f>
        <v>1.2916666666666667</v>
      </c>
      <c r="G92" s="17">
        <f t="shared" si="4"/>
        <v>0.18452380952380953</v>
      </c>
      <c r="H92" t="str">
        <f>IF(E92=E93,"Yes","No")</f>
        <v>Yes</v>
      </c>
      <c r="I92" s="3">
        <v>45505</v>
      </c>
      <c r="J92" s="18">
        <f>Sheet2!B$2</f>
        <v>4.4301363636363638</v>
      </c>
      <c r="K92" t="s">
        <v>30</v>
      </c>
      <c r="L92" t="s">
        <v>41</v>
      </c>
      <c r="N92" t="s">
        <v>56</v>
      </c>
      <c r="R92" t="str">
        <f t="shared" si="5"/>
        <v>Good</v>
      </c>
    </row>
    <row r="93" spans="1:18" x14ac:dyDescent="0.25">
      <c r="A93">
        <v>123</v>
      </c>
      <c r="B93" t="s">
        <v>26</v>
      </c>
      <c r="C93" s="16" t="str">
        <f t="shared" si="3"/>
        <v>123-N</v>
      </c>
      <c r="D93" s="16" t="s">
        <v>156</v>
      </c>
      <c r="E93">
        <f>11+12+8</f>
        <v>31</v>
      </c>
      <c r="F93" s="17">
        <f>E93/24</f>
        <v>1.2916666666666667</v>
      </c>
      <c r="G93" s="17">
        <f t="shared" si="4"/>
        <v>0.18452380952380953</v>
      </c>
      <c r="H93" t="str">
        <f>IF(E92=E93,"Yes","No")</f>
        <v>Yes</v>
      </c>
      <c r="I93" s="3">
        <v>45505</v>
      </c>
      <c r="J93" s="18">
        <f>Sheet2!B$2</f>
        <v>4.4301363636363638</v>
      </c>
      <c r="K93" t="s">
        <v>30</v>
      </c>
      <c r="L93" t="s">
        <v>47</v>
      </c>
      <c r="N93" t="s">
        <v>56</v>
      </c>
      <c r="R93" t="str">
        <f t="shared" si="5"/>
        <v>Good</v>
      </c>
    </row>
    <row r="94" spans="1:18" x14ac:dyDescent="0.25">
      <c r="A94">
        <v>167</v>
      </c>
      <c r="B94" t="s">
        <v>27</v>
      </c>
      <c r="C94" s="16" t="str">
        <f t="shared" si="3"/>
        <v>167-WB</v>
      </c>
      <c r="D94" s="16" t="s">
        <v>157</v>
      </c>
      <c r="E94">
        <f>14+9.5+9.5</f>
        <v>33</v>
      </c>
      <c r="F94" s="17">
        <f>E94/24</f>
        <v>1.375</v>
      </c>
      <c r="G94" s="17">
        <f t="shared" si="4"/>
        <v>0.19642857142857142</v>
      </c>
      <c r="H94" t="str">
        <f>IF(E94=E95,"Yes","No")</f>
        <v>Yes</v>
      </c>
      <c r="I94" s="3">
        <v>45504</v>
      </c>
      <c r="J94" s="18">
        <f>Sheet2!B$2</f>
        <v>4.4301363636363638</v>
      </c>
      <c r="K94" t="s">
        <v>30</v>
      </c>
      <c r="L94" t="s">
        <v>40</v>
      </c>
      <c r="N94" t="s">
        <v>56</v>
      </c>
      <c r="R94" t="str">
        <f t="shared" si="5"/>
        <v>Good</v>
      </c>
    </row>
    <row r="95" spans="1:18" x14ac:dyDescent="0.25">
      <c r="A95">
        <v>167</v>
      </c>
      <c r="B95" t="s">
        <v>26</v>
      </c>
      <c r="C95" s="16" t="str">
        <f t="shared" si="3"/>
        <v>167-N</v>
      </c>
      <c r="D95" s="16" t="s">
        <v>158</v>
      </c>
      <c r="E95">
        <f>14+9.5+9.5</f>
        <v>33</v>
      </c>
      <c r="F95" s="17">
        <f>E95/24</f>
        <v>1.375</v>
      </c>
      <c r="G95" s="17">
        <f t="shared" si="4"/>
        <v>0.19642857142857142</v>
      </c>
      <c r="H95" t="str">
        <f>IF(E94=E95,"Yes","No")</f>
        <v>Yes</v>
      </c>
      <c r="I95" s="3">
        <v>45504</v>
      </c>
      <c r="J95" s="18">
        <f>Sheet2!B$2</f>
        <v>4.4301363636363638</v>
      </c>
      <c r="K95" t="s">
        <v>30</v>
      </c>
      <c r="L95" t="s">
        <v>33</v>
      </c>
      <c r="N95" t="s">
        <v>56</v>
      </c>
      <c r="R95" t="str">
        <f t="shared" si="5"/>
        <v>Good</v>
      </c>
    </row>
    <row r="96" spans="1:18" x14ac:dyDescent="0.25">
      <c r="A96">
        <v>153</v>
      </c>
      <c r="B96" t="s">
        <v>27</v>
      </c>
      <c r="C96" s="16" t="str">
        <f t="shared" si="3"/>
        <v>153-WB</v>
      </c>
      <c r="D96" s="16" t="s">
        <v>159</v>
      </c>
      <c r="E96" s="19" t="s">
        <v>35</v>
      </c>
      <c r="F96" s="20">
        <v>1</v>
      </c>
      <c r="G96" s="17">
        <f t="shared" si="4"/>
        <v>0.14285714285714285</v>
      </c>
      <c r="H96" s="5" t="s">
        <v>43</v>
      </c>
      <c r="I96" s="3">
        <v>45505</v>
      </c>
      <c r="J96" s="18">
        <f>Sheet2!B$2</f>
        <v>4.4301363636363638</v>
      </c>
      <c r="K96" t="s">
        <v>30</v>
      </c>
      <c r="L96" t="s">
        <v>52</v>
      </c>
      <c r="M96" t="s">
        <v>207</v>
      </c>
      <c r="N96" t="s">
        <v>56</v>
      </c>
      <c r="R96" t="str">
        <f t="shared" si="5"/>
        <v>Issue</v>
      </c>
    </row>
    <row r="97" spans="1:18" x14ac:dyDescent="0.25">
      <c r="A97">
        <v>153</v>
      </c>
      <c r="B97" t="s">
        <v>26</v>
      </c>
      <c r="C97" s="16" t="str">
        <f t="shared" si="3"/>
        <v>153-N</v>
      </c>
      <c r="D97" s="16" t="s">
        <v>64</v>
      </c>
      <c r="E97" s="19" t="s">
        <v>35</v>
      </c>
      <c r="F97" s="20">
        <v>1</v>
      </c>
      <c r="G97" s="17">
        <f t="shared" si="4"/>
        <v>0.14285714285714285</v>
      </c>
      <c r="H97" s="5" t="s">
        <v>43</v>
      </c>
      <c r="I97" s="3">
        <v>45505</v>
      </c>
      <c r="J97" s="18">
        <f>Sheet2!B$2</f>
        <v>4.4301363636363638</v>
      </c>
      <c r="K97" t="s">
        <v>30</v>
      </c>
      <c r="L97" t="s">
        <v>40</v>
      </c>
      <c r="M97" t="s">
        <v>207</v>
      </c>
      <c r="N97" t="s">
        <v>56</v>
      </c>
      <c r="R97" t="str">
        <f t="shared" si="5"/>
        <v>Issue</v>
      </c>
    </row>
    <row r="98" spans="1:18" x14ac:dyDescent="0.25">
      <c r="A98">
        <v>130</v>
      </c>
      <c r="B98" t="s">
        <v>26</v>
      </c>
      <c r="C98" s="16" t="str">
        <f t="shared" si="3"/>
        <v>130-N</v>
      </c>
      <c r="D98" s="16" t="s">
        <v>160</v>
      </c>
      <c r="E98">
        <f>8.5+8.5+8</f>
        <v>25</v>
      </c>
      <c r="F98" s="17">
        <f>E98/24</f>
        <v>1.0416666666666667</v>
      </c>
      <c r="G98" s="17">
        <f t="shared" si="4"/>
        <v>0.14880952380952381</v>
      </c>
      <c r="H98" t="str">
        <f>IF(E98=E99,"Yes","No")</f>
        <v>Yes</v>
      </c>
      <c r="I98" s="3">
        <v>45504</v>
      </c>
      <c r="J98" s="18">
        <f>Sheet2!B$2</f>
        <v>4.4301363636363638</v>
      </c>
      <c r="K98" t="s">
        <v>31</v>
      </c>
      <c r="L98" t="s">
        <v>52</v>
      </c>
      <c r="N98" t="s">
        <v>56</v>
      </c>
      <c r="R98" t="str">
        <f t="shared" si="5"/>
        <v>Issue</v>
      </c>
    </row>
    <row r="99" spans="1:18" x14ac:dyDescent="0.25">
      <c r="A99">
        <v>130</v>
      </c>
      <c r="B99" t="s">
        <v>27</v>
      </c>
      <c r="C99" s="16" t="str">
        <f t="shared" si="3"/>
        <v>130-WB</v>
      </c>
      <c r="D99" s="16" t="s">
        <v>161</v>
      </c>
      <c r="E99">
        <f>8.5+8.5+8</f>
        <v>25</v>
      </c>
      <c r="F99" s="17">
        <f>E99/24</f>
        <v>1.0416666666666667</v>
      </c>
      <c r="G99" s="17">
        <f t="shared" si="4"/>
        <v>0.14880952380952381</v>
      </c>
      <c r="H99" t="str">
        <f>IF(E98=E99,"Yes","No")</f>
        <v>Yes</v>
      </c>
      <c r="I99" s="3">
        <v>45504</v>
      </c>
      <c r="J99" s="18">
        <f>Sheet2!B$2</f>
        <v>4.4301363636363638</v>
      </c>
      <c r="K99" t="s">
        <v>31</v>
      </c>
      <c r="L99" t="s">
        <v>41</v>
      </c>
      <c r="N99" t="s">
        <v>56</v>
      </c>
      <c r="R99" t="str">
        <f t="shared" si="5"/>
        <v>Issue</v>
      </c>
    </row>
    <row r="100" spans="1:18" x14ac:dyDescent="0.25">
      <c r="A100">
        <v>145</v>
      </c>
      <c r="B100" t="s">
        <v>27</v>
      </c>
      <c r="C100" s="16" t="str">
        <f t="shared" si="3"/>
        <v>145-WB</v>
      </c>
      <c r="D100" s="16" t="s">
        <v>162</v>
      </c>
      <c r="E100">
        <f>9.5+8.75+9</f>
        <v>27.25</v>
      </c>
      <c r="F100" s="17">
        <f>E100/24</f>
        <v>1.1354166666666667</v>
      </c>
      <c r="G100" s="17">
        <f t="shared" si="4"/>
        <v>0.16220238095238096</v>
      </c>
      <c r="H100" t="str">
        <f>IF(E100=E101,"Yes","No")</f>
        <v>Yes</v>
      </c>
      <c r="I100" s="3">
        <v>45505</v>
      </c>
      <c r="J100" s="18">
        <f>Sheet2!B$2</f>
        <v>4.4301363636363638</v>
      </c>
      <c r="K100" t="s">
        <v>30</v>
      </c>
      <c r="L100" t="s">
        <v>40</v>
      </c>
      <c r="N100" t="s">
        <v>56</v>
      </c>
      <c r="R100" t="str">
        <f t="shared" si="5"/>
        <v>Good</v>
      </c>
    </row>
    <row r="101" spans="1:18" x14ac:dyDescent="0.25">
      <c r="A101">
        <v>145</v>
      </c>
      <c r="B101" t="s">
        <v>26</v>
      </c>
      <c r="C101" s="16" t="str">
        <f t="shared" si="3"/>
        <v>145-N</v>
      </c>
      <c r="D101" s="16" t="s">
        <v>163</v>
      </c>
      <c r="E101">
        <f>9.5+8.75+9</f>
        <v>27.25</v>
      </c>
      <c r="F101" s="17">
        <f>E101/24</f>
        <v>1.1354166666666667</v>
      </c>
      <c r="G101" s="17">
        <f t="shared" si="4"/>
        <v>0.16220238095238096</v>
      </c>
      <c r="H101" t="str">
        <f>IF(E100=E101,"Yes","No")</f>
        <v>Yes</v>
      </c>
      <c r="I101" s="3">
        <v>45505</v>
      </c>
      <c r="J101" s="18">
        <f>Sheet2!B$2</f>
        <v>4.4301363636363638</v>
      </c>
      <c r="K101" t="s">
        <v>30</v>
      </c>
      <c r="L101" t="s">
        <v>47</v>
      </c>
      <c r="N101" t="s">
        <v>56</v>
      </c>
      <c r="R101" t="str">
        <f t="shared" si="5"/>
        <v>Good</v>
      </c>
    </row>
    <row r="102" spans="1:18" x14ac:dyDescent="0.25">
      <c r="A102">
        <v>68</v>
      </c>
      <c r="B102" t="s">
        <v>27</v>
      </c>
      <c r="C102" s="16" t="str">
        <f t="shared" si="3"/>
        <v>68-WB</v>
      </c>
      <c r="D102" s="16" t="s">
        <v>164</v>
      </c>
      <c r="E102">
        <f>9+8+7</f>
        <v>24</v>
      </c>
      <c r="F102" s="17">
        <f>E102/24</f>
        <v>1</v>
      </c>
      <c r="G102" s="17">
        <f t="shared" si="4"/>
        <v>0.14285714285714285</v>
      </c>
      <c r="H102" t="str">
        <f>IF(E102=E103,"Yes","No")</f>
        <v>Yes</v>
      </c>
      <c r="I102" s="3">
        <v>45505</v>
      </c>
      <c r="J102" s="18">
        <f>Sheet2!B$2</f>
        <v>4.4301363636363638</v>
      </c>
      <c r="K102" t="s">
        <v>30</v>
      </c>
      <c r="L102" t="s">
        <v>52</v>
      </c>
      <c r="N102" t="s">
        <v>56</v>
      </c>
      <c r="R102" t="str">
        <f t="shared" si="5"/>
        <v>Good</v>
      </c>
    </row>
    <row r="103" spans="1:18" x14ac:dyDescent="0.25">
      <c r="A103">
        <v>68</v>
      </c>
      <c r="B103" t="s">
        <v>26</v>
      </c>
      <c r="C103" s="16" t="str">
        <f t="shared" si="3"/>
        <v>68-N</v>
      </c>
      <c r="D103" s="16" t="s">
        <v>165</v>
      </c>
      <c r="E103">
        <f>9+8+7</f>
        <v>24</v>
      </c>
      <c r="F103" s="17">
        <f>E103/24</f>
        <v>1</v>
      </c>
      <c r="G103" s="17">
        <f t="shared" si="4"/>
        <v>0.14285714285714285</v>
      </c>
      <c r="H103" t="str">
        <f>IF(E102=E103,"Yes","No")</f>
        <v>Yes</v>
      </c>
      <c r="I103" s="3">
        <v>45505</v>
      </c>
      <c r="J103" s="18">
        <f>Sheet2!B$2</f>
        <v>4.4301363636363638</v>
      </c>
      <c r="K103" t="s">
        <v>30</v>
      </c>
      <c r="L103" t="s">
        <v>52</v>
      </c>
      <c r="N103" t="s">
        <v>56</v>
      </c>
      <c r="R103" t="str">
        <f t="shared" si="5"/>
        <v>Good</v>
      </c>
    </row>
    <row r="104" spans="1:18" x14ac:dyDescent="0.25">
      <c r="A104">
        <v>150</v>
      </c>
      <c r="B104" t="s">
        <v>26</v>
      </c>
      <c r="C104" s="16" t="str">
        <f t="shared" si="3"/>
        <v>150-N</v>
      </c>
      <c r="D104" s="16" t="s">
        <v>166</v>
      </c>
      <c r="E104">
        <f>12+11.25+10.25</f>
        <v>33.5</v>
      </c>
      <c r="F104" s="17">
        <f>E104/24</f>
        <v>1.3958333333333333</v>
      </c>
      <c r="G104" s="17">
        <f t="shared" si="4"/>
        <v>0.19940476190476189</v>
      </c>
      <c r="H104" t="str">
        <f>IF(E104=E105,"Yes","No")</f>
        <v>Yes</v>
      </c>
      <c r="I104" s="3">
        <v>45505</v>
      </c>
      <c r="J104" s="18">
        <f>Sheet2!B$2</f>
        <v>4.4301363636363638</v>
      </c>
      <c r="K104" t="s">
        <v>30</v>
      </c>
      <c r="L104" t="s">
        <v>47</v>
      </c>
      <c r="N104" t="s">
        <v>56</v>
      </c>
      <c r="R104" t="str">
        <f t="shared" si="5"/>
        <v>Good</v>
      </c>
    </row>
    <row r="105" spans="1:18" x14ac:dyDescent="0.25">
      <c r="A105">
        <v>150</v>
      </c>
      <c r="B105" t="s">
        <v>27</v>
      </c>
      <c r="C105" s="16" t="str">
        <f t="shared" si="3"/>
        <v>150-WB</v>
      </c>
      <c r="D105" s="16" t="s">
        <v>167</v>
      </c>
      <c r="E105">
        <f>12+11.25+10.25</f>
        <v>33.5</v>
      </c>
      <c r="F105" s="17">
        <f>E105/24</f>
        <v>1.3958333333333333</v>
      </c>
      <c r="G105" s="17">
        <f t="shared" si="4"/>
        <v>0.19940476190476189</v>
      </c>
      <c r="H105" t="str">
        <f>IF(E104=E105,"Yes","No")</f>
        <v>Yes</v>
      </c>
      <c r="I105" s="3">
        <v>45505</v>
      </c>
      <c r="J105" s="18">
        <f>Sheet2!B$2</f>
        <v>4.4301363636363638</v>
      </c>
      <c r="K105" t="s">
        <v>30</v>
      </c>
      <c r="L105" t="s">
        <v>40</v>
      </c>
      <c r="N105" t="s">
        <v>56</v>
      </c>
      <c r="R105" t="str">
        <f t="shared" si="5"/>
        <v>Good</v>
      </c>
    </row>
    <row r="106" spans="1:18" x14ac:dyDescent="0.25">
      <c r="A106">
        <v>157</v>
      </c>
      <c r="B106" t="s">
        <v>27</v>
      </c>
      <c r="C106" s="16" t="str">
        <f t="shared" si="3"/>
        <v>157-WB</v>
      </c>
      <c r="D106" s="16" t="s">
        <v>168</v>
      </c>
      <c r="E106">
        <f>8+8+9.17</f>
        <v>25.17</v>
      </c>
      <c r="F106" s="17">
        <f>E106/24</f>
        <v>1.0487500000000001</v>
      </c>
      <c r="G106" s="17">
        <f t="shared" si="4"/>
        <v>0.14982142857142858</v>
      </c>
      <c r="H106" t="str">
        <f>IF(E106=E107,"Yes","No")</f>
        <v>Yes</v>
      </c>
      <c r="I106" s="3">
        <v>45505</v>
      </c>
      <c r="J106" s="18">
        <f>Sheet2!B$2</f>
        <v>4.4301363636363638</v>
      </c>
      <c r="K106" t="s">
        <v>30</v>
      </c>
      <c r="L106" t="s">
        <v>40</v>
      </c>
      <c r="N106" t="s">
        <v>56</v>
      </c>
      <c r="R106" t="str">
        <f t="shared" si="5"/>
        <v>Good</v>
      </c>
    </row>
    <row r="107" spans="1:18" x14ac:dyDescent="0.25">
      <c r="A107">
        <v>157</v>
      </c>
      <c r="B107" t="s">
        <v>26</v>
      </c>
      <c r="C107" s="16" t="str">
        <f t="shared" si="3"/>
        <v>157-N</v>
      </c>
      <c r="D107" s="16" t="s">
        <v>169</v>
      </c>
      <c r="E107">
        <f>8+8+9.17</f>
        <v>25.17</v>
      </c>
      <c r="F107" s="17">
        <f>E107/24</f>
        <v>1.0487500000000001</v>
      </c>
      <c r="G107" s="17">
        <f t="shared" si="4"/>
        <v>0.14982142857142858</v>
      </c>
      <c r="H107" t="str">
        <f>IF(E106=E107,"Yes","No")</f>
        <v>Yes</v>
      </c>
      <c r="I107" s="3">
        <v>45505</v>
      </c>
      <c r="J107" s="18">
        <f>Sheet2!B$2</f>
        <v>4.4301363636363638</v>
      </c>
      <c r="K107" t="s">
        <v>30</v>
      </c>
      <c r="L107" t="s">
        <v>33</v>
      </c>
      <c r="N107" t="s">
        <v>56</v>
      </c>
      <c r="R107" t="str">
        <f t="shared" si="5"/>
        <v>Good</v>
      </c>
    </row>
    <row r="108" spans="1:18" x14ac:dyDescent="0.25">
      <c r="A108">
        <v>168</v>
      </c>
      <c r="B108" t="s">
        <v>27</v>
      </c>
      <c r="C108" s="16" t="str">
        <f t="shared" si="3"/>
        <v>168-WB</v>
      </c>
      <c r="D108" s="16" t="s">
        <v>170</v>
      </c>
      <c r="E108">
        <f>8.5+9+9</f>
        <v>26.5</v>
      </c>
      <c r="F108" s="17">
        <f>E108/24</f>
        <v>1.1041666666666667</v>
      </c>
      <c r="G108" s="17">
        <f t="shared" si="4"/>
        <v>0.15773809523809526</v>
      </c>
      <c r="H108" t="str">
        <f>IF(E108=E109,"Yes","No")</f>
        <v>Yes</v>
      </c>
      <c r="I108" s="3">
        <v>45505</v>
      </c>
      <c r="J108" s="18">
        <f>Sheet2!B$2</f>
        <v>4.4301363636363638</v>
      </c>
      <c r="K108" t="s">
        <v>30</v>
      </c>
      <c r="L108" t="s">
        <v>40</v>
      </c>
      <c r="N108" t="s">
        <v>56</v>
      </c>
      <c r="R108" t="str">
        <f t="shared" si="5"/>
        <v>Good</v>
      </c>
    </row>
    <row r="109" spans="1:18" x14ac:dyDescent="0.25">
      <c r="A109">
        <v>168</v>
      </c>
      <c r="B109" t="s">
        <v>26</v>
      </c>
      <c r="C109" s="16" t="str">
        <f t="shared" si="3"/>
        <v>168-N</v>
      </c>
      <c r="D109" s="16" t="s">
        <v>171</v>
      </c>
      <c r="E109">
        <f>8.5+9+9</f>
        <v>26.5</v>
      </c>
      <c r="F109" s="17">
        <f>E109/24</f>
        <v>1.1041666666666667</v>
      </c>
      <c r="G109" s="17">
        <f t="shared" si="4"/>
        <v>0.15773809523809526</v>
      </c>
      <c r="H109" t="str">
        <f>IF(E108=E109,"Yes","No")</f>
        <v>Yes</v>
      </c>
      <c r="I109" s="3">
        <v>45505</v>
      </c>
      <c r="J109" s="18">
        <f>Sheet2!B$2</f>
        <v>4.4301363636363638</v>
      </c>
      <c r="K109" t="s">
        <v>30</v>
      </c>
      <c r="L109" t="s">
        <v>52</v>
      </c>
      <c r="N109" t="s">
        <v>56</v>
      </c>
      <c r="R109" t="str">
        <f t="shared" si="5"/>
        <v>Good</v>
      </c>
    </row>
    <row r="110" spans="1:18" x14ac:dyDescent="0.25">
      <c r="A110">
        <v>80</v>
      </c>
      <c r="B110" t="s">
        <v>26</v>
      </c>
      <c r="C110" s="16" t="str">
        <f t="shared" si="3"/>
        <v>80-N</v>
      </c>
      <c r="D110" s="16" t="s">
        <v>172</v>
      </c>
      <c r="E110">
        <f>8+7.5+8</f>
        <v>23.5</v>
      </c>
      <c r="F110" s="17">
        <f>E110/24</f>
        <v>0.97916666666666663</v>
      </c>
      <c r="G110" s="17">
        <f t="shared" si="4"/>
        <v>0.13988095238095238</v>
      </c>
      <c r="H110" t="str">
        <f>IF(E110=E111,"Yes","No")</f>
        <v>Yes</v>
      </c>
      <c r="I110" s="3">
        <v>45507</v>
      </c>
      <c r="J110" s="18">
        <f>Sheet2!B$2</f>
        <v>4.4301363636363638</v>
      </c>
      <c r="K110" t="s">
        <v>31</v>
      </c>
      <c r="L110" t="s">
        <v>52</v>
      </c>
      <c r="M110" t="s">
        <v>53</v>
      </c>
      <c r="N110" t="s">
        <v>56</v>
      </c>
      <c r="R110" t="str">
        <f t="shared" si="5"/>
        <v>Issue</v>
      </c>
    </row>
    <row r="111" spans="1:18" x14ac:dyDescent="0.25">
      <c r="A111">
        <v>80</v>
      </c>
      <c r="B111" t="s">
        <v>27</v>
      </c>
      <c r="C111" s="16" t="str">
        <f t="shared" si="3"/>
        <v>80-WB</v>
      </c>
      <c r="D111" s="16" t="s">
        <v>173</v>
      </c>
      <c r="E111">
        <f>8+7.5+8</f>
        <v>23.5</v>
      </c>
      <c r="F111" s="17">
        <f>E111/24</f>
        <v>0.97916666666666663</v>
      </c>
      <c r="G111" s="17">
        <f t="shared" si="4"/>
        <v>0.13988095238095238</v>
      </c>
      <c r="H111" t="str">
        <f>IF(E110=E111,"Yes","No")</f>
        <v>Yes</v>
      </c>
      <c r="I111" s="3">
        <v>45507</v>
      </c>
      <c r="J111" s="18">
        <f>Sheet2!B$2</f>
        <v>4.4301363636363638</v>
      </c>
      <c r="K111" t="s">
        <v>30</v>
      </c>
      <c r="L111" t="s">
        <v>40</v>
      </c>
      <c r="M111" t="s">
        <v>53</v>
      </c>
      <c r="N111" t="s">
        <v>56</v>
      </c>
      <c r="R111" t="str">
        <f t="shared" si="5"/>
        <v>Good</v>
      </c>
    </row>
    <row r="112" spans="1:18" x14ac:dyDescent="0.25">
      <c r="A112">
        <v>102</v>
      </c>
      <c r="B112" t="s">
        <v>27</v>
      </c>
      <c r="C112" s="16" t="str">
        <f t="shared" si="3"/>
        <v>102-WB</v>
      </c>
      <c r="D112" s="16" t="s">
        <v>174</v>
      </c>
      <c r="E112">
        <f>13+14+12</f>
        <v>39</v>
      </c>
      <c r="F112" s="17">
        <f>E112/24</f>
        <v>1.625</v>
      </c>
      <c r="G112" s="17">
        <f t="shared" si="4"/>
        <v>0.23214285714285715</v>
      </c>
      <c r="H112" t="str">
        <f>IF(E112=E113,"Yes","No")</f>
        <v>Yes</v>
      </c>
      <c r="I112" s="3">
        <v>45507</v>
      </c>
      <c r="J112" s="18">
        <f>Sheet2!B$2</f>
        <v>4.4301363636363638</v>
      </c>
      <c r="K112" t="s">
        <v>30</v>
      </c>
      <c r="L112" t="s">
        <v>41</v>
      </c>
      <c r="N112" t="s">
        <v>56</v>
      </c>
      <c r="R112" t="str">
        <f t="shared" si="5"/>
        <v>Good</v>
      </c>
    </row>
    <row r="113" spans="1:18" x14ac:dyDescent="0.25">
      <c r="A113">
        <v>102</v>
      </c>
      <c r="B113" t="s">
        <v>26</v>
      </c>
      <c r="C113" s="16" t="str">
        <f t="shared" si="3"/>
        <v>102-N</v>
      </c>
      <c r="D113" s="16" t="s">
        <v>175</v>
      </c>
      <c r="E113">
        <f>13+14+12</f>
        <v>39</v>
      </c>
      <c r="F113" s="17">
        <f>E113/24</f>
        <v>1.625</v>
      </c>
      <c r="G113" s="17">
        <f t="shared" si="4"/>
        <v>0.23214285714285715</v>
      </c>
      <c r="H113" t="str">
        <f>IF(E112=E113,"Yes","No")</f>
        <v>Yes</v>
      </c>
      <c r="I113" s="3">
        <v>45507</v>
      </c>
      <c r="J113" s="18">
        <f>Sheet2!B$2</f>
        <v>4.4301363636363638</v>
      </c>
      <c r="K113" t="s">
        <v>30</v>
      </c>
      <c r="L113" t="s">
        <v>52</v>
      </c>
      <c r="N113" t="s">
        <v>56</v>
      </c>
      <c r="R113" t="str">
        <f t="shared" si="5"/>
        <v>Good</v>
      </c>
    </row>
    <row r="114" spans="1:18" x14ac:dyDescent="0.25">
      <c r="A114">
        <v>180</v>
      </c>
      <c r="B114" t="s">
        <v>26</v>
      </c>
      <c r="C114" s="16" t="str">
        <f t="shared" si="3"/>
        <v>180-N</v>
      </c>
      <c r="D114" s="16" t="s">
        <v>176</v>
      </c>
      <c r="E114">
        <f>14.5+13.5+9</f>
        <v>37</v>
      </c>
      <c r="F114" s="17">
        <f>E114/24</f>
        <v>1.5416666666666667</v>
      </c>
      <c r="G114" s="17">
        <f t="shared" si="4"/>
        <v>0.22023809523809526</v>
      </c>
      <c r="H114" t="str">
        <f>IF(E114=E115,"Yes","No")</f>
        <v>Yes</v>
      </c>
      <c r="I114" s="3">
        <v>45507</v>
      </c>
      <c r="J114" s="18">
        <f>Sheet2!B$2</f>
        <v>4.4301363636363638</v>
      </c>
      <c r="K114" t="s">
        <v>30</v>
      </c>
      <c r="L114" t="s">
        <v>52</v>
      </c>
      <c r="N114" t="s">
        <v>56</v>
      </c>
      <c r="R114" t="str">
        <f t="shared" si="5"/>
        <v>Good</v>
      </c>
    </row>
    <row r="115" spans="1:18" x14ac:dyDescent="0.25">
      <c r="A115">
        <v>180</v>
      </c>
      <c r="B115" t="s">
        <v>27</v>
      </c>
      <c r="C115" s="16" t="str">
        <f t="shared" si="3"/>
        <v>180-WB</v>
      </c>
      <c r="D115" s="16" t="s">
        <v>177</v>
      </c>
      <c r="E115">
        <f>14.5+13.5+9</f>
        <v>37</v>
      </c>
      <c r="F115" s="17">
        <f>E115/24</f>
        <v>1.5416666666666667</v>
      </c>
      <c r="G115" s="17">
        <f t="shared" si="4"/>
        <v>0.22023809523809526</v>
      </c>
      <c r="H115" t="str">
        <f>IF(E114=E115,"Yes","No")</f>
        <v>Yes</v>
      </c>
      <c r="I115" s="3">
        <v>45507</v>
      </c>
      <c r="J115" s="18">
        <f>Sheet2!B$2</f>
        <v>4.4301363636363638</v>
      </c>
      <c r="K115" t="s">
        <v>30</v>
      </c>
      <c r="L115" t="s">
        <v>40</v>
      </c>
      <c r="N115" t="s">
        <v>56</v>
      </c>
      <c r="R115" t="str">
        <f t="shared" si="5"/>
        <v>Good</v>
      </c>
    </row>
    <row r="116" spans="1:18" x14ac:dyDescent="0.25">
      <c r="A116">
        <v>54</v>
      </c>
      <c r="B116" t="s">
        <v>27</v>
      </c>
      <c r="C116" s="16" t="str">
        <f t="shared" si="3"/>
        <v>54-WB</v>
      </c>
      <c r="D116" s="16" t="s">
        <v>178</v>
      </c>
      <c r="E116">
        <f>11+8+10</f>
        <v>29</v>
      </c>
      <c r="F116" s="17">
        <f>E116/24</f>
        <v>1.2083333333333333</v>
      </c>
      <c r="G116" s="17">
        <f t="shared" si="4"/>
        <v>0.17261904761904762</v>
      </c>
      <c r="H116" t="str">
        <f>IF(E116=E117,"Yes","No")</f>
        <v>Yes</v>
      </c>
      <c r="I116" s="3">
        <v>45507</v>
      </c>
      <c r="J116" s="18">
        <f>Sheet2!B$2</f>
        <v>4.4301363636363638</v>
      </c>
      <c r="K116" t="s">
        <v>30</v>
      </c>
      <c r="L116" t="s">
        <v>52</v>
      </c>
      <c r="N116" t="s">
        <v>56</v>
      </c>
      <c r="R116" t="str">
        <f t="shared" si="5"/>
        <v>Good</v>
      </c>
    </row>
    <row r="117" spans="1:18" x14ac:dyDescent="0.25">
      <c r="A117">
        <v>54</v>
      </c>
      <c r="B117" t="s">
        <v>26</v>
      </c>
      <c r="C117" s="16" t="str">
        <f t="shared" si="3"/>
        <v>54-N</v>
      </c>
      <c r="D117" s="16" t="s">
        <v>179</v>
      </c>
      <c r="E117">
        <f>11+8+10</f>
        <v>29</v>
      </c>
      <c r="F117" s="17">
        <f>E117/24</f>
        <v>1.2083333333333333</v>
      </c>
      <c r="G117" s="17">
        <f t="shared" si="4"/>
        <v>0.17261904761904762</v>
      </c>
      <c r="H117" t="str">
        <f>IF(E116=E117,"Yes","No")</f>
        <v>Yes</v>
      </c>
      <c r="I117" s="3">
        <v>45507</v>
      </c>
      <c r="J117" s="18">
        <f>Sheet2!B$2</f>
        <v>4.4301363636363638</v>
      </c>
      <c r="K117" t="s">
        <v>30</v>
      </c>
      <c r="L117" t="s">
        <v>34</v>
      </c>
      <c r="N117" t="s">
        <v>56</v>
      </c>
      <c r="R117" t="str">
        <f t="shared" si="5"/>
        <v>Good</v>
      </c>
    </row>
    <row r="118" spans="1:18" x14ac:dyDescent="0.25">
      <c r="A118">
        <v>104</v>
      </c>
      <c r="B118" t="s">
        <v>27</v>
      </c>
      <c r="C118" s="16" t="str">
        <f t="shared" si="3"/>
        <v>104-WB</v>
      </c>
      <c r="D118" s="16" t="s">
        <v>180</v>
      </c>
      <c r="E118">
        <f>13+14+12</f>
        <v>39</v>
      </c>
      <c r="F118" s="17">
        <f>E118/24</f>
        <v>1.625</v>
      </c>
      <c r="G118" s="17">
        <f t="shared" si="4"/>
        <v>0.23214285714285715</v>
      </c>
      <c r="H118" t="str">
        <f>IF(E118=E119,"Yes","No")</f>
        <v>Yes</v>
      </c>
      <c r="I118" s="3">
        <v>45507</v>
      </c>
      <c r="J118" s="18">
        <f>Sheet2!B$2</f>
        <v>4.4301363636363638</v>
      </c>
      <c r="K118" t="s">
        <v>30</v>
      </c>
      <c r="L118" t="s">
        <v>41</v>
      </c>
      <c r="N118" t="s">
        <v>56</v>
      </c>
      <c r="R118" t="str">
        <f t="shared" si="5"/>
        <v>Good</v>
      </c>
    </row>
    <row r="119" spans="1:18" x14ac:dyDescent="0.25">
      <c r="A119">
        <v>104</v>
      </c>
      <c r="B119" t="s">
        <v>26</v>
      </c>
      <c r="C119" s="16" t="str">
        <f t="shared" si="3"/>
        <v>104-N</v>
      </c>
      <c r="D119" s="16" t="s">
        <v>181</v>
      </c>
      <c r="E119">
        <f>13+14+12</f>
        <v>39</v>
      </c>
      <c r="F119" s="17">
        <f>E119/24</f>
        <v>1.625</v>
      </c>
      <c r="G119" s="17">
        <f t="shared" si="4"/>
        <v>0.23214285714285715</v>
      </c>
      <c r="H119" t="str">
        <f>IF(E118=E119,"Yes","No")</f>
        <v>Yes</v>
      </c>
      <c r="I119" s="3">
        <v>45507</v>
      </c>
      <c r="J119" s="18">
        <f>Sheet2!B$2</f>
        <v>4.4301363636363638</v>
      </c>
      <c r="K119" t="s">
        <v>30</v>
      </c>
      <c r="L119" t="s">
        <v>47</v>
      </c>
      <c r="N119" t="s">
        <v>56</v>
      </c>
      <c r="R119" t="str">
        <f t="shared" si="5"/>
        <v>Good</v>
      </c>
    </row>
    <row r="120" spans="1:18" x14ac:dyDescent="0.25">
      <c r="A120">
        <v>100</v>
      </c>
      <c r="B120" t="s">
        <v>27</v>
      </c>
      <c r="C120" s="16" t="str">
        <f t="shared" si="3"/>
        <v>100-WB</v>
      </c>
      <c r="D120" s="16" t="s">
        <v>182</v>
      </c>
      <c r="E120">
        <f>8.5+15+10</f>
        <v>33.5</v>
      </c>
      <c r="F120" s="17">
        <f>E120/24</f>
        <v>1.3958333333333333</v>
      </c>
      <c r="G120" s="17">
        <f t="shared" si="4"/>
        <v>0.19940476190476189</v>
      </c>
      <c r="H120" t="str">
        <f>IF(E120=E121,"Yes","No")</f>
        <v>Yes</v>
      </c>
      <c r="I120" s="3">
        <v>45507</v>
      </c>
      <c r="J120" s="18">
        <f>Sheet2!B$2</f>
        <v>4.4301363636363638</v>
      </c>
      <c r="K120" t="s">
        <v>30</v>
      </c>
      <c r="L120" t="s">
        <v>40</v>
      </c>
      <c r="N120" t="s">
        <v>56</v>
      </c>
      <c r="R120" t="str">
        <f t="shared" si="5"/>
        <v>Good</v>
      </c>
    </row>
    <row r="121" spans="1:18" x14ac:dyDescent="0.25">
      <c r="A121">
        <v>100</v>
      </c>
      <c r="B121" t="s">
        <v>26</v>
      </c>
      <c r="C121" s="16" t="str">
        <f t="shared" si="3"/>
        <v>100-N</v>
      </c>
      <c r="D121" s="16" t="s">
        <v>183</v>
      </c>
      <c r="E121">
        <f>8.5+15+10</f>
        <v>33.5</v>
      </c>
      <c r="F121" s="17">
        <f>E121/24</f>
        <v>1.3958333333333333</v>
      </c>
      <c r="G121" s="17">
        <f t="shared" si="4"/>
        <v>0.19940476190476189</v>
      </c>
      <c r="H121" t="str">
        <f>IF(E120=E121,"Yes","No")</f>
        <v>Yes</v>
      </c>
      <c r="I121" s="3">
        <v>45507</v>
      </c>
      <c r="J121" s="18">
        <f>Sheet2!B$2</f>
        <v>4.4301363636363638</v>
      </c>
      <c r="K121" t="s">
        <v>30</v>
      </c>
      <c r="L121" t="s">
        <v>47</v>
      </c>
      <c r="N121" t="s">
        <v>56</v>
      </c>
      <c r="R121" t="str">
        <f t="shared" si="5"/>
        <v>Good</v>
      </c>
    </row>
    <row r="122" spans="1:18" x14ac:dyDescent="0.25">
      <c r="A122">
        <v>131</v>
      </c>
      <c r="B122" t="s">
        <v>26</v>
      </c>
      <c r="C122" s="16" t="str">
        <f t="shared" si="3"/>
        <v>131-N</v>
      </c>
      <c r="D122" s="16" t="s">
        <v>184</v>
      </c>
      <c r="E122">
        <f>8+8+12</f>
        <v>28</v>
      </c>
      <c r="F122" s="17">
        <f>E122/24</f>
        <v>1.1666666666666667</v>
      </c>
      <c r="G122" s="17">
        <f t="shared" si="4"/>
        <v>0.16666666666666669</v>
      </c>
      <c r="H122" t="str">
        <f>IF(E122=E123,"Yes","No")</f>
        <v>Yes</v>
      </c>
      <c r="I122" s="3">
        <v>45507</v>
      </c>
      <c r="J122" s="18">
        <f>Sheet2!B$2</f>
        <v>4.4301363636363638</v>
      </c>
      <c r="K122" t="s">
        <v>31</v>
      </c>
      <c r="L122" t="s">
        <v>47</v>
      </c>
      <c r="M122" t="s">
        <v>54</v>
      </c>
      <c r="N122" t="s">
        <v>56</v>
      </c>
      <c r="R122" t="str">
        <f t="shared" si="5"/>
        <v>Issue</v>
      </c>
    </row>
    <row r="123" spans="1:18" x14ac:dyDescent="0.25">
      <c r="A123">
        <v>131</v>
      </c>
      <c r="B123" t="s">
        <v>27</v>
      </c>
      <c r="C123" s="16" t="str">
        <f t="shared" si="3"/>
        <v>131-WB</v>
      </c>
      <c r="D123" s="16" t="s">
        <v>185</v>
      </c>
      <c r="E123">
        <f>8+8+12</f>
        <v>28</v>
      </c>
      <c r="F123" s="17">
        <f>E123/24</f>
        <v>1.1666666666666667</v>
      </c>
      <c r="G123" s="17">
        <f t="shared" si="4"/>
        <v>0.16666666666666669</v>
      </c>
      <c r="H123" t="str">
        <f>IF(E122=E123,"Yes","No")</f>
        <v>Yes</v>
      </c>
      <c r="I123" s="3">
        <v>45507</v>
      </c>
      <c r="J123" s="18">
        <f>Sheet2!B$2</f>
        <v>4.4301363636363638</v>
      </c>
      <c r="K123" t="s">
        <v>30</v>
      </c>
      <c r="L123" t="s">
        <v>41</v>
      </c>
      <c r="N123" t="s">
        <v>56</v>
      </c>
      <c r="R123" t="str">
        <f t="shared" si="5"/>
        <v>Good</v>
      </c>
    </row>
    <row r="124" spans="1:18" x14ac:dyDescent="0.25">
      <c r="A124">
        <v>51</v>
      </c>
      <c r="B124" t="s">
        <v>27</v>
      </c>
      <c r="C124" s="16" t="str">
        <f t="shared" si="3"/>
        <v>51-WB</v>
      </c>
      <c r="D124" s="16" t="s">
        <v>186</v>
      </c>
      <c r="E124">
        <f>8+11+8</f>
        <v>27</v>
      </c>
      <c r="F124" s="17">
        <f>E124/24</f>
        <v>1.125</v>
      </c>
      <c r="G124" s="17">
        <f t="shared" si="4"/>
        <v>0.16071428571428573</v>
      </c>
      <c r="H124" t="str">
        <f>IF(E124=E125,"Yes","No")</f>
        <v>Yes</v>
      </c>
      <c r="I124" s="3">
        <v>45507</v>
      </c>
      <c r="J124" s="18">
        <f>Sheet2!B$2</f>
        <v>4.4301363636363638</v>
      </c>
      <c r="K124" t="s">
        <v>30</v>
      </c>
      <c r="L124" t="s">
        <v>34</v>
      </c>
      <c r="N124" t="s">
        <v>56</v>
      </c>
      <c r="R124" t="str">
        <f t="shared" si="5"/>
        <v>Good</v>
      </c>
    </row>
    <row r="125" spans="1:18" x14ac:dyDescent="0.25">
      <c r="A125">
        <v>51</v>
      </c>
      <c r="B125" t="s">
        <v>26</v>
      </c>
      <c r="C125" s="16" t="str">
        <f t="shared" si="3"/>
        <v>51-N</v>
      </c>
      <c r="D125" s="16" t="s">
        <v>187</v>
      </c>
      <c r="E125">
        <f>8+11+8</f>
        <v>27</v>
      </c>
      <c r="F125" s="17">
        <f>E125/24</f>
        <v>1.125</v>
      </c>
      <c r="G125" s="17">
        <f t="shared" si="4"/>
        <v>0.16071428571428573</v>
      </c>
      <c r="H125" t="str">
        <f>IF(E124=E125,"Yes","No")</f>
        <v>Yes</v>
      </c>
      <c r="I125" s="3">
        <v>45507</v>
      </c>
      <c r="J125" s="18">
        <f>Sheet2!B$2</f>
        <v>4.4301363636363638</v>
      </c>
      <c r="K125" t="s">
        <v>30</v>
      </c>
      <c r="L125" t="s">
        <v>52</v>
      </c>
      <c r="N125" t="s">
        <v>56</v>
      </c>
      <c r="R125" t="str">
        <f t="shared" si="5"/>
        <v>Good</v>
      </c>
    </row>
    <row r="126" spans="1:18" x14ac:dyDescent="0.25">
      <c r="A126">
        <v>179</v>
      </c>
      <c r="B126" t="s">
        <v>27</v>
      </c>
      <c r="C126" s="16" t="str">
        <f t="shared" si="3"/>
        <v>179-WB</v>
      </c>
      <c r="D126" s="16" t="s">
        <v>188</v>
      </c>
      <c r="E126">
        <f>14.5+13.5+9</f>
        <v>37</v>
      </c>
      <c r="F126" s="17">
        <f>E126/24</f>
        <v>1.5416666666666667</v>
      </c>
      <c r="G126" s="17">
        <f t="shared" si="4"/>
        <v>0.22023809523809526</v>
      </c>
      <c r="H126" t="str">
        <f>IF(E126=E127,"Yes","No")</f>
        <v>Yes</v>
      </c>
      <c r="I126" s="3">
        <v>45507</v>
      </c>
      <c r="J126" s="18">
        <f>Sheet2!B$2</f>
        <v>4.4301363636363638</v>
      </c>
      <c r="K126" t="s">
        <v>30</v>
      </c>
      <c r="L126" t="s">
        <v>40</v>
      </c>
      <c r="N126" t="s">
        <v>56</v>
      </c>
      <c r="R126" t="str">
        <f t="shared" si="5"/>
        <v>Good</v>
      </c>
    </row>
    <row r="127" spans="1:18" x14ac:dyDescent="0.25">
      <c r="A127">
        <v>179</v>
      </c>
      <c r="B127" t="s">
        <v>26</v>
      </c>
      <c r="C127" s="16" t="str">
        <f t="shared" si="3"/>
        <v>179-N</v>
      </c>
      <c r="D127" s="16" t="s">
        <v>189</v>
      </c>
      <c r="E127">
        <f>14.5+13.5+9</f>
        <v>37</v>
      </c>
      <c r="F127" s="17">
        <f>E127/24</f>
        <v>1.5416666666666667</v>
      </c>
      <c r="G127" s="17">
        <f t="shared" si="4"/>
        <v>0.22023809523809526</v>
      </c>
      <c r="H127" t="str">
        <f>IF(E126=E127,"Yes","No")</f>
        <v>Yes</v>
      </c>
      <c r="I127" s="3">
        <v>45507</v>
      </c>
      <c r="J127" s="18">
        <f>Sheet2!B$2</f>
        <v>4.4301363636363638</v>
      </c>
      <c r="K127" t="s">
        <v>30</v>
      </c>
      <c r="L127" t="s">
        <v>33</v>
      </c>
      <c r="N127" t="s">
        <v>56</v>
      </c>
      <c r="R127" t="str">
        <f t="shared" si="5"/>
        <v>Good</v>
      </c>
    </row>
    <row r="128" spans="1:18" x14ac:dyDescent="0.25">
      <c r="A128">
        <v>154</v>
      </c>
      <c r="B128" t="s">
        <v>26</v>
      </c>
      <c r="C128" s="16" t="str">
        <f t="shared" si="3"/>
        <v>154-N</v>
      </c>
      <c r="D128" s="16" t="s">
        <v>190</v>
      </c>
      <c r="E128">
        <f>10+8+8.67</f>
        <v>26.67</v>
      </c>
      <c r="F128" s="17">
        <f>E128/24</f>
        <v>1.1112500000000001</v>
      </c>
      <c r="G128" s="17">
        <f t="shared" si="4"/>
        <v>0.15875</v>
      </c>
      <c r="H128" t="str">
        <f>IF(E128=E129,"Yes","No")</f>
        <v>No</v>
      </c>
      <c r="I128" s="3">
        <v>45510</v>
      </c>
      <c r="J128" s="18">
        <f>Sheet2!B$2</f>
        <v>4.4301363636363638</v>
      </c>
      <c r="K128" t="s">
        <v>30</v>
      </c>
      <c r="L128" t="s">
        <v>52</v>
      </c>
      <c r="N128" t="s">
        <v>56</v>
      </c>
      <c r="R128" t="str">
        <f t="shared" si="5"/>
        <v>Issue</v>
      </c>
    </row>
    <row r="129" spans="1:18" x14ac:dyDescent="0.25">
      <c r="A129">
        <v>154</v>
      </c>
      <c r="B129" t="s">
        <v>27</v>
      </c>
      <c r="C129" s="16" t="str">
        <f t="shared" si="3"/>
        <v>154-WB</v>
      </c>
      <c r="D129" s="16" t="s">
        <v>191</v>
      </c>
      <c r="E129">
        <f>12+8+8.67</f>
        <v>28.67</v>
      </c>
      <c r="F129" s="17">
        <f>E129/24</f>
        <v>1.1945833333333333</v>
      </c>
      <c r="G129" s="17">
        <f t="shared" si="4"/>
        <v>0.17065476190476189</v>
      </c>
      <c r="H129" t="str">
        <f>IF(E128=E129,"Yes","No")</f>
        <v>No</v>
      </c>
      <c r="I129" s="3">
        <v>45510</v>
      </c>
      <c r="J129" s="18">
        <f>Sheet2!B$2</f>
        <v>4.4301363636363638</v>
      </c>
      <c r="K129" t="s">
        <v>30</v>
      </c>
      <c r="L129" t="s">
        <v>40</v>
      </c>
      <c r="N129" t="s">
        <v>56</v>
      </c>
      <c r="R129" t="str">
        <f t="shared" si="5"/>
        <v>Issue</v>
      </c>
    </row>
    <row r="130" spans="1:18" x14ac:dyDescent="0.25">
      <c r="A130">
        <v>144</v>
      </c>
      <c r="B130" t="s">
        <v>27</v>
      </c>
      <c r="C130" s="16" t="str">
        <f t="shared" si="3"/>
        <v>144-WB</v>
      </c>
      <c r="D130" s="16" t="s">
        <v>192</v>
      </c>
      <c r="E130">
        <f>24+24+22</f>
        <v>70</v>
      </c>
      <c r="F130" s="17">
        <f>E130/24</f>
        <v>2.9166666666666665</v>
      </c>
      <c r="G130" s="17">
        <f t="shared" si="4"/>
        <v>0.41666666666666663</v>
      </c>
      <c r="H130" t="str">
        <f>IF(E130=E131,"Yes","No")</f>
        <v>Yes</v>
      </c>
      <c r="I130" s="3">
        <v>45510</v>
      </c>
      <c r="J130" s="18">
        <f>Sheet2!B$2</f>
        <v>4.4301363636363638</v>
      </c>
      <c r="K130" t="s">
        <v>30</v>
      </c>
      <c r="L130" t="s">
        <v>40</v>
      </c>
      <c r="N130" t="s">
        <v>56</v>
      </c>
      <c r="R130" t="str">
        <f t="shared" si="5"/>
        <v>Good</v>
      </c>
    </row>
    <row r="131" spans="1:18" x14ac:dyDescent="0.25">
      <c r="A131">
        <v>144</v>
      </c>
      <c r="B131" t="s">
        <v>26</v>
      </c>
      <c r="C131" s="16" t="str">
        <f t="shared" ref="C131:C177" si="6">_xlfn.CONCAT(A131,(IF(B131="necklace","-N","-WB")))</f>
        <v>144-N</v>
      </c>
      <c r="D131" s="16" t="s">
        <v>193</v>
      </c>
      <c r="E131">
        <f>24+24+22</f>
        <v>70</v>
      </c>
      <c r="F131" s="17">
        <f>E131/24</f>
        <v>2.9166666666666665</v>
      </c>
      <c r="G131" s="17">
        <f t="shared" ref="G131:G177" si="7">+F131/7</f>
        <v>0.41666666666666663</v>
      </c>
      <c r="H131" t="str">
        <f>IF(E130=E131,"Yes","No")</f>
        <v>Yes</v>
      </c>
      <c r="I131" s="3">
        <v>45510</v>
      </c>
      <c r="J131" s="18">
        <f>Sheet2!B$2</f>
        <v>4.4301363636363638</v>
      </c>
      <c r="K131" t="s">
        <v>30</v>
      </c>
      <c r="L131" t="s">
        <v>47</v>
      </c>
      <c r="N131" t="s">
        <v>56</v>
      </c>
      <c r="R131" t="str">
        <f t="shared" si="5"/>
        <v>Good</v>
      </c>
    </row>
    <row r="132" spans="1:18" x14ac:dyDescent="0.25">
      <c r="A132">
        <v>165</v>
      </c>
      <c r="B132" t="s">
        <v>26</v>
      </c>
      <c r="C132" s="16" t="str">
        <f t="shared" si="6"/>
        <v>165-N</v>
      </c>
      <c r="D132" s="16" t="s">
        <v>194</v>
      </c>
      <c r="E132">
        <f>10+9+15</f>
        <v>34</v>
      </c>
      <c r="F132" s="17">
        <f>E132/24</f>
        <v>1.4166666666666667</v>
      </c>
      <c r="G132" s="17">
        <f t="shared" si="7"/>
        <v>0.20238095238095238</v>
      </c>
      <c r="H132" t="str">
        <f>IF(E132=E133,"Yes","No")</f>
        <v>Yes</v>
      </c>
      <c r="I132" s="3">
        <v>45510</v>
      </c>
      <c r="J132" s="18">
        <f>Sheet2!B$2</f>
        <v>4.4301363636363638</v>
      </c>
      <c r="K132" t="s">
        <v>30</v>
      </c>
      <c r="L132" t="s">
        <v>33</v>
      </c>
      <c r="N132" t="s">
        <v>56</v>
      </c>
      <c r="R132" t="str">
        <f t="shared" si="5"/>
        <v>Good</v>
      </c>
    </row>
    <row r="133" spans="1:18" x14ac:dyDescent="0.25">
      <c r="A133">
        <v>165</v>
      </c>
      <c r="B133" t="s">
        <v>27</v>
      </c>
      <c r="C133" s="16" t="str">
        <f t="shared" si="6"/>
        <v>165-WB</v>
      </c>
      <c r="D133" s="16" t="s">
        <v>195</v>
      </c>
      <c r="E133">
        <f>10+9+15</f>
        <v>34</v>
      </c>
      <c r="F133" s="17">
        <f>E133/24</f>
        <v>1.4166666666666667</v>
      </c>
      <c r="G133" s="17">
        <f t="shared" si="7"/>
        <v>0.20238095238095238</v>
      </c>
      <c r="H133" t="str">
        <f>IF(E132=E133,"Yes","No")</f>
        <v>Yes</v>
      </c>
      <c r="I133" s="3">
        <v>45510</v>
      </c>
      <c r="J133" s="18">
        <f>Sheet2!B$2</f>
        <v>4.4301363636363638</v>
      </c>
      <c r="K133" t="s">
        <v>30</v>
      </c>
      <c r="L133" t="s">
        <v>40</v>
      </c>
      <c r="N133" t="s">
        <v>56</v>
      </c>
      <c r="R133" t="str">
        <f t="shared" ref="R133:R177" si="8">IF(H133=K133,"Good","Issue")</f>
        <v>Good</v>
      </c>
    </row>
    <row r="134" spans="1:18" x14ac:dyDescent="0.25">
      <c r="A134">
        <v>105</v>
      </c>
      <c r="B134" t="s">
        <v>27</v>
      </c>
      <c r="C134" s="16" t="str">
        <f t="shared" si="6"/>
        <v>105-WB</v>
      </c>
      <c r="D134" s="16" t="s">
        <v>196</v>
      </c>
      <c r="E134">
        <f>10.5+9.5+12</f>
        <v>32</v>
      </c>
      <c r="F134" s="17">
        <f>E134/24</f>
        <v>1.3333333333333333</v>
      </c>
      <c r="G134" s="17">
        <f t="shared" si="7"/>
        <v>0.19047619047619047</v>
      </c>
      <c r="H134" t="str">
        <f>IF(E134=E135,"Yes","No")</f>
        <v>Yes</v>
      </c>
      <c r="I134" s="3">
        <v>45510</v>
      </c>
      <c r="J134" s="18">
        <f>Sheet2!B$2</f>
        <v>4.4301363636363638</v>
      </c>
      <c r="K134" t="s">
        <v>30</v>
      </c>
      <c r="L134" t="s">
        <v>40</v>
      </c>
      <c r="N134" t="s">
        <v>56</v>
      </c>
      <c r="R134" t="str">
        <f t="shared" si="8"/>
        <v>Good</v>
      </c>
    </row>
    <row r="135" spans="1:18" x14ac:dyDescent="0.25">
      <c r="A135">
        <v>105</v>
      </c>
      <c r="B135" t="s">
        <v>26</v>
      </c>
      <c r="C135" s="16" t="str">
        <f t="shared" si="6"/>
        <v>105-N</v>
      </c>
      <c r="D135" s="16" t="s">
        <v>197</v>
      </c>
      <c r="E135">
        <f>10.5+9.5+12</f>
        <v>32</v>
      </c>
      <c r="F135" s="17">
        <f>E135/24</f>
        <v>1.3333333333333333</v>
      </c>
      <c r="G135" s="17">
        <f t="shared" si="7"/>
        <v>0.19047619047619047</v>
      </c>
      <c r="H135" t="str">
        <f>IF(E134=E135,"Yes","No")</f>
        <v>Yes</v>
      </c>
      <c r="I135" s="3">
        <v>45510</v>
      </c>
      <c r="J135" s="18">
        <f>Sheet2!B$2</f>
        <v>4.4301363636363638</v>
      </c>
      <c r="K135" t="s">
        <v>30</v>
      </c>
      <c r="L135" t="s">
        <v>52</v>
      </c>
      <c r="N135" t="s">
        <v>56</v>
      </c>
      <c r="R135" t="str">
        <f t="shared" si="8"/>
        <v>Good</v>
      </c>
    </row>
    <row r="136" spans="1:18" x14ac:dyDescent="0.25">
      <c r="A136">
        <v>188</v>
      </c>
      <c r="B136" t="s">
        <v>27</v>
      </c>
      <c r="C136" s="16" t="str">
        <f t="shared" si="6"/>
        <v>188-WB</v>
      </c>
      <c r="D136" s="16" t="s">
        <v>198</v>
      </c>
      <c r="E136">
        <f>12+9+9</f>
        <v>30</v>
      </c>
      <c r="F136" s="17">
        <f>E136/24</f>
        <v>1.25</v>
      </c>
      <c r="G136" s="17">
        <f t="shared" si="7"/>
        <v>0.17857142857142858</v>
      </c>
      <c r="H136" t="str">
        <f>IF(E136=E137,"Yes","No")</f>
        <v>Yes</v>
      </c>
      <c r="I136" s="3">
        <v>45510</v>
      </c>
      <c r="J136" s="18">
        <f>Sheet2!B$2</f>
        <v>4.4301363636363638</v>
      </c>
      <c r="K136" t="s">
        <v>30</v>
      </c>
      <c r="L136" t="s">
        <v>40</v>
      </c>
      <c r="N136" t="s">
        <v>56</v>
      </c>
      <c r="R136" t="str">
        <f t="shared" si="8"/>
        <v>Good</v>
      </c>
    </row>
    <row r="137" spans="1:18" x14ac:dyDescent="0.25">
      <c r="A137">
        <v>188</v>
      </c>
      <c r="B137" t="s">
        <v>26</v>
      </c>
      <c r="C137" s="16" t="str">
        <f t="shared" si="6"/>
        <v>188-N</v>
      </c>
      <c r="D137" s="16" t="s">
        <v>199</v>
      </c>
      <c r="E137">
        <f>12+9+9</f>
        <v>30</v>
      </c>
      <c r="F137" s="17">
        <f>E137/24</f>
        <v>1.25</v>
      </c>
      <c r="G137" s="17">
        <f t="shared" si="7"/>
        <v>0.17857142857142858</v>
      </c>
      <c r="H137" t="str">
        <f>IF(E136=E137,"Yes","No")</f>
        <v>Yes</v>
      </c>
      <c r="I137" s="3">
        <v>45510</v>
      </c>
      <c r="J137" s="18">
        <f>Sheet2!B$2</f>
        <v>4.4301363636363638</v>
      </c>
      <c r="K137" t="s">
        <v>31</v>
      </c>
      <c r="L137" t="s">
        <v>33</v>
      </c>
      <c r="N137" t="s">
        <v>56</v>
      </c>
      <c r="R137" t="str">
        <f t="shared" si="8"/>
        <v>Issue</v>
      </c>
    </row>
    <row r="138" spans="1:18" x14ac:dyDescent="0.25">
      <c r="A138">
        <v>117</v>
      </c>
      <c r="B138" t="s">
        <v>26</v>
      </c>
      <c r="C138" s="16" t="str">
        <f t="shared" si="6"/>
        <v>117-N</v>
      </c>
      <c r="D138" s="16" t="s">
        <v>200</v>
      </c>
      <c r="E138">
        <f>12+12+12.5</f>
        <v>36.5</v>
      </c>
      <c r="F138" s="17">
        <f>E138/24</f>
        <v>1.5208333333333333</v>
      </c>
      <c r="G138" s="17">
        <f t="shared" si="7"/>
        <v>0.21726190476190474</v>
      </c>
      <c r="H138" t="str">
        <f>IF(E138=E139,"Yes","No")</f>
        <v>Yes</v>
      </c>
      <c r="I138" s="3">
        <v>45511</v>
      </c>
      <c r="J138" s="18">
        <f>Sheet2!B$2</f>
        <v>4.4301363636363638</v>
      </c>
      <c r="K138" t="s">
        <v>30</v>
      </c>
      <c r="L138" t="s">
        <v>52</v>
      </c>
      <c r="N138" t="s">
        <v>56</v>
      </c>
      <c r="R138" t="str">
        <f t="shared" si="8"/>
        <v>Good</v>
      </c>
    </row>
    <row r="139" spans="1:18" x14ac:dyDescent="0.25">
      <c r="A139">
        <v>117</v>
      </c>
      <c r="B139" t="s">
        <v>27</v>
      </c>
      <c r="C139" s="16" t="str">
        <f t="shared" si="6"/>
        <v>117-WB</v>
      </c>
      <c r="D139" s="16" t="s">
        <v>201</v>
      </c>
      <c r="E139">
        <f>12+12+12.5</f>
        <v>36.5</v>
      </c>
      <c r="F139" s="17">
        <f>E139/24</f>
        <v>1.5208333333333333</v>
      </c>
      <c r="G139" s="17">
        <f t="shared" si="7"/>
        <v>0.21726190476190474</v>
      </c>
      <c r="H139" t="str">
        <f>IF(E138=E139,"Yes","No")</f>
        <v>Yes</v>
      </c>
      <c r="I139" s="3">
        <v>45511</v>
      </c>
      <c r="J139" s="18">
        <f>Sheet2!B$2</f>
        <v>4.4301363636363638</v>
      </c>
      <c r="K139" t="s">
        <v>30</v>
      </c>
      <c r="L139" t="s">
        <v>41</v>
      </c>
      <c r="N139" t="s">
        <v>56</v>
      </c>
      <c r="R139" t="str">
        <f t="shared" si="8"/>
        <v>Good</v>
      </c>
    </row>
    <row r="140" spans="1:18" x14ac:dyDescent="0.25">
      <c r="A140">
        <v>90</v>
      </c>
      <c r="B140" t="s">
        <v>27</v>
      </c>
      <c r="C140" s="16" t="str">
        <f t="shared" si="6"/>
        <v>90-WB</v>
      </c>
      <c r="D140" s="16" t="s">
        <v>202</v>
      </c>
      <c r="E140">
        <f>8+8+8</f>
        <v>24</v>
      </c>
      <c r="F140" s="17">
        <f>E140/24</f>
        <v>1</v>
      </c>
      <c r="G140" s="17">
        <f t="shared" si="7"/>
        <v>0.14285714285714285</v>
      </c>
      <c r="H140" t="str">
        <f>IF(E140=E141,"Yes","No")</f>
        <v>Yes</v>
      </c>
      <c r="I140" s="3">
        <v>45511</v>
      </c>
      <c r="J140" s="18">
        <f>Sheet2!B$2</f>
        <v>4.4301363636363638</v>
      </c>
      <c r="K140" t="s">
        <v>30</v>
      </c>
      <c r="L140" t="s">
        <v>40</v>
      </c>
      <c r="N140" t="s">
        <v>56</v>
      </c>
      <c r="R140" t="str">
        <f t="shared" si="8"/>
        <v>Good</v>
      </c>
    </row>
    <row r="141" spans="1:18" x14ac:dyDescent="0.25">
      <c r="A141">
        <v>90</v>
      </c>
      <c r="B141" t="s">
        <v>26</v>
      </c>
      <c r="C141" s="16" t="str">
        <f t="shared" si="6"/>
        <v>90-N</v>
      </c>
      <c r="D141" s="16" t="s">
        <v>203</v>
      </c>
      <c r="E141">
        <f>8+8+8</f>
        <v>24</v>
      </c>
      <c r="F141" s="17">
        <f>E141/24</f>
        <v>1</v>
      </c>
      <c r="G141" s="17">
        <f t="shared" si="7"/>
        <v>0.14285714285714285</v>
      </c>
      <c r="H141" t="str">
        <f>IF(E140=E141,"Yes","No")</f>
        <v>Yes</v>
      </c>
      <c r="I141" s="3">
        <v>45511</v>
      </c>
      <c r="J141" s="18">
        <f>Sheet2!B$2</f>
        <v>4.4301363636363638</v>
      </c>
      <c r="K141" t="s">
        <v>30</v>
      </c>
      <c r="L141" t="s">
        <v>52</v>
      </c>
      <c r="N141" t="s">
        <v>56</v>
      </c>
      <c r="R141" t="str">
        <f t="shared" si="8"/>
        <v>Good</v>
      </c>
    </row>
    <row r="142" spans="1:18" x14ac:dyDescent="0.25">
      <c r="A142">
        <v>166</v>
      </c>
      <c r="B142" t="s">
        <v>26</v>
      </c>
      <c r="C142" s="16" t="str">
        <f t="shared" si="6"/>
        <v>166-N</v>
      </c>
      <c r="D142" s="16" t="s">
        <v>204</v>
      </c>
      <c r="E142">
        <f>11+14+12</f>
        <v>37</v>
      </c>
      <c r="F142" s="17">
        <f>E142/24</f>
        <v>1.5416666666666667</v>
      </c>
      <c r="G142" s="17">
        <f t="shared" si="7"/>
        <v>0.22023809523809526</v>
      </c>
      <c r="H142" t="str">
        <f>IF(E142=E143,"Yes","No")</f>
        <v>Yes</v>
      </c>
      <c r="I142" s="3">
        <v>45511</v>
      </c>
      <c r="J142" s="18">
        <f>Sheet2!B$2</f>
        <v>4.4301363636363638</v>
      </c>
      <c r="K142" t="s">
        <v>30</v>
      </c>
      <c r="L142" t="s">
        <v>52</v>
      </c>
      <c r="N142" t="s">
        <v>56</v>
      </c>
      <c r="R142" t="str">
        <f t="shared" si="8"/>
        <v>Good</v>
      </c>
    </row>
    <row r="143" spans="1:18" x14ac:dyDescent="0.25">
      <c r="A143">
        <v>166</v>
      </c>
      <c r="B143" t="s">
        <v>27</v>
      </c>
      <c r="C143" s="16" t="str">
        <f t="shared" si="6"/>
        <v>166-WB</v>
      </c>
      <c r="D143" s="16" t="s">
        <v>205</v>
      </c>
      <c r="E143">
        <f>11+14+12</f>
        <v>37</v>
      </c>
      <c r="F143" s="17">
        <f>E143/24</f>
        <v>1.5416666666666667</v>
      </c>
      <c r="G143" s="17">
        <f t="shared" si="7"/>
        <v>0.22023809523809526</v>
      </c>
      <c r="H143" t="str">
        <f>IF(E142=E143,"Yes","No")</f>
        <v>Yes</v>
      </c>
      <c r="I143" s="3">
        <v>45511</v>
      </c>
      <c r="J143" s="18">
        <f>Sheet2!B$2</f>
        <v>4.4301363636363638</v>
      </c>
      <c r="K143" t="s">
        <v>30</v>
      </c>
      <c r="L143" t="s">
        <v>40</v>
      </c>
      <c r="N143" t="s">
        <v>56</v>
      </c>
      <c r="R143" t="str">
        <f t="shared" si="8"/>
        <v>Good</v>
      </c>
    </row>
    <row r="144" spans="1:18" x14ac:dyDescent="0.25">
      <c r="A144">
        <v>143</v>
      </c>
      <c r="B144" t="s">
        <v>27</v>
      </c>
      <c r="C144" s="16" t="str">
        <f t="shared" si="6"/>
        <v>143-WB</v>
      </c>
      <c r="E144">
        <f>14.5+13+11</f>
        <v>38.5</v>
      </c>
      <c r="F144" s="17">
        <f>E144/24</f>
        <v>1.6041666666666667</v>
      </c>
      <c r="G144" s="17">
        <f t="shared" si="7"/>
        <v>0.22916666666666669</v>
      </c>
      <c r="H144" t="str">
        <f>IF(E144=E145,"Yes","No")</f>
        <v>Yes</v>
      </c>
      <c r="I144" s="3">
        <v>45516</v>
      </c>
      <c r="J144" s="18">
        <f>Sheet2!B$2</f>
        <v>4.4301363636363638</v>
      </c>
      <c r="K144" t="s">
        <v>30</v>
      </c>
      <c r="L144" t="s">
        <v>40</v>
      </c>
      <c r="R144" t="str">
        <f t="shared" si="8"/>
        <v>Good</v>
      </c>
    </row>
    <row r="145" spans="1:18" x14ac:dyDescent="0.25">
      <c r="A145">
        <v>143</v>
      </c>
      <c r="B145" t="s">
        <v>26</v>
      </c>
      <c r="C145" s="16" t="str">
        <f t="shared" si="6"/>
        <v>143-N</v>
      </c>
      <c r="E145">
        <f>14.5+13+11</f>
        <v>38.5</v>
      </c>
      <c r="F145" s="17">
        <f>E145/24</f>
        <v>1.6041666666666667</v>
      </c>
      <c r="G145" s="17">
        <f t="shared" si="7"/>
        <v>0.22916666666666669</v>
      </c>
      <c r="H145" t="str">
        <f>IF(E144=E145,"Yes","No")</f>
        <v>Yes</v>
      </c>
      <c r="I145" s="3">
        <v>45516</v>
      </c>
      <c r="J145" s="18">
        <f>Sheet2!B$2</f>
        <v>4.4301363636363638</v>
      </c>
      <c r="K145" t="s">
        <v>30</v>
      </c>
      <c r="L145" t="s">
        <v>52</v>
      </c>
      <c r="R145" t="str">
        <f t="shared" si="8"/>
        <v>Good</v>
      </c>
    </row>
    <row r="146" spans="1:18" x14ac:dyDescent="0.25">
      <c r="A146">
        <v>109</v>
      </c>
      <c r="B146" t="s">
        <v>27</v>
      </c>
      <c r="C146" s="16" t="str">
        <f t="shared" si="6"/>
        <v>109-WB</v>
      </c>
      <c r="E146">
        <f>17+15+22</f>
        <v>54</v>
      </c>
      <c r="F146" s="17">
        <f>E146/24</f>
        <v>2.25</v>
      </c>
      <c r="G146" s="17">
        <f t="shared" si="7"/>
        <v>0.32142857142857145</v>
      </c>
      <c r="H146" t="str">
        <f>IF(E146=E147,"Yes","No")</f>
        <v>Yes</v>
      </c>
      <c r="I146" s="3">
        <v>45516</v>
      </c>
      <c r="J146" s="18">
        <f>Sheet2!B$2</f>
        <v>4.4301363636363638</v>
      </c>
      <c r="K146" t="s">
        <v>30</v>
      </c>
      <c r="L146" t="s">
        <v>40</v>
      </c>
      <c r="R146" t="str">
        <f t="shared" si="8"/>
        <v>Good</v>
      </c>
    </row>
    <row r="147" spans="1:18" x14ac:dyDescent="0.25">
      <c r="A147">
        <v>109</v>
      </c>
      <c r="B147" t="s">
        <v>26</v>
      </c>
      <c r="C147" s="16" t="str">
        <f t="shared" si="6"/>
        <v>109-N</v>
      </c>
      <c r="E147">
        <f>17+15+22</f>
        <v>54</v>
      </c>
      <c r="F147" s="17">
        <f>E147/24</f>
        <v>2.25</v>
      </c>
      <c r="G147" s="17">
        <f t="shared" si="7"/>
        <v>0.32142857142857145</v>
      </c>
      <c r="H147" t="str">
        <f>IF(E146=E147,"Yes","No")</f>
        <v>Yes</v>
      </c>
      <c r="I147" s="3">
        <v>45516</v>
      </c>
      <c r="J147" s="18">
        <f>Sheet2!B$2</f>
        <v>4.4301363636363638</v>
      </c>
      <c r="K147" t="s">
        <v>30</v>
      </c>
      <c r="L147" t="s">
        <v>52</v>
      </c>
      <c r="R147" t="str">
        <f t="shared" si="8"/>
        <v>Good</v>
      </c>
    </row>
    <row r="148" spans="1:18" x14ac:dyDescent="0.25">
      <c r="A148">
        <v>174</v>
      </c>
      <c r="B148" t="s">
        <v>27</v>
      </c>
      <c r="C148" s="16" t="str">
        <f t="shared" si="6"/>
        <v>174-WB</v>
      </c>
      <c r="E148">
        <f>9+8+8.5</f>
        <v>25.5</v>
      </c>
      <c r="F148" s="17">
        <f>E148/24</f>
        <v>1.0625</v>
      </c>
      <c r="G148" s="17">
        <f t="shared" si="7"/>
        <v>0.15178571428571427</v>
      </c>
      <c r="H148" t="str">
        <f>IF(E148=E149,"Yes","No")</f>
        <v>Yes</v>
      </c>
      <c r="I148" s="3">
        <v>45516</v>
      </c>
      <c r="J148" s="18">
        <f>Sheet2!B$2</f>
        <v>4.4301363636363638</v>
      </c>
      <c r="K148" t="s">
        <v>30</v>
      </c>
      <c r="L148" t="s">
        <v>40</v>
      </c>
      <c r="R148" t="str">
        <f t="shared" si="8"/>
        <v>Good</v>
      </c>
    </row>
    <row r="149" spans="1:18" x14ac:dyDescent="0.25">
      <c r="A149">
        <v>174</v>
      </c>
      <c r="B149" t="s">
        <v>26</v>
      </c>
      <c r="C149" s="16" t="str">
        <f t="shared" si="6"/>
        <v>174-N</v>
      </c>
      <c r="E149">
        <f>9+8+8.5</f>
        <v>25.5</v>
      </c>
      <c r="F149" s="17">
        <f>E149/24</f>
        <v>1.0625</v>
      </c>
      <c r="G149" s="17">
        <f t="shared" si="7"/>
        <v>0.15178571428571427</v>
      </c>
      <c r="H149" t="str">
        <f>IF(E148=E149,"Yes","No")</f>
        <v>Yes</v>
      </c>
      <c r="I149" s="3">
        <v>45516</v>
      </c>
      <c r="J149" s="18">
        <f>Sheet2!B$2</f>
        <v>4.4301363636363638</v>
      </c>
      <c r="K149" t="s">
        <v>30</v>
      </c>
      <c r="L149" t="s">
        <v>33</v>
      </c>
      <c r="R149" t="str">
        <f t="shared" si="8"/>
        <v>Good</v>
      </c>
    </row>
    <row r="150" spans="1:18" x14ac:dyDescent="0.25">
      <c r="A150">
        <v>103</v>
      </c>
      <c r="B150" t="s">
        <v>26</v>
      </c>
      <c r="C150" s="16" t="str">
        <f t="shared" si="6"/>
        <v>103-N</v>
      </c>
      <c r="E150">
        <f>9+11.5+11</f>
        <v>31.5</v>
      </c>
      <c r="F150" s="17">
        <f>E150/24</f>
        <v>1.3125</v>
      </c>
      <c r="G150" s="17">
        <f t="shared" si="7"/>
        <v>0.1875</v>
      </c>
      <c r="H150" t="str">
        <f>IF(E150=E151,"Yes","No")</f>
        <v>Yes</v>
      </c>
      <c r="I150" s="3">
        <v>45516</v>
      </c>
      <c r="J150" s="18">
        <f>Sheet2!B$2</f>
        <v>4.4301363636363638</v>
      </c>
      <c r="K150" t="s">
        <v>30</v>
      </c>
      <c r="L150" t="s">
        <v>47</v>
      </c>
      <c r="R150" t="str">
        <f t="shared" si="8"/>
        <v>Good</v>
      </c>
    </row>
    <row r="151" spans="1:18" x14ac:dyDescent="0.25">
      <c r="A151">
        <v>103</v>
      </c>
      <c r="B151" t="s">
        <v>27</v>
      </c>
      <c r="C151" s="16" t="str">
        <f t="shared" si="6"/>
        <v>103-WB</v>
      </c>
      <c r="E151">
        <f>9+11.5+11</f>
        <v>31.5</v>
      </c>
      <c r="F151" s="17">
        <f>E151/24</f>
        <v>1.3125</v>
      </c>
      <c r="G151" s="17">
        <f t="shared" si="7"/>
        <v>0.1875</v>
      </c>
      <c r="H151" t="str">
        <f>IF(E150=E151,"Yes","No")</f>
        <v>Yes</v>
      </c>
      <c r="I151" s="3">
        <v>45516</v>
      </c>
      <c r="J151" s="18">
        <f>Sheet2!B$2</f>
        <v>4.4301363636363638</v>
      </c>
      <c r="K151" t="s">
        <v>30</v>
      </c>
      <c r="L151" t="s">
        <v>41</v>
      </c>
      <c r="R151" t="str">
        <f t="shared" si="8"/>
        <v>Good</v>
      </c>
    </row>
    <row r="152" spans="1:18" x14ac:dyDescent="0.25">
      <c r="A152">
        <v>91</v>
      </c>
      <c r="B152" t="s">
        <v>27</v>
      </c>
      <c r="C152" s="16" t="str">
        <f t="shared" si="6"/>
        <v>91-WB</v>
      </c>
      <c r="E152">
        <f>9+11+8</f>
        <v>28</v>
      </c>
      <c r="F152" s="17">
        <f>E152/24</f>
        <v>1.1666666666666667</v>
      </c>
      <c r="G152" s="17">
        <f t="shared" si="7"/>
        <v>0.16666666666666669</v>
      </c>
      <c r="H152" t="str">
        <f>IF(E152=E153,"Yes","No")</f>
        <v>Yes</v>
      </c>
      <c r="I152" s="3">
        <v>45518</v>
      </c>
      <c r="J152" s="18">
        <f>Sheet2!B$2</f>
        <v>4.4301363636363638</v>
      </c>
      <c r="K152" t="s">
        <v>30</v>
      </c>
      <c r="L152" t="s">
        <v>40</v>
      </c>
      <c r="R152" t="str">
        <f t="shared" si="8"/>
        <v>Good</v>
      </c>
    </row>
    <row r="153" spans="1:18" x14ac:dyDescent="0.25">
      <c r="A153">
        <v>91</v>
      </c>
      <c r="B153" t="s">
        <v>26</v>
      </c>
      <c r="C153" s="16" t="str">
        <f t="shared" si="6"/>
        <v>91-N</v>
      </c>
      <c r="E153">
        <f>9+11+8</f>
        <v>28</v>
      </c>
      <c r="F153" s="17">
        <f>E153/24</f>
        <v>1.1666666666666667</v>
      </c>
      <c r="G153" s="17">
        <f t="shared" si="7"/>
        <v>0.16666666666666669</v>
      </c>
      <c r="H153" t="str">
        <f>IF(E152=E153,"Yes","No")</f>
        <v>Yes</v>
      </c>
      <c r="I153" s="3">
        <v>45518</v>
      </c>
      <c r="J153" s="18">
        <f>Sheet2!B$2</f>
        <v>4.4301363636363638</v>
      </c>
      <c r="K153" t="s">
        <v>30</v>
      </c>
      <c r="L153" t="s">
        <v>47</v>
      </c>
      <c r="R153" t="str">
        <f t="shared" si="8"/>
        <v>Good</v>
      </c>
    </row>
    <row r="154" spans="1:18" x14ac:dyDescent="0.25">
      <c r="A154">
        <v>88</v>
      </c>
      <c r="B154" t="s">
        <v>27</v>
      </c>
      <c r="C154" s="16" t="str">
        <f t="shared" si="6"/>
        <v>88-WB</v>
      </c>
      <c r="E154">
        <f>8+13+9</f>
        <v>30</v>
      </c>
      <c r="F154" s="17">
        <f>E154/24</f>
        <v>1.25</v>
      </c>
      <c r="G154" s="17">
        <f t="shared" si="7"/>
        <v>0.17857142857142858</v>
      </c>
      <c r="H154" t="str">
        <f>IF(E154=E155,"Yes","No")</f>
        <v>Yes</v>
      </c>
      <c r="I154" s="3">
        <v>45525</v>
      </c>
      <c r="J154" s="18">
        <f>Sheet2!B$2</f>
        <v>4.4301363636363638</v>
      </c>
      <c r="K154" t="s">
        <v>30</v>
      </c>
      <c r="L154" t="s">
        <v>40</v>
      </c>
      <c r="R154" t="str">
        <f t="shared" si="8"/>
        <v>Good</v>
      </c>
    </row>
    <row r="155" spans="1:18" x14ac:dyDescent="0.25">
      <c r="A155">
        <v>88</v>
      </c>
      <c r="B155" t="s">
        <v>26</v>
      </c>
      <c r="C155" s="16" t="str">
        <f t="shared" si="6"/>
        <v>88-N</v>
      </c>
      <c r="E155">
        <f>8+13+9</f>
        <v>30</v>
      </c>
      <c r="F155" s="17">
        <f>E155/24</f>
        <v>1.25</v>
      </c>
      <c r="G155" s="17">
        <f t="shared" si="7"/>
        <v>0.17857142857142858</v>
      </c>
      <c r="H155" t="str">
        <f>IF(E154=E155,"Yes","No")</f>
        <v>Yes</v>
      </c>
      <c r="I155" s="3">
        <v>45525</v>
      </c>
      <c r="J155" s="18">
        <f>Sheet2!B$2</f>
        <v>4.4301363636363638</v>
      </c>
      <c r="K155" t="s">
        <v>30</v>
      </c>
      <c r="L155" t="s">
        <v>52</v>
      </c>
      <c r="R155" t="str">
        <f t="shared" si="8"/>
        <v>Good</v>
      </c>
    </row>
    <row r="156" spans="1:18" x14ac:dyDescent="0.25">
      <c r="A156">
        <v>175</v>
      </c>
      <c r="B156" t="s">
        <v>27</v>
      </c>
      <c r="C156" s="16" t="str">
        <f t="shared" si="6"/>
        <v>175-WB</v>
      </c>
      <c r="E156">
        <f>9+11+10</f>
        <v>30</v>
      </c>
      <c r="F156" s="17">
        <f>E156/24</f>
        <v>1.25</v>
      </c>
      <c r="G156" s="17">
        <f t="shared" si="7"/>
        <v>0.17857142857142858</v>
      </c>
      <c r="H156" t="str">
        <f>IF(E156=E157,"Yes","No")</f>
        <v>Yes</v>
      </c>
      <c r="I156" s="3">
        <v>45525</v>
      </c>
      <c r="J156" s="18">
        <f>Sheet2!B$2</f>
        <v>4.4301363636363638</v>
      </c>
      <c r="K156" t="s">
        <v>30</v>
      </c>
      <c r="L156" t="s">
        <v>40</v>
      </c>
      <c r="R156" t="str">
        <f t="shared" si="8"/>
        <v>Good</v>
      </c>
    </row>
    <row r="157" spans="1:18" x14ac:dyDescent="0.25">
      <c r="A157">
        <v>175</v>
      </c>
      <c r="B157" t="s">
        <v>26</v>
      </c>
      <c r="C157" s="16" t="str">
        <f t="shared" si="6"/>
        <v>175-N</v>
      </c>
      <c r="E157">
        <f>9+11+10</f>
        <v>30</v>
      </c>
      <c r="F157" s="17">
        <f>E157/24</f>
        <v>1.25</v>
      </c>
      <c r="G157" s="17">
        <f t="shared" si="7"/>
        <v>0.17857142857142858</v>
      </c>
      <c r="H157" t="str">
        <f>IF(E156=E157,"Yes","No")</f>
        <v>Yes</v>
      </c>
      <c r="I157" s="3">
        <v>45525</v>
      </c>
      <c r="J157" s="18">
        <f>Sheet2!B$2</f>
        <v>4.4301363636363638</v>
      </c>
      <c r="K157" t="s">
        <v>30</v>
      </c>
      <c r="L157" t="s">
        <v>33</v>
      </c>
      <c r="R157" t="str">
        <f t="shared" si="8"/>
        <v>Good</v>
      </c>
    </row>
    <row r="158" spans="1:18" x14ac:dyDescent="0.25">
      <c r="A158">
        <v>92</v>
      </c>
      <c r="B158" t="s">
        <v>26</v>
      </c>
      <c r="C158" s="16" t="str">
        <f t="shared" si="6"/>
        <v>92-N</v>
      </c>
      <c r="E158">
        <f>9+11+11</f>
        <v>31</v>
      </c>
      <c r="F158" s="17">
        <f>E158/24</f>
        <v>1.2916666666666667</v>
      </c>
      <c r="G158" s="17">
        <f t="shared" si="7"/>
        <v>0.18452380952380953</v>
      </c>
      <c r="H158" t="str">
        <f>IF(E158=E159,"Yes","No")</f>
        <v>Yes</v>
      </c>
      <c r="I158" s="3">
        <v>45525</v>
      </c>
      <c r="J158" s="18">
        <f>Sheet2!B$2</f>
        <v>4.4301363636363638</v>
      </c>
      <c r="K158" t="s">
        <v>30</v>
      </c>
      <c r="L158" t="s">
        <v>52</v>
      </c>
      <c r="R158" t="str">
        <f t="shared" si="8"/>
        <v>Good</v>
      </c>
    </row>
    <row r="159" spans="1:18" x14ac:dyDescent="0.25">
      <c r="A159">
        <v>92</v>
      </c>
      <c r="B159" t="s">
        <v>27</v>
      </c>
      <c r="C159" s="16" t="str">
        <f t="shared" si="6"/>
        <v>92-WB</v>
      </c>
      <c r="E159">
        <f>9+11+11</f>
        <v>31</v>
      </c>
      <c r="F159" s="17">
        <f>E159/24</f>
        <v>1.2916666666666667</v>
      </c>
      <c r="G159" s="17">
        <f t="shared" si="7"/>
        <v>0.18452380952380953</v>
      </c>
      <c r="H159" t="str">
        <f>IF(E158=E159,"Yes","No")</f>
        <v>Yes</v>
      </c>
      <c r="I159" s="3">
        <v>45525</v>
      </c>
      <c r="J159" s="18">
        <f>Sheet2!B$2</f>
        <v>4.4301363636363638</v>
      </c>
      <c r="K159" t="s">
        <v>30</v>
      </c>
      <c r="L159" t="s">
        <v>40</v>
      </c>
      <c r="R159" t="str">
        <f t="shared" si="8"/>
        <v>Good</v>
      </c>
    </row>
    <row r="160" spans="1:18" x14ac:dyDescent="0.25">
      <c r="A160">
        <v>24</v>
      </c>
      <c r="B160" t="s">
        <v>27</v>
      </c>
      <c r="C160" s="16" t="str">
        <f t="shared" si="6"/>
        <v>24-WB</v>
      </c>
      <c r="E160">
        <f>10+10+13</f>
        <v>33</v>
      </c>
      <c r="F160" s="17">
        <f>E160/24</f>
        <v>1.375</v>
      </c>
      <c r="G160" s="17">
        <f t="shared" si="7"/>
        <v>0.19642857142857142</v>
      </c>
      <c r="H160" t="str">
        <f>IF(E160=E161,"Yes","No")</f>
        <v>Yes</v>
      </c>
      <c r="I160" s="3">
        <v>45525</v>
      </c>
      <c r="J160" s="18">
        <f>Sheet2!B$2</f>
        <v>4.4301363636363638</v>
      </c>
      <c r="K160" t="s">
        <v>30</v>
      </c>
      <c r="L160" t="s">
        <v>34</v>
      </c>
      <c r="R160" t="str">
        <f t="shared" si="8"/>
        <v>Good</v>
      </c>
    </row>
    <row r="161" spans="1:18" x14ac:dyDescent="0.25">
      <c r="A161">
        <v>24</v>
      </c>
      <c r="B161" t="s">
        <v>26</v>
      </c>
      <c r="C161" s="16" t="str">
        <f t="shared" si="6"/>
        <v>24-N</v>
      </c>
      <c r="E161">
        <f>10+10+13</f>
        <v>33</v>
      </c>
      <c r="F161" s="17">
        <f>E161/24</f>
        <v>1.375</v>
      </c>
      <c r="G161" s="17">
        <f t="shared" si="7"/>
        <v>0.19642857142857142</v>
      </c>
      <c r="H161" t="str">
        <f>IF(E160=E161,"Yes","No")</f>
        <v>Yes</v>
      </c>
      <c r="I161" s="3">
        <v>45525</v>
      </c>
      <c r="J161" s="18">
        <f>Sheet2!B$2</f>
        <v>4.4301363636363638</v>
      </c>
      <c r="K161" t="s">
        <v>30</v>
      </c>
      <c r="L161" t="s">
        <v>52</v>
      </c>
      <c r="R161" t="str">
        <f t="shared" si="8"/>
        <v>Good</v>
      </c>
    </row>
    <row r="162" spans="1:18" x14ac:dyDescent="0.25">
      <c r="A162">
        <v>176</v>
      </c>
      <c r="B162" t="s">
        <v>26</v>
      </c>
      <c r="C162" s="16" t="str">
        <f t="shared" si="6"/>
        <v>176-N</v>
      </c>
      <c r="E162">
        <f>12.5+12+10</f>
        <v>34.5</v>
      </c>
      <c r="F162" s="17">
        <f>E162/24</f>
        <v>1.4375</v>
      </c>
      <c r="G162" s="17">
        <f t="shared" si="7"/>
        <v>0.20535714285714285</v>
      </c>
      <c r="H162" t="str">
        <f>IF(E162=E163,"Yes","No")</f>
        <v>Yes</v>
      </c>
      <c r="I162" s="3">
        <v>45527</v>
      </c>
      <c r="J162" s="18">
        <f>Sheet2!B$2</f>
        <v>4.4301363636363638</v>
      </c>
      <c r="K162" t="s">
        <v>30</v>
      </c>
      <c r="L162" t="s">
        <v>33</v>
      </c>
      <c r="R162" t="str">
        <f t="shared" si="8"/>
        <v>Good</v>
      </c>
    </row>
    <row r="163" spans="1:18" x14ac:dyDescent="0.25">
      <c r="A163">
        <v>176</v>
      </c>
      <c r="B163" t="s">
        <v>27</v>
      </c>
      <c r="C163" s="16" t="str">
        <f t="shared" si="6"/>
        <v>176-WB</v>
      </c>
      <c r="E163">
        <f>12.5+12+10</f>
        <v>34.5</v>
      </c>
      <c r="F163" s="17">
        <f>E163/24</f>
        <v>1.4375</v>
      </c>
      <c r="G163" s="17">
        <f t="shared" si="7"/>
        <v>0.20535714285714285</v>
      </c>
      <c r="H163" t="str">
        <f>IF(E162=E163,"Yes","No")</f>
        <v>Yes</v>
      </c>
      <c r="I163" s="3">
        <v>45527</v>
      </c>
      <c r="J163" s="18">
        <f>Sheet2!B$2</f>
        <v>4.4301363636363638</v>
      </c>
      <c r="K163" t="s">
        <v>30</v>
      </c>
      <c r="L163" t="s">
        <v>40</v>
      </c>
      <c r="R163" t="str">
        <f t="shared" si="8"/>
        <v>Good</v>
      </c>
    </row>
    <row r="164" spans="1:18" x14ac:dyDescent="0.25">
      <c r="A164">
        <v>101</v>
      </c>
      <c r="B164" t="s">
        <v>26</v>
      </c>
      <c r="C164" s="16" t="str">
        <f t="shared" si="6"/>
        <v>101-N</v>
      </c>
      <c r="E164">
        <f>12.5+14+9</f>
        <v>35.5</v>
      </c>
      <c r="F164" s="17">
        <f>E164/24</f>
        <v>1.4791666666666667</v>
      </c>
      <c r="G164" s="17">
        <f t="shared" si="7"/>
        <v>0.21130952380952381</v>
      </c>
      <c r="H164" t="str">
        <f>IF(E164=E165,"Yes","No")</f>
        <v>Yes</v>
      </c>
      <c r="I164" s="3">
        <v>45534</v>
      </c>
      <c r="J164" s="18">
        <f>Sheet2!B$2</f>
        <v>4.4301363636363638</v>
      </c>
      <c r="K164" t="s">
        <v>30</v>
      </c>
      <c r="L164" t="s">
        <v>52</v>
      </c>
      <c r="R164" t="str">
        <f t="shared" si="8"/>
        <v>Good</v>
      </c>
    </row>
    <row r="165" spans="1:18" x14ac:dyDescent="0.25">
      <c r="A165">
        <v>101</v>
      </c>
      <c r="B165" t="s">
        <v>27</v>
      </c>
      <c r="C165" s="16" t="str">
        <f t="shared" si="6"/>
        <v>101-WB</v>
      </c>
      <c r="E165">
        <f>12.5+14+9</f>
        <v>35.5</v>
      </c>
      <c r="F165" s="17">
        <f>E165/24</f>
        <v>1.4791666666666667</v>
      </c>
      <c r="G165" s="17">
        <f t="shared" si="7"/>
        <v>0.21130952380952381</v>
      </c>
      <c r="H165" t="str">
        <f>IF(E164=E165,"Yes","No")</f>
        <v>Yes</v>
      </c>
      <c r="I165" s="3">
        <v>45534</v>
      </c>
      <c r="J165" s="18">
        <f>Sheet2!B$2</f>
        <v>4.4301363636363638</v>
      </c>
      <c r="K165" t="s">
        <v>30</v>
      </c>
      <c r="L165" t="s">
        <v>40</v>
      </c>
      <c r="R165" t="str">
        <f t="shared" si="8"/>
        <v>Good</v>
      </c>
    </row>
    <row r="166" spans="1:18" x14ac:dyDescent="0.25">
      <c r="A166">
        <v>121</v>
      </c>
      <c r="B166" t="s">
        <v>26</v>
      </c>
      <c r="C166" s="16" t="str">
        <f t="shared" si="6"/>
        <v>121-N</v>
      </c>
      <c r="E166">
        <f>8+8+8.5</f>
        <v>24.5</v>
      </c>
      <c r="F166" s="17">
        <f>E166/24</f>
        <v>1.0208333333333333</v>
      </c>
      <c r="G166" s="17">
        <f t="shared" si="7"/>
        <v>0.14583333333333331</v>
      </c>
      <c r="H166" t="str">
        <f>IF(E166=E167,"Yes","No")</f>
        <v>Yes</v>
      </c>
      <c r="I166" s="3">
        <v>45544</v>
      </c>
      <c r="J166" s="18">
        <f>Sheet2!B$2</f>
        <v>4.4301363636363638</v>
      </c>
      <c r="K166" t="s">
        <v>30</v>
      </c>
      <c r="L166" t="s">
        <v>52</v>
      </c>
      <c r="R166" t="str">
        <f t="shared" si="8"/>
        <v>Good</v>
      </c>
    </row>
    <row r="167" spans="1:18" x14ac:dyDescent="0.25">
      <c r="A167">
        <v>121</v>
      </c>
      <c r="B167" t="s">
        <v>27</v>
      </c>
      <c r="C167" s="16" t="str">
        <f t="shared" si="6"/>
        <v>121-WB</v>
      </c>
      <c r="E167">
        <f>8+8+8.5</f>
        <v>24.5</v>
      </c>
      <c r="F167" s="17">
        <f>E167/24</f>
        <v>1.0208333333333333</v>
      </c>
      <c r="G167" s="17">
        <f t="shared" si="7"/>
        <v>0.14583333333333331</v>
      </c>
      <c r="H167" t="str">
        <f>IF(E166=E167,"Yes","No")</f>
        <v>Yes</v>
      </c>
      <c r="I167" s="3">
        <v>45544</v>
      </c>
      <c r="J167" s="18">
        <f>Sheet2!B$2</f>
        <v>4.4301363636363638</v>
      </c>
      <c r="K167" t="s">
        <v>30</v>
      </c>
      <c r="L167" t="s">
        <v>41</v>
      </c>
      <c r="R167" t="str">
        <f t="shared" si="8"/>
        <v>Good</v>
      </c>
    </row>
    <row r="168" spans="1:18" x14ac:dyDescent="0.25">
      <c r="A168">
        <v>158</v>
      </c>
      <c r="B168" t="s">
        <v>26</v>
      </c>
      <c r="C168" s="16" t="str">
        <f t="shared" si="6"/>
        <v>158-N</v>
      </c>
      <c r="E168">
        <f>8.5+11.5+8</f>
        <v>28</v>
      </c>
      <c r="F168" s="17">
        <f>E168/24</f>
        <v>1.1666666666666667</v>
      </c>
      <c r="G168" s="17">
        <f t="shared" si="7"/>
        <v>0.16666666666666669</v>
      </c>
      <c r="H168" t="str">
        <f>IF(E168=E169,"Yes","No")</f>
        <v>No</v>
      </c>
      <c r="I168" s="3">
        <v>45544</v>
      </c>
      <c r="J168" s="18">
        <f>Sheet2!B$2</f>
        <v>4.4301363636363638</v>
      </c>
      <c r="K168" t="s">
        <v>30</v>
      </c>
      <c r="L168" t="s">
        <v>47</v>
      </c>
      <c r="M168" t="s">
        <v>59</v>
      </c>
      <c r="R168" t="str">
        <f t="shared" si="8"/>
        <v>Issue</v>
      </c>
    </row>
    <row r="169" spans="1:18" x14ac:dyDescent="0.25">
      <c r="A169">
        <v>158</v>
      </c>
      <c r="B169" t="s">
        <v>27</v>
      </c>
      <c r="C169" s="16" t="str">
        <f t="shared" si="6"/>
        <v>158-WB</v>
      </c>
      <c r="E169">
        <f>9.5+12.5+8</f>
        <v>30</v>
      </c>
      <c r="F169" s="17">
        <f>E169/24</f>
        <v>1.25</v>
      </c>
      <c r="G169" s="17">
        <f t="shared" si="7"/>
        <v>0.17857142857142858</v>
      </c>
      <c r="H169" t="str">
        <f>IF(E168=E169,"Yes","No")</f>
        <v>No</v>
      </c>
      <c r="I169" s="3">
        <v>45544</v>
      </c>
      <c r="J169" s="18">
        <f>Sheet2!B$2</f>
        <v>4.4301363636363638</v>
      </c>
      <c r="K169" t="s">
        <v>30</v>
      </c>
      <c r="L169" t="s">
        <v>40</v>
      </c>
      <c r="M169" t="s">
        <v>59</v>
      </c>
      <c r="R169" t="str">
        <f t="shared" si="8"/>
        <v>Issue</v>
      </c>
    </row>
    <row r="170" spans="1:18" x14ac:dyDescent="0.25">
      <c r="A170">
        <v>146</v>
      </c>
      <c r="B170" t="s">
        <v>26</v>
      </c>
      <c r="C170" s="16" t="str">
        <f t="shared" si="6"/>
        <v>146-N</v>
      </c>
      <c r="E170">
        <f>12+14+14</f>
        <v>40</v>
      </c>
      <c r="F170" s="17">
        <f>E170/24</f>
        <v>1.6666666666666667</v>
      </c>
      <c r="G170" s="17">
        <f t="shared" si="7"/>
        <v>0.23809523809523811</v>
      </c>
      <c r="H170" t="str">
        <f>IF(E170=E171,"Yes","No")</f>
        <v>Yes</v>
      </c>
      <c r="I170" s="3">
        <v>41162</v>
      </c>
      <c r="J170" s="18">
        <f>Sheet2!B$2</f>
        <v>4.4301363636363638</v>
      </c>
      <c r="K170" t="s">
        <v>30</v>
      </c>
      <c r="L170" t="s">
        <v>52</v>
      </c>
      <c r="R170" t="str">
        <f t="shared" si="8"/>
        <v>Good</v>
      </c>
    </row>
    <row r="171" spans="1:18" x14ac:dyDescent="0.25">
      <c r="A171">
        <v>146</v>
      </c>
      <c r="B171" t="s">
        <v>27</v>
      </c>
      <c r="C171" s="16" t="str">
        <f t="shared" si="6"/>
        <v>146-WB</v>
      </c>
      <c r="E171">
        <f>12+14+14</f>
        <v>40</v>
      </c>
      <c r="F171" s="17">
        <f>E171/24</f>
        <v>1.6666666666666667</v>
      </c>
      <c r="G171" s="17">
        <f t="shared" si="7"/>
        <v>0.23809523809523811</v>
      </c>
      <c r="H171" t="str">
        <f>IF(E170=E171,"Yes","No")</f>
        <v>Yes</v>
      </c>
      <c r="I171" s="3">
        <v>41162</v>
      </c>
      <c r="J171" s="18">
        <f>Sheet2!B$2</f>
        <v>4.4301363636363638</v>
      </c>
      <c r="K171" t="s">
        <v>30</v>
      </c>
      <c r="L171" t="s">
        <v>40</v>
      </c>
      <c r="R171" t="str">
        <f t="shared" si="8"/>
        <v>Good</v>
      </c>
    </row>
    <row r="172" spans="1:18" x14ac:dyDescent="0.25">
      <c r="A172">
        <v>189</v>
      </c>
      <c r="B172" t="s">
        <v>27</v>
      </c>
      <c r="C172" s="16" t="str">
        <f t="shared" si="6"/>
        <v>189-WB</v>
      </c>
      <c r="E172">
        <f>10+8+11</f>
        <v>29</v>
      </c>
      <c r="F172" s="17">
        <f>E172/24</f>
        <v>1.2083333333333333</v>
      </c>
      <c r="G172" s="17">
        <f t="shared" si="7"/>
        <v>0.17261904761904762</v>
      </c>
      <c r="H172" t="str">
        <f>IF(E172=E173,"Yes","No")</f>
        <v>Yes</v>
      </c>
      <c r="I172" s="3">
        <v>45553</v>
      </c>
      <c r="J172" s="18">
        <f>Sheet2!B$2</f>
        <v>4.4301363636363638</v>
      </c>
      <c r="K172" t="s">
        <v>30</v>
      </c>
      <c r="L172" t="s">
        <v>41</v>
      </c>
      <c r="M172" t="s">
        <v>60</v>
      </c>
      <c r="R172" t="str">
        <f t="shared" si="8"/>
        <v>Good</v>
      </c>
    </row>
    <row r="173" spans="1:18" x14ac:dyDescent="0.25">
      <c r="A173">
        <v>189</v>
      </c>
      <c r="B173" t="s">
        <v>26</v>
      </c>
      <c r="C173" s="16" t="str">
        <f t="shared" si="6"/>
        <v>189-N</v>
      </c>
      <c r="E173">
        <f>10+8+11</f>
        <v>29</v>
      </c>
      <c r="F173" s="17">
        <f>E173/24</f>
        <v>1.2083333333333333</v>
      </c>
      <c r="G173" s="17">
        <f t="shared" si="7"/>
        <v>0.17261904761904762</v>
      </c>
      <c r="H173" t="str">
        <f>IF(E172=E173,"Yes","No")</f>
        <v>Yes</v>
      </c>
      <c r="I173" s="3">
        <v>45553</v>
      </c>
      <c r="J173" s="18">
        <f>Sheet2!B$2</f>
        <v>4.4301363636363638</v>
      </c>
      <c r="K173" t="s">
        <v>30</v>
      </c>
      <c r="L173" t="s">
        <v>33</v>
      </c>
      <c r="R173" t="str">
        <f t="shared" si="8"/>
        <v>Good</v>
      </c>
    </row>
    <row r="174" spans="1:18" x14ac:dyDescent="0.25">
      <c r="A174">
        <v>32</v>
      </c>
      <c r="B174" t="s">
        <v>27</v>
      </c>
      <c r="C174" s="16" t="str">
        <f t="shared" si="6"/>
        <v>32-WB</v>
      </c>
      <c r="E174">
        <f>10.5+10.75+10</f>
        <v>31.25</v>
      </c>
      <c r="F174" s="17">
        <f>E174/24</f>
        <v>1.3020833333333333</v>
      </c>
      <c r="G174" s="17">
        <f t="shared" si="7"/>
        <v>0.18601190476190474</v>
      </c>
      <c r="H174" t="str">
        <f>IF(E174=E175,"Yes","No")</f>
        <v>Yes</v>
      </c>
      <c r="I174" s="3">
        <v>45553</v>
      </c>
      <c r="J174" s="18">
        <f>Sheet2!B$2</f>
        <v>4.4301363636363638</v>
      </c>
      <c r="K174" t="s">
        <v>30</v>
      </c>
      <c r="L174" t="s">
        <v>34</v>
      </c>
      <c r="R174" t="str">
        <f t="shared" si="8"/>
        <v>Good</v>
      </c>
    </row>
    <row r="175" spans="1:18" x14ac:dyDescent="0.25">
      <c r="A175">
        <v>32</v>
      </c>
      <c r="B175" t="s">
        <v>26</v>
      </c>
      <c r="C175" s="16" t="str">
        <f t="shared" si="6"/>
        <v>32-N</v>
      </c>
      <c r="E175">
        <f>10.5+10.75+10</f>
        <v>31.25</v>
      </c>
      <c r="F175" s="17">
        <f>E175/24</f>
        <v>1.3020833333333333</v>
      </c>
      <c r="G175" s="17">
        <f t="shared" si="7"/>
        <v>0.18601190476190474</v>
      </c>
      <c r="H175" t="str">
        <f>IF(E174=E175,"Yes","No")</f>
        <v>Yes</v>
      </c>
      <c r="I175" s="3">
        <v>45553</v>
      </c>
      <c r="J175" s="18">
        <f>Sheet2!B$2</f>
        <v>4.4301363636363638</v>
      </c>
      <c r="K175" t="s">
        <v>30</v>
      </c>
      <c r="L175" t="s">
        <v>33</v>
      </c>
      <c r="R175" t="str">
        <f t="shared" si="8"/>
        <v>Good</v>
      </c>
    </row>
    <row r="176" spans="1:18" x14ac:dyDescent="0.25">
      <c r="A176">
        <v>141</v>
      </c>
      <c r="B176" t="s">
        <v>27</v>
      </c>
      <c r="C176" s="16" t="str">
        <f t="shared" si="6"/>
        <v>141-WB</v>
      </c>
      <c r="E176">
        <f>8.5+9+10</f>
        <v>27.5</v>
      </c>
      <c r="F176" s="17">
        <f>E176/24</f>
        <v>1.1458333333333333</v>
      </c>
      <c r="G176" s="17">
        <f t="shared" si="7"/>
        <v>0.16369047619047619</v>
      </c>
      <c r="H176" t="str">
        <f>IF(E176=E177,"Yes","No")</f>
        <v>Yes</v>
      </c>
      <c r="I176" s="3">
        <v>45558</v>
      </c>
      <c r="J176" s="18">
        <f>Sheet2!B$2</f>
        <v>4.4301363636363638</v>
      </c>
      <c r="K176" t="s">
        <v>30</v>
      </c>
      <c r="L176" t="s">
        <v>40</v>
      </c>
      <c r="R176" t="str">
        <f t="shared" si="8"/>
        <v>Good</v>
      </c>
    </row>
    <row r="177" spans="1:18" x14ac:dyDescent="0.25">
      <c r="A177">
        <v>141</v>
      </c>
      <c r="B177" t="s">
        <v>26</v>
      </c>
      <c r="C177" s="16" t="str">
        <f t="shared" si="6"/>
        <v>141-N</v>
      </c>
      <c r="E177">
        <f>8.5+9+10</f>
        <v>27.5</v>
      </c>
      <c r="F177" s="17">
        <f>E177/24</f>
        <v>1.1458333333333333</v>
      </c>
      <c r="G177" s="17">
        <f t="shared" si="7"/>
        <v>0.16369047619047619</v>
      </c>
      <c r="H177" t="str">
        <f>IF(E176=E177,"Yes","No")</f>
        <v>Yes</v>
      </c>
      <c r="I177" s="3">
        <v>45558</v>
      </c>
      <c r="J177" s="18">
        <f>Sheet2!B$2</f>
        <v>4.4301363636363638</v>
      </c>
      <c r="K177" t="s">
        <v>30</v>
      </c>
      <c r="L177" t="s">
        <v>47</v>
      </c>
      <c r="R177" t="str">
        <f t="shared" si="8"/>
        <v>Good</v>
      </c>
    </row>
    <row r="178" spans="1:18" x14ac:dyDescent="0.25">
      <c r="J178" s="18"/>
    </row>
  </sheetData>
  <autoFilter ref="A1:N137" xr:uid="{00000000-0001-0000-0000-000000000000}"/>
  <phoneticPr fontId="6" type="noConversion"/>
  <conditionalFormatting sqref="H2:H715">
    <cfRule type="containsText" dxfId="1" priority="1" operator="containsText" text="Yes">
      <formula>NOT(ISERROR(SEARCH("Yes",H2)))</formula>
    </cfRule>
  </conditionalFormatting>
  <conditionalFormatting sqref="K2:K703 L82 L96">
    <cfRule type="containsText" dxfId="0" priority="2" operator="containsText" text="yes">
      <formula>NOT(ISERROR(SEARCH("yes",K2)))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EA42-EB2C-41CD-A14A-112D3EA40F85}">
  <dimension ref="A1:O54"/>
  <sheetViews>
    <sheetView workbookViewId="0">
      <selection activeCell="K14" sqref="K14"/>
    </sheetView>
  </sheetViews>
  <sheetFormatPr defaultRowHeight="15" x14ac:dyDescent="0.25"/>
  <cols>
    <col min="2" max="2" width="19.5703125" customWidth="1"/>
    <col min="12" max="12" width="15.28515625" customWidth="1"/>
  </cols>
  <sheetData>
    <row r="1" spans="1:15" x14ac:dyDescent="0.25">
      <c r="A1" t="s">
        <v>6</v>
      </c>
      <c r="D1" s="14" t="s">
        <v>63</v>
      </c>
      <c r="E1" s="14"/>
      <c r="F1" s="14"/>
      <c r="G1" s="15"/>
    </row>
    <row r="2" spans="1:15" x14ac:dyDescent="0.25">
      <c r="A2" s="12" t="s">
        <v>7</v>
      </c>
      <c r="B2" s="13">
        <f>AVERAGE(D7:D29,D36:D40,D46:D50)</f>
        <v>4.4301363636363638</v>
      </c>
      <c r="C2" s="12" t="s">
        <v>22</v>
      </c>
      <c r="D2" s="14" t="s">
        <v>7</v>
      </c>
      <c r="E2" s="14">
        <f>AVERAGE(D41:D45)</f>
        <v>4.1340200000000005</v>
      </c>
      <c r="F2" s="14" t="s">
        <v>22</v>
      </c>
      <c r="G2" s="15"/>
    </row>
    <row r="3" spans="1:15" x14ac:dyDescent="0.25">
      <c r="A3" s="12" t="s">
        <v>8</v>
      </c>
      <c r="B3" s="13">
        <f>AVERAGE(E7:F29,E36:F40,E46:F50)</f>
        <v>2.2144772727272724</v>
      </c>
      <c r="C3" s="12" t="s">
        <v>22</v>
      </c>
      <c r="D3" s="14" t="s">
        <v>8</v>
      </c>
      <c r="E3" s="14">
        <f>AVERAGE(E41:F45)</f>
        <v>2.0673500000000002</v>
      </c>
      <c r="F3" s="14" t="s">
        <v>22</v>
      </c>
      <c r="G3" s="15"/>
    </row>
    <row r="4" spans="1:15" x14ac:dyDescent="0.25">
      <c r="A4" s="12" t="s">
        <v>9</v>
      </c>
      <c r="B4" s="13">
        <f>B3/2</f>
        <v>1.1072386363636362</v>
      </c>
      <c r="C4" s="12" t="s">
        <v>21</v>
      </c>
      <c r="D4" s="14" t="s">
        <v>9</v>
      </c>
      <c r="E4" s="14">
        <f>E3/2</f>
        <v>1.0336750000000001</v>
      </c>
      <c r="F4" s="14" t="s">
        <v>21</v>
      </c>
      <c r="G4" s="15"/>
    </row>
    <row r="6" spans="1:15" x14ac:dyDescent="0.25">
      <c r="B6" t="s">
        <v>10</v>
      </c>
      <c r="C6" t="s">
        <v>14</v>
      </c>
      <c r="D6" t="s">
        <v>11</v>
      </c>
      <c r="E6" t="s">
        <v>12</v>
      </c>
      <c r="F6" t="s">
        <v>13</v>
      </c>
      <c r="G6" t="s">
        <v>18</v>
      </c>
      <c r="H6" t="s">
        <v>19</v>
      </c>
      <c r="L6" t="s">
        <v>42</v>
      </c>
    </row>
    <row r="7" spans="1:15" x14ac:dyDescent="0.25">
      <c r="B7">
        <v>1</v>
      </c>
      <c r="C7">
        <v>1</v>
      </c>
      <c r="D7">
        <v>4.4211</v>
      </c>
      <c r="E7">
        <v>2.2875000000000001</v>
      </c>
      <c r="F7">
        <v>2.1328999999999998</v>
      </c>
      <c r="G7" s="8">
        <f>ABS(E7-(D7/2))/(D7/2)</f>
        <v>3.481034131777163E-2</v>
      </c>
      <c r="H7" s="8">
        <f>ABS(F7-(D7/2))/(D7/2)</f>
        <v>3.5127004591617571E-2</v>
      </c>
      <c r="L7" t="s">
        <v>37</v>
      </c>
      <c r="M7">
        <v>27</v>
      </c>
      <c r="N7">
        <v>40</v>
      </c>
    </row>
    <row r="8" spans="1:15" x14ac:dyDescent="0.25">
      <c r="B8">
        <v>1</v>
      </c>
      <c r="C8">
        <v>2</v>
      </c>
      <c r="D8">
        <v>4.3570000000000002</v>
      </c>
      <c r="E8">
        <v>2.1152000000000002</v>
      </c>
      <c r="F8">
        <v>2.2431999999999999</v>
      </c>
      <c r="G8" s="8">
        <f t="shared" ref="G8:G29" si="0">ABS(E8-(D8/2))/(D8/2)</f>
        <v>2.9056690383291214E-2</v>
      </c>
      <c r="H8" s="8">
        <f t="shared" ref="H8:H29" si="1">ABS(F8-(D8/2))/(D8/2)</f>
        <v>2.9699334404406589E-2</v>
      </c>
      <c r="L8" t="s">
        <v>38</v>
      </c>
      <c r="M8">
        <v>37</v>
      </c>
      <c r="N8">
        <v>30</v>
      </c>
    </row>
    <row r="9" spans="1:15" x14ac:dyDescent="0.25">
      <c r="B9">
        <v>1</v>
      </c>
      <c r="C9">
        <v>3</v>
      </c>
      <c r="D9">
        <v>4.3696999999999999</v>
      </c>
      <c r="E9">
        <v>2.1617999999999999</v>
      </c>
      <c r="F9">
        <v>2.2071999999999998</v>
      </c>
      <c r="G9" s="8">
        <f t="shared" si="0"/>
        <v>1.0549923335698109E-2</v>
      </c>
      <c r="H9" s="8">
        <f t="shared" si="1"/>
        <v>1.0229535208366648E-2</v>
      </c>
      <c r="L9" t="s">
        <v>39</v>
      </c>
      <c r="M9">
        <v>27</v>
      </c>
      <c r="N9">
        <v>30</v>
      </c>
      <c r="O9">
        <v>30</v>
      </c>
    </row>
    <row r="10" spans="1:15" x14ac:dyDescent="0.25">
      <c r="B10">
        <v>1</v>
      </c>
      <c r="C10">
        <v>4</v>
      </c>
      <c r="D10">
        <v>4.3914</v>
      </c>
      <c r="E10">
        <v>2.2117</v>
      </c>
      <c r="F10">
        <v>2.1776</v>
      </c>
      <c r="G10" s="8">
        <f t="shared" si="0"/>
        <v>7.2869699867923734E-3</v>
      </c>
      <c r="H10" s="8">
        <f t="shared" si="1"/>
        <v>8.2433847975588673E-3</v>
      </c>
      <c r="L10" t="s">
        <v>40</v>
      </c>
      <c r="M10">
        <v>30</v>
      </c>
      <c r="N10">
        <v>30</v>
      </c>
      <c r="O10">
        <v>13</v>
      </c>
    </row>
    <row r="11" spans="1:15" x14ac:dyDescent="0.25">
      <c r="B11">
        <v>1</v>
      </c>
      <c r="C11">
        <v>5</v>
      </c>
      <c r="D11">
        <v>4.3639000000000001</v>
      </c>
      <c r="E11">
        <v>2.1976</v>
      </c>
      <c r="F11">
        <v>2.1659000000000002</v>
      </c>
      <c r="G11" s="8">
        <f t="shared" si="0"/>
        <v>7.1724833291321715E-3</v>
      </c>
      <c r="H11" s="8">
        <f t="shared" si="1"/>
        <v>7.3558055867457535E-3</v>
      </c>
      <c r="L11" t="s">
        <v>34</v>
      </c>
      <c r="M11">
        <v>30</v>
      </c>
      <c r="N11">
        <v>31</v>
      </c>
    </row>
    <row r="12" spans="1:15" x14ac:dyDescent="0.25">
      <c r="B12">
        <v>1</v>
      </c>
      <c r="C12">
        <v>25</v>
      </c>
      <c r="D12">
        <v>4.4132999999999996</v>
      </c>
      <c r="E12">
        <v>2.2766000000000002</v>
      </c>
      <c r="F12">
        <v>2.1366999999999998</v>
      </c>
      <c r="G12" s="8">
        <f t="shared" si="0"/>
        <v>3.1699635193619471E-2</v>
      </c>
      <c r="H12" s="8">
        <f t="shared" si="1"/>
        <v>3.169963519361927E-2</v>
      </c>
      <c r="L12" t="s">
        <v>41</v>
      </c>
      <c r="M12">
        <v>31</v>
      </c>
      <c r="N12">
        <v>33</v>
      </c>
    </row>
    <row r="13" spans="1:15" x14ac:dyDescent="0.25">
      <c r="B13">
        <v>1</v>
      </c>
      <c r="C13">
        <v>26</v>
      </c>
      <c r="D13">
        <v>4.3597000000000001</v>
      </c>
      <c r="E13">
        <v>2.2233999999999998</v>
      </c>
      <c r="F13">
        <v>2.1343000000000001</v>
      </c>
      <c r="G13" s="8">
        <f t="shared" si="0"/>
        <v>1.9978438883409295E-2</v>
      </c>
      <c r="H13" s="8">
        <f t="shared" si="1"/>
        <v>2.0895933206413274E-2</v>
      </c>
    </row>
    <row r="14" spans="1:15" x14ac:dyDescent="0.25">
      <c r="B14">
        <v>1</v>
      </c>
      <c r="C14">
        <v>27</v>
      </c>
      <c r="D14">
        <v>4.4634</v>
      </c>
      <c r="E14">
        <v>2.2130000000000001</v>
      </c>
      <c r="F14">
        <v>2.2481</v>
      </c>
      <c r="G14" s="8">
        <f t="shared" si="0"/>
        <v>8.3792624456691927E-3</v>
      </c>
      <c r="H14" s="8">
        <f t="shared" si="1"/>
        <v>7.3486579737419766E-3</v>
      </c>
    </row>
    <row r="15" spans="1:15" x14ac:dyDescent="0.25">
      <c r="B15">
        <v>1</v>
      </c>
      <c r="C15">
        <v>28</v>
      </c>
      <c r="D15">
        <v>4.4288999999999996</v>
      </c>
      <c r="E15">
        <v>2.2757999999999998</v>
      </c>
      <c r="F15">
        <v>2.1516999999999999</v>
      </c>
      <c r="G15" s="8">
        <f t="shared" si="0"/>
        <v>2.7704396125448765E-2</v>
      </c>
      <c r="H15" s="8">
        <f t="shared" si="1"/>
        <v>2.8336607283975645E-2</v>
      </c>
    </row>
    <row r="16" spans="1:15" x14ac:dyDescent="0.25">
      <c r="B16">
        <v>1</v>
      </c>
      <c r="C16">
        <v>29</v>
      </c>
      <c r="D16">
        <v>4.3704999999999998</v>
      </c>
      <c r="E16">
        <v>2.1800000000000002</v>
      </c>
      <c r="F16">
        <v>2.1867000000000001</v>
      </c>
      <c r="G16" s="8">
        <f t="shared" si="0"/>
        <v>2.402471113144837E-3</v>
      </c>
      <c r="H16" s="8">
        <f t="shared" si="1"/>
        <v>6.6353964077344623E-4</v>
      </c>
    </row>
    <row r="17" spans="2:8" x14ac:dyDescent="0.25">
      <c r="B17">
        <v>1</v>
      </c>
      <c r="C17">
        <v>96</v>
      </c>
      <c r="D17">
        <v>4.5206</v>
      </c>
      <c r="E17">
        <v>2.2938000000000001</v>
      </c>
      <c r="F17">
        <v>2.2261000000000002</v>
      </c>
      <c r="G17" s="8">
        <f t="shared" si="0"/>
        <v>1.4821041454674196E-2</v>
      </c>
      <c r="H17" s="8">
        <f t="shared" si="1"/>
        <v>1.5130734858204568E-2</v>
      </c>
    </row>
    <row r="18" spans="2:8" x14ac:dyDescent="0.25">
      <c r="B18">
        <v>1</v>
      </c>
      <c r="C18">
        <v>97</v>
      </c>
      <c r="D18">
        <v>4.5058999999999996</v>
      </c>
      <c r="E18">
        <v>2.3755999999999999</v>
      </c>
      <c r="F18">
        <v>2.1292</v>
      </c>
      <c r="G18" s="8">
        <f t="shared" si="0"/>
        <v>5.4439734570230214E-2</v>
      </c>
      <c r="H18" s="8">
        <f t="shared" si="1"/>
        <v>5.4927983310770243E-2</v>
      </c>
    </row>
    <row r="19" spans="2:8" x14ac:dyDescent="0.25">
      <c r="B19">
        <v>1</v>
      </c>
      <c r="C19">
        <v>98</v>
      </c>
      <c r="D19">
        <v>4.4470000000000001</v>
      </c>
      <c r="E19">
        <v>2.1983999999999999</v>
      </c>
      <c r="F19">
        <v>2.2469000000000001</v>
      </c>
      <c r="G19" s="8">
        <f t="shared" si="0"/>
        <v>1.1288509107263379E-2</v>
      </c>
      <c r="H19" s="8">
        <f t="shared" si="1"/>
        <v>1.0523948729480587E-2</v>
      </c>
    </row>
    <row r="20" spans="2:8" x14ac:dyDescent="0.25">
      <c r="B20">
        <v>1</v>
      </c>
      <c r="C20">
        <v>99</v>
      </c>
      <c r="D20">
        <v>4.4218999999999999</v>
      </c>
      <c r="E20">
        <v>2.1478999999999999</v>
      </c>
      <c r="F20">
        <v>2.2730999999999999</v>
      </c>
      <c r="G20" s="8">
        <f t="shared" si="0"/>
        <v>2.8517153259910923E-2</v>
      </c>
      <c r="H20" s="8">
        <f t="shared" si="1"/>
        <v>2.8110088423528315E-2</v>
      </c>
    </row>
    <row r="21" spans="2:8" x14ac:dyDescent="0.25">
      <c r="B21">
        <v>1</v>
      </c>
      <c r="C21">
        <v>100</v>
      </c>
      <c r="D21">
        <v>4.4574999999999996</v>
      </c>
      <c r="E21">
        <v>2.2808999999999999</v>
      </c>
      <c r="F21">
        <v>2.1758999999999999</v>
      </c>
      <c r="G21" s="8">
        <f t="shared" si="0"/>
        <v>2.3398766124509321E-2</v>
      </c>
      <c r="H21" s="8">
        <f t="shared" si="1"/>
        <v>2.3712843522153606E-2</v>
      </c>
    </row>
    <row r="22" spans="2:8" x14ac:dyDescent="0.25">
      <c r="B22">
        <v>2</v>
      </c>
      <c r="C22">
        <v>101</v>
      </c>
      <c r="D22">
        <v>4.4577999999999998</v>
      </c>
      <c r="E22">
        <v>2.1938</v>
      </c>
      <c r="F22">
        <v>2.2494000000000001</v>
      </c>
      <c r="G22" s="8">
        <f t="shared" si="0"/>
        <v>1.574767822692804E-2</v>
      </c>
      <c r="H22" s="8">
        <f t="shared" si="1"/>
        <v>9.1973619274082225E-3</v>
      </c>
    </row>
    <row r="23" spans="2:8" x14ac:dyDescent="0.25">
      <c r="B23">
        <v>2</v>
      </c>
      <c r="C23">
        <v>102</v>
      </c>
      <c r="D23">
        <v>4.4420999999999999</v>
      </c>
      <c r="E23">
        <v>2.1694</v>
      </c>
      <c r="F23">
        <v>2.2719999999999998</v>
      </c>
      <c r="G23" s="8">
        <f t="shared" si="0"/>
        <v>2.3254766889534217E-2</v>
      </c>
      <c r="H23" s="8">
        <f t="shared" si="1"/>
        <v>2.2939600639337174E-2</v>
      </c>
    </row>
    <row r="24" spans="2:8" x14ac:dyDescent="0.25">
      <c r="B24">
        <v>2</v>
      </c>
      <c r="C24">
        <v>103</v>
      </c>
      <c r="D24">
        <v>4.4436</v>
      </c>
      <c r="E24">
        <v>2.1499000000000001</v>
      </c>
      <c r="F24">
        <v>2.2930999999999999</v>
      </c>
      <c r="G24" s="8">
        <f t="shared" si="0"/>
        <v>3.2361148618237398E-2</v>
      </c>
      <c r="H24" s="8">
        <f t="shared" si="1"/>
        <v>3.2091097308488574E-2</v>
      </c>
    </row>
    <row r="25" spans="2:8" x14ac:dyDescent="0.25">
      <c r="B25">
        <v>2</v>
      </c>
      <c r="C25">
        <v>104</v>
      </c>
      <c r="D25">
        <v>4.5045000000000002</v>
      </c>
      <c r="E25">
        <v>2.1987999999999999</v>
      </c>
      <c r="F25">
        <v>2.3043</v>
      </c>
      <c r="G25" s="8">
        <f t="shared" si="0"/>
        <v>2.373182373182383E-2</v>
      </c>
      <c r="H25" s="8">
        <f t="shared" si="1"/>
        <v>2.311022311022308E-2</v>
      </c>
    </row>
    <row r="26" spans="2:8" x14ac:dyDescent="0.25">
      <c r="B26">
        <v>2</v>
      </c>
      <c r="C26">
        <v>105</v>
      </c>
      <c r="D26">
        <v>4.4234999999999998</v>
      </c>
      <c r="E26">
        <v>2.085</v>
      </c>
      <c r="F26">
        <v>2.3369</v>
      </c>
      <c r="G26" s="8">
        <f t="shared" si="0"/>
        <v>5.7307561885384842E-2</v>
      </c>
      <c r="H26" s="8">
        <f t="shared" si="1"/>
        <v>5.6584152820165073E-2</v>
      </c>
    </row>
    <row r="27" spans="2:8" x14ac:dyDescent="0.25">
      <c r="B27">
        <v>2</v>
      </c>
      <c r="C27">
        <v>193</v>
      </c>
      <c r="D27">
        <v>4.4318999999999997</v>
      </c>
      <c r="E27">
        <v>2.2238000000000002</v>
      </c>
      <c r="F27">
        <v>2.2075</v>
      </c>
      <c r="G27" s="8">
        <f t="shared" si="0"/>
        <v>3.5424987025882162E-3</v>
      </c>
      <c r="H27" s="8">
        <f t="shared" si="1"/>
        <v>3.8132629346329327E-3</v>
      </c>
    </row>
    <row r="28" spans="2:8" x14ac:dyDescent="0.25">
      <c r="B28">
        <v>2</v>
      </c>
      <c r="C28">
        <v>194</v>
      </c>
      <c r="D28">
        <v>4.4608999999999996</v>
      </c>
      <c r="E28">
        <v>2.2322000000000002</v>
      </c>
      <c r="F28">
        <v>2.2275999999999998</v>
      </c>
      <c r="G28" s="8">
        <f t="shared" si="0"/>
        <v>7.8459503687612923E-4</v>
      </c>
      <c r="H28" s="8">
        <f t="shared" si="1"/>
        <v>1.2777690600551544E-3</v>
      </c>
    </row>
    <row r="29" spans="2:8" x14ac:dyDescent="0.25">
      <c r="B29">
        <v>2</v>
      </c>
      <c r="C29">
        <v>195</v>
      </c>
      <c r="D29">
        <v>4.4151999999999996</v>
      </c>
      <c r="E29">
        <v>2.2648999999999999</v>
      </c>
      <c r="F29">
        <v>2.1507999999999998</v>
      </c>
      <c r="G29" s="8">
        <f t="shared" si="0"/>
        <v>2.5955789092226914E-2</v>
      </c>
      <c r="H29" s="8">
        <f t="shared" si="1"/>
        <v>2.5729298786011944E-2</v>
      </c>
    </row>
    <row r="30" spans="2:8" x14ac:dyDescent="0.25">
      <c r="C30" t="s">
        <v>15</v>
      </c>
      <c r="D30" s="2">
        <f>AVERAGE(D7:D29)</f>
        <v>4.4291869565217397</v>
      </c>
      <c r="E30" s="2">
        <f>AVERAGE(E7:F29)</f>
        <v>2.2137847826086952</v>
      </c>
    </row>
    <row r="31" spans="2:8" x14ac:dyDescent="0.25">
      <c r="C31" t="s">
        <v>16</v>
      </c>
      <c r="D31" s="2">
        <f>STDEV(D7:D29)</f>
        <v>4.6573727517363855E-2</v>
      </c>
      <c r="E31" s="2">
        <f>STDEV(E7:F29)</f>
        <v>6.2549635285876246E-2</v>
      </c>
      <c r="G31" t="s">
        <v>20</v>
      </c>
      <c r="H31" s="7">
        <f>AVERAGE(G7:H29)</f>
        <v>2.1324771350692245E-2</v>
      </c>
    </row>
    <row r="32" spans="2:8" x14ac:dyDescent="0.25">
      <c r="C32" t="s">
        <v>17</v>
      </c>
      <c r="D32" s="1">
        <f>D31/D30</f>
        <v>1.051518664137366E-2</v>
      </c>
      <c r="E32" s="1">
        <f>E31/E30</f>
        <v>2.8254614349714956E-2</v>
      </c>
    </row>
    <row r="36" spans="2:10" x14ac:dyDescent="0.25">
      <c r="B36">
        <v>3</v>
      </c>
      <c r="C36" s="6">
        <v>1</v>
      </c>
      <c r="D36">
        <v>4.3898999999999999</v>
      </c>
      <c r="E36">
        <v>2.1261999999999999</v>
      </c>
      <c r="F36">
        <v>2.2656000000000001</v>
      </c>
      <c r="G36" s="8">
        <f>ABS(E36-(D36/2))/(D36/2)</f>
        <v>3.1321897993120615E-2</v>
      </c>
      <c r="H36" s="8">
        <f>ABS(F36-(D36/2))/(D36/2)</f>
        <v>3.2187521355839591E-2</v>
      </c>
    </row>
    <row r="37" spans="2:10" x14ac:dyDescent="0.25">
      <c r="B37">
        <v>3</v>
      </c>
      <c r="C37">
        <v>2</v>
      </c>
      <c r="D37">
        <v>4.3666999999999998</v>
      </c>
      <c r="E37">
        <v>2.2147000000000001</v>
      </c>
      <c r="F37">
        <v>2.1515</v>
      </c>
      <c r="G37" s="8">
        <f t="shared" ref="G37:G45" si="2">ABS(E37-(D37/2))/(D37/2)</f>
        <v>1.4358669017793854E-2</v>
      </c>
      <c r="H37" s="8">
        <f t="shared" ref="H37:H45" si="3">ABS(F37-(D37/2))/(D37/2)</f>
        <v>1.4587674903244984E-2</v>
      </c>
    </row>
    <row r="38" spans="2:10" x14ac:dyDescent="0.25">
      <c r="B38">
        <v>3</v>
      </c>
      <c r="C38">
        <v>3</v>
      </c>
      <c r="D38">
        <v>4.4116999999999997</v>
      </c>
      <c r="E38">
        <v>2.2461000000000002</v>
      </c>
      <c r="F38">
        <v>2.1652</v>
      </c>
      <c r="G38" s="8">
        <f t="shared" si="2"/>
        <v>1.824693428836972E-2</v>
      </c>
      <c r="H38" s="8">
        <f t="shared" si="3"/>
        <v>1.8428270281297395E-2</v>
      </c>
    </row>
    <row r="39" spans="2:10" x14ac:dyDescent="0.25">
      <c r="B39">
        <v>3</v>
      </c>
      <c r="C39">
        <v>4</v>
      </c>
      <c r="D39">
        <v>4.4100999999999999</v>
      </c>
      <c r="E39">
        <v>2.3092999999999999</v>
      </c>
      <c r="F39">
        <v>2.0996000000000001</v>
      </c>
      <c r="G39" s="8">
        <f t="shared" si="2"/>
        <v>4.7277839504773114E-2</v>
      </c>
      <c r="H39" s="8">
        <f t="shared" si="3"/>
        <v>4.7822044851590584E-2</v>
      </c>
    </row>
    <row r="40" spans="2:10" x14ac:dyDescent="0.25">
      <c r="B40">
        <v>3</v>
      </c>
      <c r="C40">
        <v>5</v>
      </c>
      <c r="D40">
        <v>4.4996</v>
      </c>
      <c r="E40">
        <v>2.3195000000000001</v>
      </c>
      <c r="F40">
        <v>2.1781000000000001</v>
      </c>
      <c r="G40" s="8">
        <f>ABS(E40-(D40/2))/(D40/2)</f>
        <v>3.098053160280918E-2</v>
      </c>
      <c r="H40" s="8">
        <f t="shared" si="3"/>
        <v>3.1869499511067594E-2</v>
      </c>
    </row>
    <row r="41" spans="2:10" x14ac:dyDescent="0.25">
      <c r="C41" s="9">
        <v>50</v>
      </c>
      <c r="D41" s="9">
        <v>4.1523000000000003</v>
      </c>
      <c r="E41" s="9">
        <v>2.0760999999999998</v>
      </c>
      <c r="F41" s="9">
        <v>2.0781000000000001</v>
      </c>
      <c r="G41" s="10">
        <f t="shared" si="2"/>
        <v>2.4083038316271732E-5</v>
      </c>
      <c r="H41" s="10">
        <f t="shared" si="3"/>
        <v>9.3923849432839442E-4</v>
      </c>
      <c r="I41" s="9" t="s">
        <v>61</v>
      </c>
      <c r="J41" s="9"/>
    </row>
    <row r="42" spans="2:10" x14ac:dyDescent="0.25">
      <c r="C42" s="9">
        <v>51</v>
      </c>
      <c r="D42" s="9">
        <v>4.1173999999999999</v>
      </c>
      <c r="E42" s="9">
        <v>1.9843</v>
      </c>
      <c r="F42" s="9">
        <v>2.1332</v>
      </c>
      <c r="G42" s="10">
        <f t="shared" si="2"/>
        <v>3.6139311215815817E-2</v>
      </c>
      <c r="H42" s="10">
        <f t="shared" si="3"/>
        <v>3.6187885558847825E-2</v>
      </c>
      <c r="I42" s="9" t="s">
        <v>61</v>
      </c>
      <c r="J42" s="9"/>
    </row>
    <row r="43" spans="2:10" x14ac:dyDescent="0.25">
      <c r="C43" s="9">
        <v>52</v>
      </c>
      <c r="D43" s="9">
        <v>4.1547000000000001</v>
      </c>
      <c r="E43" s="9">
        <v>2.1208999999999998</v>
      </c>
      <c r="F43" s="9">
        <v>2.0329000000000002</v>
      </c>
      <c r="G43" s="10">
        <f t="shared" si="2"/>
        <v>2.0964209208847694E-2</v>
      </c>
      <c r="H43" s="10">
        <f t="shared" si="3"/>
        <v>2.1397453486412921E-2</v>
      </c>
      <c r="I43" s="9" t="s">
        <v>61</v>
      </c>
      <c r="J43" s="9"/>
    </row>
    <row r="44" spans="2:10" x14ac:dyDescent="0.25">
      <c r="C44" s="9">
        <v>53</v>
      </c>
      <c r="D44" s="9">
        <v>4.1220999999999997</v>
      </c>
      <c r="E44" s="9">
        <v>2.0857999999999999</v>
      </c>
      <c r="F44" s="9">
        <v>2.0379</v>
      </c>
      <c r="G44" s="10">
        <f t="shared" si="2"/>
        <v>1.2008442298828293E-2</v>
      </c>
      <c r="H44" s="10">
        <f t="shared" si="3"/>
        <v>1.123213895829785E-2</v>
      </c>
      <c r="I44" s="9" t="s">
        <v>61</v>
      </c>
      <c r="J44" s="9"/>
    </row>
    <row r="45" spans="2:10" x14ac:dyDescent="0.25">
      <c r="C45" s="9">
        <v>54</v>
      </c>
      <c r="D45" s="9">
        <v>4.1235999999999997</v>
      </c>
      <c r="E45" s="9">
        <v>2.0255000000000001</v>
      </c>
      <c r="F45" s="9">
        <v>2.0988000000000002</v>
      </c>
      <c r="G45" s="10">
        <f t="shared" si="2"/>
        <v>1.7605975361334649E-2</v>
      </c>
      <c r="H45" s="10">
        <f t="shared" si="3"/>
        <v>1.7945484528082437E-2</v>
      </c>
      <c r="I45" s="9" t="s">
        <v>61</v>
      </c>
      <c r="J45" s="9"/>
    </row>
    <row r="46" spans="2:10" x14ac:dyDescent="0.25">
      <c r="C46" s="11">
        <v>96</v>
      </c>
      <c r="D46" s="11">
        <v>4.4923999999999999</v>
      </c>
      <c r="E46" s="11">
        <v>2.2593999999999999</v>
      </c>
      <c r="F46" s="11">
        <v>2.2263999999999999</v>
      </c>
      <c r="G46" s="8">
        <f>ABS(E46-(D46/2))/(D46/2)</f>
        <v>5.8765915768853524E-3</v>
      </c>
      <c r="H46" s="8">
        <f t="shared" ref="H46" si="4">ABS(F46-(D46/2))/(D46/2)</f>
        <v>8.8148873653281275E-3</v>
      </c>
      <c r="I46" s="11"/>
      <c r="J46" s="11"/>
    </row>
    <row r="47" spans="2:10" x14ac:dyDescent="0.25">
      <c r="C47" s="11">
        <v>97</v>
      </c>
      <c r="D47" s="11">
        <v>4.4432</v>
      </c>
      <c r="E47" s="11">
        <v>2.2930999999999999</v>
      </c>
      <c r="F47" s="11">
        <v>2.1619999999999999</v>
      </c>
      <c r="G47" s="8">
        <f t="shared" ref="G47:G50" si="5">ABS(E47-(D47/2))/(D47/2)</f>
        <v>3.2184011523226454E-2</v>
      </c>
      <c r="H47" s="8">
        <f t="shared" ref="H47:H50" si="6">ABS(F47-(D47/2))/(D47/2)</f>
        <v>2.6827511703276963E-2</v>
      </c>
      <c r="I47" s="11"/>
      <c r="J47" s="11"/>
    </row>
    <row r="48" spans="2:10" x14ac:dyDescent="0.25">
      <c r="C48" s="11">
        <v>98</v>
      </c>
      <c r="D48" s="11">
        <v>4.4352999999999998</v>
      </c>
      <c r="E48" s="11">
        <v>2.1204000000000001</v>
      </c>
      <c r="F48" s="11">
        <v>2.3134000000000001</v>
      </c>
      <c r="G48" s="8">
        <f t="shared" si="5"/>
        <v>4.3852726985773159E-2</v>
      </c>
      <c r="H48" s="8">
        <f t="shared" si="6"/>
        <v>4.317633530990022E-2</v>
      </c>
      <c r="I48" s="11"/>
      <c r="J48" s="11"/>
    </row>
    <row r="49" spans="3:10" x14ac:dyDescent="0.25">
      <c r="C49" s="11">
        <v>99</v>
      </c>
      <c r="D49" s="11">
        <v>4.4364999999999997</v>
      </c>
      <c r="E49" s="11">
        <v>2.1242999999999999</v>
      </c>
      <c r="F49" s="11">
        <v>2.3111999999999999</v>
      </c>
      <c r="G49" s="8">
        <f t="shared" si="5"/>
        <v>4.2353206356361993E-2</v>
      </c>
      <c r="H49" s="8">
        <f t="shared" si="6"/>
        <v>4.1902400540967021E-2</v>
      </c>
      <c r="I49" s="11"/>
      <c r="J49" s="11"/>
    </row>
    <row r="50" spans="3:10" x14ac:dyDescent="0.25">
      <c r="C50" s="11">
        <v>100</v>
      </c>
      <c r="D50" s="11">
        <v>4.4378000000000002</v>
      </c>
      <c r="E50" s="11">
        <v>2.1143999999999998</v>
      </c>
      <c r="F50" s="11">
        <v>2.3210000000000002</v>
      </c>
      <c r="G50" s="8">
        <f t="shared" si="5"/>
        <v>4.7095407634413562E-2</v>
      </c>
      <c r="H50" s="8">
        <f t="shared" si="6"/>
        <v>4.601379061697241E-2</v>
      </c>
      <c r="I50" s="11"/>
      <c r="J50" s="11"/>
    </row>
    <row r="52" spans="3:10" x14ac:dyDescent="0.25">
      <c r="C52" t="s">
        <v>15</v>
      </c>
      <c r="D52">
        <f>AVERAGE(D36:D40,D46:D50)</f>
        <v>4.4323200000000007</v>
      </c>
      <c r="E52" s="2">
        <f>AVERAGE(E36:F40,E46:F50)</f>
        <v>2.2160699999999998</v>
      </c>
    </row>
    <row r="53" spans="3:10" x14ac:dyDescent="0.25">
      <c r="C53" t="s">
        <v>16</v>
      </c>
      <c r="D53" s="2">
        <f>STDEV(D36:D40,D46:D50)</f>
        <v>4.1278614317828123E-2</v>
      </c>
      <c r="E53" s="2">
        <f>STDEV(E36:F40,E46:F50)</f>
        <v>7.9760477615631722E-2</v>
      </c>
    </row>
    <row r="54" spans="3:10" x14ac:dyDescent="0.25">
      <c r="C54" t="s">
        <v>17</v>
      </c>
      <c r="D54" s="1">
        <f>D53/D52</f>
        <v>9.3130943428786986E-3</v>
      </c>
      <c r="E54" s="1">
        <f>E53/E52</f>
        <v>3.5991858386978631E-2</v>
      </c>
      <c r="G54" t="s">
        <v>20</v>
      </c>
      <c r="H54" s="7">
        <f>AVERAGE(G36:H40,G46:H50)</f>
        <v>3.1258887646150597E-2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O'Connell</dc:creator>
  <cp:lastModifiedBy>marc epstein [he/him]</cp:lastModifiedBy>
  <dcterms:created xsi:type="dcterms:W3CDTF">2015-06-05T18:17:20Z</dcterms:created>
  <dcterms:modified xsi:type="dcterms:W3CDTF">2024-10-15T22:13:28Z</dcterms:modified>
</cp:coreProperties>
</file>