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mcglobal-my.sharepoint.com/personal/marc_meketon_oliverwyman_com/Documents/Documents/INFORMS/2024 RAS problem solving competition/2024_RAS_PSC/sample_solution/"/>
    </mc:Choice>
  </mc:AlternateContent>
  <xr:revisionPtr revIDLastSave="3" documentId="8_{2B74A061-02CA-4A6E-9BCE-06D9FBC343A8}" xr6:coauthVersionLast="47" xr6:coauthVersionMax="47" xr10:uidLastSave="{DB4D991F-AF70-40FE-A9C1-B354C266AFEF}"/>
  <bookViews>
    <workbookView xWindow="-110" yWindow="-110" windowWidth="38620" windowHeight="23500" xr2:uid="{5EF51FFC-6D75-4DEF-AD0A-F10F0821B0E3}"/>
  </bookViews>
  <sheets>
    <sheet name="movements" sheetId="2" r:id="rId1"/>
  </sheets>
  <definedNames>
    <definedName name="alpha_a">movements!$B$1</definedName>
    <definedName name="alpha_d">movements!$B$2</definedName>
    <definedName name="beta_a">movements!$B$3</definedName>
    <definedName name="beta_d">movements!$B$4</definedName>
    <definedName name="ExternalData_1" localSheetId="0" hidden="1">movements!$A$14:$C$33</definedName>
    <definedName name="ladder_kps">movements!$B$10</definedName>
    <definedName name="ladder_speed">movements!$B$6</definedName>
    <definedName name="sm">movements!$B$9</definedName>
    <definedName name="track_separation">movements!$B$8</definedName>
    <definedName name="track_speed">movements!$B$5</definedName>
    <definedName name="wagon_length">movements!$B$7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5" i="2" l="1"/>
  <c r="Q16" i="2"/>
  <c r="Q33" i="2"/>
  <c r="P15" i="2"/>
  <c r="P33" i="2"/>
  <c r="R33" i="2" l="1"/>
  <c r="R15" i="2"/>
  <c r="J33" i="2" l="1"/>
  <c r="K33" i="2" s="1"/>
  <c r="J27" i="2"/>
  <c r="J28" i="2"/>
  <c r="J29" i="2"/>
  <c r="J30" i="2"/>
  <c r="J31" i="2"/>
  <c r="J32" i="2"/>
  <c r="O16" i="2"/>
  <c r="N16" i="2"/>
  <c r="B10" i="2"/>
  <c r="B9" i="2"/>
  <c r="J16" i="2"/>
  <c r="J17" i="2"/>
  <c r="K17" i="2" s="1"/>
  <c r="J18" i="2"/>
  <c r="J19" i="2"/>
  <c r="J20" i="2"/>
  <c r="J21" i="2"/>
  <c r="J22" i="2"/>
  <c r="J23" i="2"/>
  <c r="J24" i="2"/>
  <c r="J25" i="2"/>
  <c r="J26" i="2"/>
  <c r="I16" i="2"/>
  <c r="I17" i="2" s="1"/>
  <c r="I18" i="2" s="1"/>
  <c r="I19" i="2" s="1"/>
  <c r="I20" i="2" s="1"/>
  <c r="I21" i="2" s="1"/>
  <c r="H16" i="2"/>
  <c r="H17" i="2" s="1"/>
  <c r="H18" i="2" s="1"/>
  <c r="H19" i="2" s="1"/>
  <c r="H20" i="2" s="1"/>
  <c r="G16" i="2"/>
  <c r="F16" i="2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E16" i="2"/>
  <c r="E17" i="2" s="1"/>
  <c r="E18" i="2" s="1"/>
  <c r="E19" i="2" s="1"/>
  <c r="E20" i="2" s="1"/>
  <c r="E21" i="2" s="1"/>
  <c r="E22" i="2" s="1"/>
  <c r="E23" i="2" s="1"/>
  <c r="E24" i="2" s="1"/>
  <c r="D16" i="2" a="1"/>
  <c r="F33" i="2" l="1"/>
  <c r="K29" i="2"/>
  <c r="K28" i="2"/>
  <c r="K27" i="2"/>
  <c r="K32" i="2"/>
  <c r="K31" i="2"/>
  <c r="K30" i="2"/>
  <c r="K25" i="2"/>
  <c r="K20" i="2"/>
  <c r="K26" i="2"/>
  <c r="K24" i="2"/>
  <c r="K22" i="2"/>
  <c r="K21" i="2"/>
  <c r="K19" i="2"/>
  <c r="K18" i="2"/>
  <c r="K16" i="2"/>
  <c r="K23" i="2"/>
  <c r="D16" i="2"/>
  <c r="O17" i="2" l="1"/>
  <c r="L16" i="2"/>
  <c r="N17" i="2"/>
  <c r="M16" i="2"/>
  <c r="D17" i="2" a="1"/>
  <c r="D17" i="2" s="1"/>
  <c r="G17" i="2"/>
  <c r="G18" i="2" s="1"/>
  <c r="P17" i="2" l="1"/>
  <c r="P16" i="2"/>
  <c r="O18" i="2"/>
  <c r="N18" i="2"/>
  <c r="Q18" i="2" s="1"/>
  <c r="M17" i="2"/>
  <c r="L17" i="2"/>
  <c r="D18" i="2" a="1"/>
  <c r="Q17" i="2" l="1"/>
  <c r="R17" i="2" s="1"/>
  <c r="R16" i="2"/>
  <c r="D18" i="2"/>
  <c r="O19" i="2" l="1"/>
  <c r="G19" i="2"/>
  <c r="G20" i="2" s="1"/>
  <c r="G21" i="2" s="1"/>
  <c r="G22" i="2" s="1"/>
  <c r="G23" i="2" s="1"/>
  <c r="D19" i="2" a="1"/>
  <c r="D19" i="2" s="1"/>
  <c r="M18" i="2"/>
  <c r="L18" i="2"/>
  <c r="P18" i="2" s="1"/>
  <c r="N19" i="2"/>
  <c r="P19" i="2" l="1"/>
  <c r="L19" i="2"/>
  <c r="M19" i="2"/>
  <c r="O20" i="2"/>
  <c r="N20" i="2"/>
  <c r="Q20" i="2" s="1"/>
  <c r="D20" i="2" a="1"/>
  <c r="Q19" i="2" l="1"/>
  <c r="R19" i="2" s="1"/>
  <c r="R18" i="2"/>
  <c r="D20" i="2"/>
  <c r="O21" i="2" s="1"/>
  <c r="M20" i="2" l="1"/>
  <c r="N21" i="2"/>
  <c r="P21" i="2" s="1"/>
  <c r="L20" i="2"/>
  <c r="D21" i="2" a="1"/>
  <c r="D21" i="2" s="1"/>
  <c r="O22" i="2" s="1"/>
  <c r="H21" i="2"/>
  <c r="H22" i="2" s="1"/>
  <c r="P20" i="2" l="1"/>
  <c r="L21" i="2"/>
  <c r="I22" i="2"/>
  <c r="I23" i="2" s="1"/>
  <c r="I24" i="2" s="1"/>
  <c r="I25" i="2" s="1"/>
  <c r="M21" i="2"/>
  <c r="D22" i="2" a="1"/>
  <c r="D22" i="2" s="1"/>
  <c r="O23" i="2" s="1"/>
  <c r="N22" i="2"/>
  <c r="P22" i="2" s="1"/>
  <c r="E25" i="2"/>
  <c r="E26" i="2" s="1"/>
  <c r="E27" i="2" s="1"/>
  <c r="E28" i="2" s="1"/>
  <c r="E29" i="2" s="1"/>
  <c r="E30" i="2" s="1"/>
  <c r="E31" i="2" s="1"/>
  <c r="Q21" i="2" l="1"/>
  <c r="R21" i="2" s="1"/>
  <c r="R20" i="2"/>
  <c r="L22" i="2"/>
  <c r="Q22" i="2" s="1"/>
  <c r="N23" i="2"/>
  <c r="P23" i="2" s="1"/>
  <c r="H23" i="2"/>
  <c r="H24" i="2" s="1"/>
  <c r="H25" i="2" s="1"/>
  <c r="H26" i="2" s="1"/>
  <c r="M22" i="2"/>
  <c r="D23" i="2" a="1"/>
  <c r="D23" i="2" s="1"/>
  <c r="O24" i="2" s="1"/>
  <c r="R22" i="2" l="1"/>
  <c r="M23" i="2"/>
  <c r="G24" i="2"/>
  <c r="G25" i="2" s="1"/>
  <c r="G26" i="2" s="1"/>
  <c r="G27" i="2" s="1"/>
  <c r="G28" i="2" s="1"/>
  <c r="G29" i="2" s="1"/>
  <c r="G30" i="2" s="1"/>
  <c r="G31" i="2" s="1"/>
  <c r="G32" i="2" s="1"/>
  <c r="G33" i="2" s="1"/>
  <c r="L23" i="2"/>
  <c r="D24" i="2" a="1"/>
  <c r="D24" i="2" s="1"/>
  <c r="M24" i="2" s="1"/>
  <c r="N24" i="2"/>
  <c r="P24" i="2" s="1"/>
  <c r="D25" i="2" a="1"/>
  <c r="Q23" i="2" l="1"/>
  <c r="R23" i="2" s="1"/>
  <c r="L24" i="2"/>
  <c r="Q24" i="2" s="1"/>
  <c r="O25" i="2"/>
  <c r="D25" i="2"/>
  <c r="N26" i="2" s="1"/>
  <c r="N25" i="2"/>
  <c r="Q25" i="2" l="1"/>
  <c r="R24" i="2"/>
  <c r="D26" i="2" a="1"/>
  <c r="D26" i="2" s="1"/>
  <c r="M26" i="2" s="1"/>
  <c r="M25" i="2"/>
  <c r="L25" i="2"/>
  <c r="P25" i="2" s="1"/>
  <c r="O26" i="2"/>
  <c r="P26" i="2" s="1"/>
  <c r="I26" i="2"/>
  <c r="I27" i="2" s="1"/>
  <c r="I28" i="2" s="1"/>
  <c r="I29" i="2" s="1"/>
  <c r="I30" i="2" s="1"/>
  <c r="I31" i="2" s="1"/>
  <c r="I32" i="2" s="1"/>
  <c r="I33" i="2" s="1"/>
  <c r="D27" i="2" l="1" a="1"/>
  <c r="D27" i="2" s="1"/>
  <c r="O28" i="2" s="1"/>
  <c r="H27" i="2"/>
  <c r="H28" i="2" s="1"/>
  <c r="H29" i="2" s="1"/>
  <c r="H30" i="2" s="1"/>
  <c r="H31" i="2" s="1"/>
  <c r="H32" i="2" s="1"/>
  <c r="H33" i="2" s="1"/>
  <c r="N27" i="2"/>
  <c r="O27" i="2"/>
  <c r="L26" i="2"/>
  <c r="Q26" i="2" s="1"/>
  <c r="D28" i="2" a="1"/>
  <c r="P27" i="2" l="1"/>
  <c r="R25" i="2"/>
  <c r="M27" i="2"/>
  <c r="N28" i="2"/>
  <c r="Q28" i="2" s="1"/>
  <c r="D28" i="2"/>
  <c r="M28" i="2" s="1"/>
  <c r="L27" i="2"/>
  <c r="Q27" i="2" s="1"/>
  <c r="D29" i="2" a="1"/>
  <c r="R26" i="2" l="1"/>
  <c r="R27" i="2"/>
  <c r="N29" i="2"/>
  <c r="L28" i="2"/>
  <c r="P28" i="2" s="1"/>
  <c r="O29" i="2"/>
  <c r="D29" i="2"/>
  <c r="L29" i="2" s="1"/>
  <c r="D30" i="2" a="1"/>
  <c r="Q29" i="2" l="1"/>
  <c r="D30" i="2"/>
  <c r="M30" i="2" s="1"/>
  <c r="N30" i="2"/>
  <c r="M29" i="2"/>
  <c r="P29" i="2" s="1"/>
  <c r="O30" i="2"/>
  <c r="D31" i="2" a="1"/>
  <c r="Q30" i="2" l="1"/>
  <c r="R29" i="2"/>
  <c r="R28" i="2"/>
  <c r="N31" i="2"/>
  <c r="Q31" i="2" s="1"/>
  <c r="O31" i="2"/>
  <c r="L30" i="2"/>
  <c r="P30" i="2" s="1"/>
  <c r="D31" i="2"/>
  <c r="E32" i="2" s="1"/>
  <c r="O32" i="2" l="1"/>
  <c r="D32" i="2" a="1"/>
  <c r="D32" i="2" s="1"/>
  <c r="L32" i="2" s="1"/>
  <c r="M31" i="2"/>
  <c r="N32" i="2"/>
  <c r="P32" i="2" s="1"/>
  <c r="L31" i="2"/>
  <c r="P31" i="2" s="1"/>
  <c r="E33" i="2"/>
  <c r="D33" i="2" a="1"/>
  <c r="R30" i="2" l="1"/>
  <c r="M32" i="2"/>
  <c r="O33" i="2"/>
  <c r="N33" i="2"/>
  <c r="D33" i="2"/>
  <c r="L33" i="2" s="1"/>
  <c r="Q32" i="2" l="1"/>
  <c r="R32" i="2" s="1"/>
  <c r="R31" i="2"/>
  <c r="M3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C7BC24-4DB9-4E34-974D-2B66606F5ADA}" keepAlive="1" name="Query - movements" description="Connection to the 'movements' query in the workbook." type="5" refreshedVersion="8" background="1" saveData="1">
    <dbPr connection="Provider=Microsoft.Mashup.OleDb.1;Data Source=$Workbook$;Location=movements;Extended Properties=&quot;&quot;" command="SELECT * FROM [movements]"/>
  </connection>
  <connection id="2" xr16:uid="{9BC9F4EB-A6CB-455D-90F0-7A88F0175D8E}" keepAlive="1" name="Query - movements (2)" description="Connection to the 'movements (2)' query in the workbook." type="5" refreshedVersion="8" background="1" saveData="1">
    <dbPr connection="Provider=Microsoft.Mashup.OleDb.1;Data Source=$Workbook$;Location=&quot;movements (2)&quot;;Extended Properties=&quot;&quot;" command="SELECT * FROM [movements (2)]"/>
  </connection>
  <connection id="3" xr16:uid="{54774A97-6B4F-4D7B-8913-92198AA903D6}" keepAlive="1" name="Query - movements (3)" description="Connection to the 'movements (3)' query in the workbook." type="5" refreshedVersion="8" background="1" saveData="1">
    <dbPr connection="Provider=Microsoft.Mashup.OleDb.1;Data Source=$Workbook$;Location=&quot;movements (3)&quot;;Extended Properties=&quot;&quot;" command="SELECT * FROM [movements (3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<sst xmlns="http://schemas.openxmlformats.org/spreadsheetml/2006/main" count="54" uniqueCount="35">
  <si>
    <t>movement</t>
  </si>
  <si>
    <t>num_wagons</t>
  </si>
  <si>
    <t>track</t>
  </si>
  <si>
    <t>pull</t>
  </si>
  <si>
    <t>push</t>
  </si>
  <si>
    <t>TRK 1</t>
  </si>
  <si>
    <t>TRK 2</t>
  </si>
  <si>
    <t>TRK 3</t>
  </si>
  <si>
    <t>TRK 4</t>
  </si>
  <si>
    <t>TRK 5</t>
  </si>
  <si>
    <t>112204</t>
  </si>
  <si>
    <t>20401</t>
  </si>
  <si>
    <t/>
  </si>
  <si>
    <t>Shunter</t>
  </si>
  <si>
    <t>Delta Tracks</t>
  </si>
  <si>
    <t>alpha_a</t>
  </si>
  <si>
    <t>alpha_d</t>
  </si>
  <si>
    <t>beta_a</t>
  </si>
  <si>
    <t>beta_d</t>
  </si>
  <si>
    <t>track_speed_kph</t>
  </si>
  <si>
    <t>ladder_speed_kph</t>
  </si>
  <si>
    <t>wagon_length_m</t>
  </si>
  <si>
    <t>Track</t>
  </si>
  <si>
    <t>Lengths</t>
  </si>
  <si>
    <t>track_speed_kps</t>
  </si>
  <si>
    <t>ladder_speed_kps</t>
  </si>
  <si>
    <t>distance_between_tracks</t>
  </si>
  <si>
    <t>an</t>
  </si>
  <si>
    <t>dn</t>
  </si>
  <si>
    <t>movement_time</t>
  </si>
  <si>
    <t>an_reverse</t>
  </si>
  <si>
    <t>dn_reverse</t>
  </si>
  <si>
    <t>movement_time_reverse</t>
  </si>
  <si>
    <t>Total_time</t>
  </si>
  <si>
    <t>ladder_time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</si>
</sst>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23/09/relationships/Python" Target="pytho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9CEA19-A796-4DE9-800B-4258E8B87AEF}" autoFormatId="16" applyNumberFormats="0" applyBorderFormats="0" applyFontFormats="0" applyPatternFormats="0" applyAlignmentFormats="0" applyWidthHeightFormats="0">
  <queryTableRefresh nextId="21" unboundColumnsRight="15">
    <queryTableFields count="18">
      <queryTableField id="2" name="movement" tableColumnId="2"/>
      <queryTableField id="3" name="num_wagons" tableColumnId="3"/>
      <queryTableField id="4" name="track" tableColumnId="4"/>
      <queryTableField id="10" dataBound="0" tableColumnId="10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1" dataBound="0" tableColumnId="11"/>
      <queryTableField id="15" dataBound="0" tableColumnId="15"/>
      <queryTableField id="13" dataBound="0" tableColumnId="13"/>
      <queryTableField id="14" dataBound="0" tableColumnId="14"/>
      <queryTableField id="19" dataBound="0" tableColumnId="19"/>
      <queryTableField id="18" dataBound="0" tableColumnId="18"/>
      <queryTableField id="16" dataBound="0" tableColumnId="16"/>
      <queryTableField id="17" dataBound="0" tableColumnId="17"/>
      <queryTableField id="20" dataBound="0" tableColumnId="20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6F7795-BD54-43AE-8D20-92542A40BF14}" name="movements" displayName="movements" ref="A14:R33" tableType="queryTable" totalsRowShown="0">
  <autoFilter ref="A14:R33" xr:uid="{4D6F7795-BD54-43AE-8D20-92542A40BF14}"/>
  <tableColumns count="18">
    <tableColumn id="2" xr3:uid="{05FB6BAB-713B-4E4D-827A-D8B910B3744E}" uniqueName="2" name="movement" queryTableFieldId="2" dataDxfId="10"/>
    <tableColumn id="3" xr3:uid="{4096F1ED-BF6C-4065-B381-E9D373D5652D}" uniqueName="3" name="num_wagons" queryTableFieldId="3"/>
    <tableColumn id="4" xr3:uid="{A423D11B-5997-4056-9861-DCD88F2A71D3}" uniqueName="4" name="track" queryTableFieldId="4"/>
    <tableColumn id="10" xr3:uid="{AF01AF49-F376-41B3-B5AB-AE78B1CBA21A}" uniqueName="10" name="Shunter" queryTableFieldId="10"/>
    <tableColumn id="5" xr3:uid="{333C7812-846D-4416-8882-48032D09670A}" uniqueName="5" name="TRK 1" queryTableFieldId="5"/>
    <tableColumn id="6" xr3:uid="{D8DF2048-9976-4919-A399-814926C1EB2F}" uniqueName="6" name="TRK 2" queryTableFieldId="6"/>
    <tableColumn id="7" xr3:uid="{E2FC36ED-B9A8-4A70-83E4-9BB7144773C2}" uniqueName="7" name="TRK 3" queryTableFieldId="7"/>
    <tableColumn id="8" xr3:uid="{6DEF4B78-8B0E-47CC-B57F-D7B8C99F50CE}" uniqueName="8" name="TRK 4" queryTableFieldId="8"/>
    <tableColumn id="9" xr3:uid="{6D49193A-4A19-41EE-A231-E6D53AE3ED97}" uniqueName="9" name="TRK 5" queryTableFieldId="9"/>
    <tableColumn id="11" xr3:uid="{6B2D6D7B-6763-4EC9-9831-5057F653AC3C}" uniqueName="11" name="Delta Tracks" queryTableFieldId="11" dataDxfId="9">
      <calculatedColumnFormula>ABS(C14-movements[[#This Row],[track]])</calculatedColumnFormula>
    </tableColumn>
    <tableColumn id="15" xr3:uid="{8C785E06-F8E2-43A6-8D15-4C8E69BA88EB}" uniqueName="15" name="ladder_time" queryTableFieldId="15" dataDxfId="8">
      <calculatedColumnFormula>movements[[#This Row],[Delta Tracks]]*track_separation/1000/ladder_kps</calculatedColumnFormula>
    </tableColumn>
    <tableColumn id="13" xr3:uid="{28C48A81-EC2F-4FF1-8971-66A38C17B706}" uniqueName="13" name="an" queryTableFieldId="13" dataDxfId="7">
      <calculatedColumnFormula>1/(alpha_a + beta_a*LEN(movements[[#This Row],[Shunter]]))</calculatedColumnFormula>
    </tableColumn>
    <tableColumn id="14" xr3:uid="{8B159F5C-0EB0-41E0-8A75-6220F64B8A64}" uniqueName="14" name="dn" queryTableFieldId="14" dataDxfId="6">
      <calculatedColumnFormula>1/(alpha_d+beta_d*movements[[#This Row],[num_wagons]])</calculatedColumnFormula>
    </tableColumn>
    <tableColumn id="19" xr3:uid="{098689F2-16A5-4148-ACE5-69EE5C95E7A9}" uniqueName="19" name="an_reverse" queryTableFieldId="19" dataDxfId="5">
      <calculatedColumnFormula>1/(alpha_a + beta_a*LEN(D14))</calculatedColumnFormula>
    </tableColumn>
    <tableColumn id="18" xr3:uid="{B80F1A00-8F70-406C-90B5-83DA58EB67C5}" uniqueName="18" name="dn_reverse" queryTableFieldId="18" dataDxfId="4">
      <calculatedColumnFormula>1/(alpha_d+ beta_d*LEN(D14))</calculatedColumnFormula>
    </tableColumn>
    <tableColumn id="16" xr3:uid="{A11BD5C6-7FF1-4088-B9C0-FA396F658E5C}" uniqueName="16" name="movement_time" queryTableFieldId="16" dataDxfId="1">
      <calculatedColumnFormula>IF(movements[[#This Row],[track]]=0,0,_xlfn.XLOOKUP(movements[[#This Row],[track]],track_lengths[Track],track_lengths[Lengths])/sm/1000/2 + 0.5*sm*IF(movements[[#This Row],[movement]]="pull",(1/movements[[#This Row],[an]]+1/movements[[#This Row],[dn]]),(1/movements[[#This Row],[an_reverse]]+1/movements[[#This Row],[dn_reverse]])))</calculatedColumnFormula>
    </tableColumn>
    <tableColumn id="17" xr3:uid="{8978E47A-53EC-4BEA-99B5-C1998AEE2A8D}" uniqueName="17" name="movement_time_reverse" queryTableFieldId="17" dataDxfId="0">
      <calculatedColumnFormula>IF(movements[[#This Row],[track]]=0,0,_xlfn.XLOOKUP(movements[[#This Row],[track]],track_lengths[Track],track_lengths[Lengths])/sm/1000/2 + 0.5*sm*IF(movements[[#This Row],[movement]]="pull",(1/movements[[#This Row],[an_reverse]]+1/movements[[#This Row],[dn_reverse]]),(1/movements[[#This Row],[an]]+1/movements[[#This Row],[dn]])))</calculatedColumnFormula>
    </tableColumn>
    <tableColumn id="20" xr3:uid="{69D2B20A-419C-4806-A87E-E20F523AD947}" uniqueName="20" name="Total_time" queryTableFieldId="20" dataDxfId="3">
      <calculatedColumnFormula>movements[[#This Row],[ladder_time]]+movements[[#This Row],[movement_time]]+movements[[#This Row],[movement_time_reverse]]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958AE9-217F-465C-9171-1F756448EB35}" name="track_lengths" displayName="track_lengths" ref="E1:F6" totalsRowShown="0" headerRowDxfId="2">
  <autoFilter ref="E1:F6" xr:uid="{F0958AE9-217F-465C-9171-1F756448EB35}"/>
  <tableColumns count="2">
    <tableColumn id="1" xr3:uid="{8FAA9867-699D-48EA-97DC-F00875ECFADE}" name="Track"/>
    <tableColumn id="2" xr3:uid="{37A3958C-51AA-40A8-848F-3A176A89F64A}" name="Length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7C66-651F-469E-A627-79314720E3F9}">
  <dimension ref="A1:R34"/>
  <sheetViews>
    <sheetView tabSelected="1" workbookViewId="0">
      <selection activeCell="A5" sqref="A5"/>
    </sheetView>
  </sheetViews>
  <sheetFormatPr defaultRowHeight="14.5" x14ac:dyDescent="0.35"/>
  <cols>
    <col min="1" max="1" width="22.54296875" bestFit="1" customWidth="1"/>
    <col min="2" max="2" width="14.26953125" bestFit="1" customWidth="1"/>
    <col min="3" max="3" width="7.36328125" bestFit="1" customWidth="1"/>
    <col min="4" max="5" width="11.81640625" bestFit="1" customWidth="1"/>
    <col min="6" max="6" width="9.26953125" customWidth="1"/>
    <col min="10" max="10" width="13.36328125" bestFit="1" customWidth="1"/>
    <col min="11" max="11" width="13.36328125" customWidth="1"/>
    <col min="14" max="14" width="12.36328125" bestFit="1" customWidth="1"/>
    <col min="15" max="15" width="12.453125" bestFit="1" customWidth="1"/>
    <col min="16" max="16" width="17.08984375" bestFit="1" customWidth="1"/>
    <col min="17" max="17" width="24.453125" bestFit="1" customWidth="1"/>
    <col min="18" max="18" width="12.1796875" bestFit="1" customWidth="1"/>
  </cols>
  <sheetData>
    <row r="1" spans="1:18" x14ac:dyDescent="0.35">
      <c r="A1" s="2" t="s">
        <v>15</v>
      </c>
      <c r="B1">
        <v>6750</v>
      </c>
      <c r="E1" s="2" t="s">
        <v>22</v>
      </c>
      <c r="F1" s="2" t="s">
        <v>23</v>
      </c>
    </row>
    <row r="2" spans="1:18" x14ac:dyDescent="0.35">
      <c r="A2" s="2" t="s">
        <v>16</v>
      </c>
      <c r="B2">
        <v>6750</v>
      </c>
      <c r="E2">
        <v>1</v>
      </c>
      <c r="F2">
        <v>2000</v>
      </c>
    </row>
    <row r="3" spans="1:18" x14ac:dyDescent="0.35">
      <c r="A3" s="2" t="s">
        <v>17</v>
      </c>
      <c r="B3">
        <v>292.5</v>
      </c>
      <c r="E3">
        <v>2</v>
      </c>
      <c r="F3">
        <v>1900</v>
      </c>
    </row>
    <row r="4" spans="1:18" x14ac:dyDescent="0.35">
      <c r="A4" s="2" t="s">
        <v>18</v>
      </c>
      <c r="B4">
        <v>225</v>
      </c>
      <c r="E4">
        <v>3</v>
      </c>
      <c r="F4">
        <v>1800</v>
      </c>
    </row>
    <row r="5" spans="1:18" x14ac:dyDescent="0.35">
      <c r="A5" s="2" t="s">
        <v>19</v>
      </c>
      <c r="B5">
        <v>16</v>
      </c>
      <c r="E5">
        <v>4</v>
      </c>
      <c r="F5">
        <v>1700</v>
      </c>
    </row>
    <row r="6" spans="1:18" x14ac:dyDescent="0.35">
      <c r="A6" s="2" t="s">
        <v>20</v>
      </c>
      <c r="B6">
        <v>10</v>
      </c>
      <c r="E6">
        <v>5</v>
      </c>
      <c r="F6">
        <v>500</v>
      </c>
    </row>
    <row r="7" spans="1:18" x14ac:dyDescent="0.35">
      <c r="A7" s="2" t="s">
        <v>21</v>
      </c>
      <c r="B7">
        <v>15</v>
      </c>
    </row>
    <row r="8" spans="1:18" x14ac:dyDescent="0.35">
      <c r="A8" s="2" t="s">
        <v>26</v>
      </c>
      <c r="B8">
        <v>3</v>
      </c>
    </row>
    <row r="9" spans="1:18" x14ac:dyDescent="0.35">
      <c r="A9" s="2" t="s">
        <v>24</v>
      </c>
      <c r="B9">
        <f>B5/3600</f>
        <v>4.4444444444444444E-3</v>
      </c>
    </row>
    <row r="10" spans="1:18" x14ac:dyDescent="0.35">
      <c r="A10" s="2" t="s">
        <v>25</v>
      </c>
      <c r="B10">
        <f>B6/3600</f>
        <v>2.7777777777777779E-3</v>
      </c>
    </row>
    <row r="14" spans="1:18" x14ac:dyDescent="0.35">
      <c r="A14" t="s">
        <v>0</v>
      </c>
      <c r="B14" t="s">
        <v>1</v>
      </c>
      <c r="C14" t="s">
        <v>2</v>
      </c>
      <c r="D14" t="s">
        <v>13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14</v>
      </c>
      <c r="K14" t="s">
        <v>34</v>
      </c>
      <c r="L14" t="s">
        <v>27</v>
      </c>
      <c r="M14" t="s">
        <v>28</v>
      </c>
      <c r="N14" t="s">
        <v>30</v>
      </c>
      <c r="O14" t="s">
        <v>31</v>
      </c>
      <c r="P14" t="s">
        <v>29</v>
      </c>
      <c r="Q14" t="s">
        <v>32</v>
      </c>
      <c r="R14" t="s">
        <v>33</v>
      </c>
    </row>
    <row r="15" spans="1:18" x14ac:dyDescent="0.35">
      <c r="C15">
        <v>0</v>
      </c>
      <c r="D15" s="1" t="s">
        <v>12</v>
      </c>
      <c r="E15" s="1" t="s">
        <v>10</v>
      </c>
      <c r="F15" s="1" t="s">
        <v>11</v>
      </c>
      <c r="G15" s="1" t="s">
        <v>12</v>
      </c>
      <c r="H15" s="1" t="s">
        <v>12</v>
      </c>
      <c r="I15" s="1" t="s">
        <v>12</v>
      </c>
      <c r="P15">
        <f>IF(movements[[#This Row],[track]]=0,0,_xlfn.XLOOKUP(movements[[#This Row],[track]],track_lengths[Track],track_lengths[Lengths])/sm/1000/2 + 0.5*sm*IF(movements[[#This Row],[movement]]="pull",(1/movements[[#This Row],[an]]+1/movements[[#This Row],[dn]]),(1/movements[[#This Row],[an_reverse]]+1/movements[[#This Row],[dn_reverse]])))</f>
        <v>0</v>
      </c>
      <c r="Q15">
        <f>IF(movements[[#This Row],[track]]=0,0,_xlfn.XLOOKUP(movements[[#This Row],[track]],track_lengths[Track],track_lengths[Lengths])/sm/1000/2 + 0.5*sm*IF(movements[[#This Row],[movement]]="pull",(1/movements[[#This Row],[an_reverse]]+1/movements[[#This Row],[dn_reverse]]),(1/movements[[#This Row],[an]]+1/movements[[#This Row],[dn]])))</f>
        <v>0</v>
      </c>
      <c r="R15">
        <f>movements[[#This Row],[ladder_time]]+movements[[#This Row],[movement_time]]+movements[[#This Row],[movement_time_reverse]]</f>
        <v>0</v>
      </c>
    </row>
    <row r="16" spans="1:18" x14ac:dyDescent="0.35">
      <c r="A16" t="s">
        <v>3</v>
      </c>
      <c r="B16">
        <v>2</v>
      </c>
      <c r="C16">
        <v>1</v>
      </c>
      <c r="D16" t="str" cm="1">
        <f t="array" aca="1" ref="D16" ca="1">IF(movements[[#This Row],[movement]]="pull",D15 &amp; LEFT(INDIRECT(ADDRESS(ROW(D15), COLUMN(D16)+movements[[#This Row],[track]])),movements[[#This Row],[num_wagons]]),LEFT(D15,LEN(D15)-movements[[#This Row],[num_wagons]]))</f>
        <v>11</v>
      </c>
      <c r="E16" s="1" t="str">
        <f>IF(movements[[#This Row],[track]]=1, IF(movements[[#This Row],[movement]]="pull",MID(E15,movements[[#This Row],[num_wagons]]+1,LEN(E15)-movements[[#This Row],[num_wagons]]),RIGHT(D15,movements[[#This Row],[num_wagons]]) &amp; E15),E15)</f>
        <v>2204</v>
      </c>
      <c r="F16" s="1" t="str">
        <f>IF(movements[[#This Row],[track]]=2, IF(movements[[#This Row],[movement]]="pull",MID(F15,movements[[#This Row],[num_wagons]]+1,LEN(F15)-movements[[#This Row],[num_wagons]]),RIGHT(D15,movements[[#This Row],[num_wagons]]) &amp; F15),F15)</f>
        <v>20401</v>
      </c>
      <c r="G16" s="1" t="str">
        <f>IF(movements[[#This Row],[track]]=3, IF(movements[[#This Row],[movement]]="pull",MID(G15,movements[[#This Row],[num_wagons]]+1,LEN(G15)-movements[[#This Row],[num_wagons]]),RIGHT(D15,movements[[#This Row],[num_wagons]]) &amp; G15),G15)</f>
        <v/>
      </c>
      <c r="H16" s="1" t="str">
        <f>IF(movements[[#This Row],[track]]=4, IF(movements[[#This Row],[movement]]="pull",MID(H15,movements[[#This Row],[num_wagons]]+1,LEN(H15)-movements[[#This Row],[num_wagons]]),RIGHT(D15,movements[[#This Row],[num_wagons]]) &amp; H15),H15)</f>
        <v/>
      </c>
      <c r="I16" s="1" t="str">
        <f>IF(movements[[#This Row],[track]]=5, IF(movements[[#This Row],[movement]]="pull",MID(I15,movements[[#This Row],[num_wagons]]+1,LEN(I15)-movements[[#This Row],[num_wagons]]),RIGHT(D15,movements[[#This Row],[num_wagons]]) &amp; I15),I15)</f>
        <v/>
      </c>
      <c r="J16">
        <f>ABS(C15-movements[[#This Row],[track]])</f>
        <v>1</v>
      </c>
      <c r="K16">
        <f>movements[[#This Row],[Delta Tracks]]*track_separation/1000/ladder_kps</f>
        <v>1.08</v>
      </c>
      <c r="L16">
        <f ca="1">1/(alpha_a + beta_a*LEN(movements[[#This Row],[Shunter]]))</f>
        <v>1.3633265167007499E-4</v>
      </c>
      <c r="M16">
        <f ca="1">1/(alpha_d+beta_d*LEN(movements[[#This Row],[Shunter]]))</f>
        <v>1.3888888888888889E-4</v>
      </c>
      <c r="N16">
        <f t="shared" ref="N16:N26" si="0">1/(alpha_a + beta_a*LEN(D15))</f>
        <v>1.4814814814814815E-4</v>
      </c>
      <c r="O16">
        <f t="shared" ref="O16:O26" si="1">1/(alpha_d+ beta_d*LEN(D15))</f>
        <v>1.4814814814814815E-4</v>
      </c>
      <c r="P16">
        <f ca="1">IF(movements[[#This Row],[track]]=0,0,_xlfn.XLOOKUP(movements[[#This Row],[track]],track_lengths[Track],track_lengths[Lengths])/sm/1000/2 + 0.5*sm*IF(movements[[#This Row],[movement]]="pull",(1/movements[[#This Row],[an]]+1/movements[[#This Row],[dn]]),(1/movements[[#This Row],[an_reverse]]+1/movements[[#This Row],[dn_reverse]])))</f>
        <v>257.3</v>
      </c>
      <c r="Q16">
        <f>IF(movements[[#This Row],[track]]=0,0,_xlfn.XLOOKUP(movements[[#This Row],[track]],track_lengths[Track],track_lengths[Lengths])/sm/1000/2 + 0.5*sm*IF(movements[[#This Row],[movement]]="pull",(1/movements[[#This Row],[an_reverse]]+1/movements[[#This Row],[dn_reverse]]),(1/movements[[#This Row],[an]]+1/movements[[#This Row],[dn]])))</f>
        <v>255</v>
      </c>
      <c r="R16">
        <f ca="1">movements[[#This Row],[ladder_time]]+movements[[#This Row],[movement_time]]+movements[[#This Row],[movement_time_reverse]]</f>
        <v>513.38</v>
      </c>
    </row>
    <row r="17" spans="1:18" x14ac:dyDescent="0.35">
      <c r="A17" t="s">
        <v>4</v>
      </c>
      <c r="B17">
        <v>2</v>
      </c>
      <c r="C17">
        <v>3</v>
      </c>
      <c r="D17" t="str" cm="1">
        <f t="array" aca="1" ref="D17" ca="1">IF(movements[[#This Row],[movement]]="pull",D16 &amp; LEFT(INDIRECT(ADDRESS(ROW(D16), COLUMN(D17)+movements[[#This Row],[track]])),movements[[#This Row],[num_wagons]]),LEFT(D16,LEN(D16)-movements[[#This Row],[num_wagons]]))</f>
        <v/>
      </c>
      <c r="E17" s="1" t="str">
        <f>IF(movements[[#This Row],[track]]=1, IF(movements[[#This Row],[movement]]="pull",MID(E16,movements[[#This Row],[num_wagons]]+1,LEN(E16)-movements[[#This Row],[num_wagons]]),RIGHT(D16,movements[[#This Row],[num_wagons]]) &amp; E16),E16)</f>
        <v>2204</v>
      </c>
      <c r="F17" s="1" t="str">
        <f>IF(movements[[#This Row],[track]]=2, IF(movements[[#This Row],[movement]]="pull",MID(F16,movements[[#This Row],[num_wagons]]+1,LEN(F16)-movements[[#This Row],[num_wagons]]),""),F16)</f>
        <v>20401</v>
      </c>
      <c r="G17" s="1" t="str">
        <f ca="1">IF(movements[[#This Row],[track]]=3, IF(movements[[#This Row],[movement]]="pull",MID(G16,movements[[#This Row],[num_wagons]]+1,LEN(G16)-movements[[#This Row],[num_wagons]]),RIGHT(D16,movements[[#This Row],[num_wagons]]) &amp; G16),G16)</f>
        <v>11</v>
      </c>
      <c r="H17" s="1" t="str">
        <f>IF(movements[[#This Row],[track]]=4, IF(movements[[#This Row],[movement]]="pull",MID(H16,movements[[#This Row],[num_wagons]]+1,LEN(H16)-movements[[#This Row],[num_wagons]]),RIGHT(D16,movements[[#This Row],[num_wagons]]) &amp; H16),H16)</f>
        <v/>
      </c>
      <c r="I17" s="1" t="str">
        <f>IF(movements[[#This Row],[track]]=5, IF(movements[[#This Row],[movement]]="pull",MID(I16,movements[[#This Row],[num_wagons]]+1,LEN(I16)-movements[[#This Row],[num_wagons]]),RIGHT(D16,movements[[#This Row],[num_wagons]]) &amp; I16),I16)</f>
        <v/>
      </c>
      <c r="J17">
        <f>ABS(C16-movements[[#This Row],[track]])</f>
        <v>2</v>
      </c>
      <c r="K17">
        <f>movements[[#This Row],[Delta Tracks]]*track_separation/1000/ladder_kps</f>
        <v>2.16</v>
      </c>
      <c r="L17">
        <f ca="1">1/(alpha_a + beta_a*LEN(movements[[#This Row],[Shunter]]))</f>
        <v>1.4814814814814815E-4</v>
      </c>
      <c r="M17">
        <f ca="1">1/(alpha_d+beta_d*LEN(movements[[#This Row],[Shunter]]))</f>
        <v>1.4814814814814815E-4</v>
      </c>
      <c r="N17">
        <f t="shared" ca="1" si="0"/>
        <v>1.3633265167007499E-4</v>
      </c>
      <c r="O17">
        <f t="shared" ca="1" si="1"/>
        <v>1.3888888888888889E-4</v>
      </c>
      <c r="P17">
        <f ca="1">IF(movements[[#This Row],[track]]=0,0,_xlfn.XLOOKUP(movements[[#This Row],[track]],track_lengths[Track],track_lengths[Lengths])/sm/1000/2 + 0.5*sm*IF(movements[[#This Row],[movement]]="pull",(1/movements[[#This Row],[an]]+1/movements[[#This Row],[dn]]),(1/movements[[#This Row],[an_reverse]]+1/movements[[#This Row],[dn_reverse]])))</f>
        <v>234.8</v>
      </c>
      <c r="Q17">
        <f ca="1">IF(movements[[#This Row],[track]]=0,0,_xlfn.XLOOKUP(movements[[#This Row],[track]],track_lengths[Track],track_lengths[Lengths])/sm/1000/2 + 0.5*sm*IF(movements[[#This Row],[movement]]="pull",(1/movements[[#This Row],[an_reverse]]+1/movements[[#This Row],[dn_reverse]]),(1/movements[[#This Row],[an]]+1/movements[[#This Row],[dn]])))</f>
        <v>232.5</v>
      </c>
      <c r="R17">
        <f ca="1">movements[[#This Row],[ladder_time]]+movements[[#This Row],[movement_time]]+movements[[#This Row],[movement_time_reverse]]</f>
        <v>469.46000000000004</v>
      </c>
    </row>
    <row r="18" spans="1:18" x14ac:dyDescent="0.35">
      <c r="A18" t="s">
        <v>3</v>
      </c>
      <c r="B18">
        <v>2</v>
      </c>
      <c r="C18">
        <v>1</v>
      </c>
      <c r="D18" t="str" cm="1">
        <f t="array" aca="1" ref="D18" ca="1">IF(movements[[#This Row],[movement]]="pull",D17 &amp; LEFT(INDIRECT(ADDRESS(ROW(D17), COLUMN(D18)+movements[[#This Row],[track]])),movements[[#This Row],[num_wagons]]),LEFT(D17,LEN(D17)-movements[[#This Row],[num_wagons]]))</f>
        <v>22</v>
      </c>
      <c r="E18" s="1" t="str">
        <f>IF(movements[[#This Row],[track]]=1, IF(movements[[#This Row],[movement]]="pull",MID(E17,movements[[#This Row],[num_wagons]]+1,LEN(E17)-movements[[#This Row],[num_wagons]]),RIGHT(D17,movements[[#This Row],[num_wagons]]) &amp; E17),E17)</f>
        <v>04</v>
      </c>
      <c r="F18" s="1" t="str">
        <f>IF(movements[[#This Row],[track]]=2, IF(movements[[#This Row],[movement]]="pull",MID(F17,movements[[#This Row],[num_wagons]]+1,LEN(F17)-movements[[#This Row],[num_wagons]]),""),F17)</f>
        <v>20401</v>
      </c>
      <c r="G18" s="1" t="str">
        <f ca="1">IF(movements[[#This Row],[track]]=3, IF(movements[[#This Row],[movement]]="pull",MID(G17,movements[[#This Row],[num_wagons]]+1,LEN(G17)-movements[[#This Row],[num_wagons]]),RIGHT(D17,movements[[#This Row],[num_wagons]]) &amp; G17),G17)</f>
        <v>11</v>
      </c>
      <c r="H18" s="1" t="str">
        <f>IF(movements[[#This Row],[track]]=4, IF(movements[[#This Row],[movement]]="pull",MID(H17,movements[[#This Row],[num_wagons]]+1,LEN(H17)-movements[[#This Row],[num_wagons]]),RIGHT(D17,movements[[#This Row],[num_wagons]]) &amp; H17),H17)</f>
        <v/>
      </c>
      <c r="I18" s="1" t="str">
        <f>IF(movements[[#This Row],[track]]=5, IF(movements[[#This Row],[movement]]="pull",MID(I17,movements[[#This Row],[num_wagons]]+1,LEN(I17)-movements[[#This Row],[num_wagons]]),RIGHT(D17,movements[[#This Row],[num_wagons]]) &amp; I17),I17)</f>
        <v/>
      </c>
      <c r="J18">
        <f>ABS(C17-movements[[#This Row],[track]])</f>
        <v>2</v>
      </c>
      <c r="K18">
        <f>movements[[#This Row],[Delta Tracks]]*track_separation/1000/ladder_kps</f>
        <v>2.16</v>
      </c>
      <c r="L18">
        <f ca="1">1/(alpha_a + beta_a*LEN(movements[[#This Row],[Shunter]]))</f>
        <v>1.3633265167007499E-4</v>
      </c>
      <c r="M18">
        <f ca="1">1/(alpha_d+beta_d*LEN(movements[[#This Row],[Shunter]]))</f>
        <v>1.3888888888888889E-4</v>
      </c>
      <c r="N18">
        <f t="shared" ca="1" si="0"/>
        <v>1.4814814814814815E-4</v>
      </c>
      <c r="O18">
        <f t="shared" ca="1" si="1"/>
        <v>1.4814814814814815E-4</v>
      </c>
      <c r="P18">
        <f ca="1">IF(movements[[#This Row],[track]]=0,0,_xlfn.XLOOKUP(movements[[#This Row],[track]],track_lengths[Track],track_lengths[Lengths])/sm/1000/2 + 0.5*sm*IF(movements[[#This Row],[movement]]="pull",(1/movements[[#This Row],[an]]+1/movements[[#This Row],[dn]]),(1/movements[[#This Row],[an_reverse]]+1/movements[[#This Row],[dn_reverse]])))</f>
        <v>257.3</v>
      </c>
      <c r="Q18">
        <f ca="1">IF(movements[[#This Row],[track]]=0,0,_xlfn.XLOOKUP(movements[[#This Row],[track]],track_lengths[Track],track_lengths[Lengths])/sm/1000/2 + 0.5*sm*IF(movements[[#This Row],[movement]]="pull",(1/movements[[#This Row],[an_reverse]]+1/movements[[#This Row],[dn_reverse]]),(1/movements[[#This Row],[an]]+1/movements[[#This Row],[dn]])))</f>
        <v>255</v>
      </c>
      <c r="R18">
        <f ca="1">movements[[#This Row],[ladder_time]]+movements[[#This Row],[movement_time]]+movements[[#This Row],[movement_time_reverse]]</f>
        <v>514.46</v>
      </c>
    </row>
    <row r="19" spans="1:18" x14ac:dyDescent="0.35">
      <c r="A19" t="s">
        <v>4</v>
      </c>
      <c r="B19">
        <v>2</v>
      </c>
      <c r="C19">
        <v>3</v>
      </c>
      <c r="D19" t="str" cm="1">
        <f t="array" aca="1" ref="D19" ca="1">IF(movements[[#This Row],[movement]]="pull",D18 &amp; LEFT(INDIRECT(ADDRESS(ROW(D18), COLUMN(D19)+movements[[#This Row],[track]])),movements[[#This Row],[num_wagons]]),LEFT(D18,LEN(D18)-movements[[#This Row],[num_wagons]]))</f>
        <v/>
      </c>
      <c r="E19" s="1" t="str">
        <f>IF(movements[[#This Row],[track]]=1, IF(movements[[#This Row],[movement]]="pull",MID(E18,movements[[#This Row],[num_wagons]]+1,LEN(E18)-movements[[#This Row],[num_wagons]]),RIGHT(D18,movements[[#This Row],[num_wagons]]) &amp; E18),E18)</f>
        <v>04</v>
      </c>
      <c r="F19" s="1" t="str">
        <f>IF(movements[[#This Row],[track]]=2, IF(movements[[#This Row],[movement]]="pull",MID(F18,movements[[#This Row],[num_wagons]]+1,LEN(F18)-movements[[#This Row],[num_wagons]]),""),F18)</f>
        <v>20401</v>
      </c>
      <c r="G19" s="1" t="str">
        <f ca="1">IF(movements[[#This Row],[track]]=3, IF(movements[[#This Row],[movement]]="pull",MID(G18,movements[[#This Row],[num_wagons]]+1,LEN(G18)-movements[[#This Row],[num_wagons]]),RIGHT(D18,movements[[#This Row],[num_wagons]]) &amp; G18),G18)</f>
        <v>2211</v>
      </c>
      <c r="H19" s="1" t="str">
        <f>IF(movements[[#This Row],[track]]=4, IF(movements[[#This Row],[movement]]="pull",MID(H18,movements[[#This Row],[num_wagons]]+1,LEN(H18)-movements[[#This Row],[num_wagons]]),RIGHT(D18,movements[[#This Row],[num_wagons]]) &amp; H18),H18)</f>
        <v/>
      </c>
      <c r="I19" s="1" t="str">
        <f>IF(movements[[#This Row],[track]]=5, IF(movements[[#This Row],[movement]]="pull",MID(I18,movements[[#This Row],[num_wagons]]+1,LEN(I18)-movements[[#This Row],[num_wagons]]),RIGHT(D18,movements[[#This Row],[num_wagons]]) &amp; I18),I18)</f>
        <v/>
      </c>
      <c r="J19">
        <f>ABS(C18-movements[[#This Row],[track]])</f>
        <v>2</v>
      </c>
      <c r="K19">
        <f>movements[[#This Row],[Delta Tracks]]*track_separation/1000/ladder_kps</f>
        <v>2.16</v>
      </c>
      <c r="L19">
        <f ca="1">1/(alpha_a + beta_a*LEN(movements[[#This Row],[Shunter]]))</f>
        <v>1.4814814814814815E-4</v>
      </c>
      <c r="M19">
        <f ca="1">1/(alpha_d+beta_d*LEN(movements[[#This Row],[Shunter]]))</f>
        <v>1.4814814814814815E-4</v>
      </c>
      <c r="N19">
        <f t="shared" ca="1" si="0"/>
        <v>1.3633265167007499E-4</v>
      </c>
      <c r="O19">
        <f t="shared" ca="1" si="1"/>
        <v>1.3888888888888889E-4</v>
      </c>
      <c r="P19">
        <f ca="1">IF(movements[[#This Row],[track]]=0,0,_xlfn.XLOOKUP(movements[[#This Row],[track]],track_lengths[Track],track_lengths[Lengths])/sm/1000/2 + 0.5*sm*IF(movements[[#This Row],[movement]]="pull",(1/movements[[#This Row],[an]]+1/movements[[#This Row],[dn]]),(1/movements[[#This Row],[an_reverse]]+1/movements[[#This Row],[dn_reverse]])))</f>
        <v>234.8</v>
      </c>
      <c r="Q19">
        <f ca="1">IF(movements[[#This Row],[track]]=0,0,_xlfn.XLOOKUP(movements[[#This Row],[track]],track_lengths[Track],track_lengths[Lengths])/sm/1000/2 + 0.5*sm*IF(movements[[#This Row],[movement]]="pull",(1/movements[[#This Row],[an_reverse]]+1/movements[[#This Row],[dn_reverse]]),(1/movements[[#This Row],[an]]+1/movements[[#This Row],[dn]])))</f>
        <v>232.5</v>
      </c>
      <c r="R19">
        <f ca="1">movements[[#This Row],[ladder_time]]+movements[[#This Row],[movement_time]]+movements[[#This Row],[movement_time_reverse]]</f>
        <v>469.46000000000004</v>
      </c>
    </row>
    <row r="20" spans="1:18" x14ac:dyDescent="0.35">
      <c r="A20" t="s">
        <v>3</v>
      </c>
      <c r="B20">
        <v>4</v>
      </c>
      <c r="C20">
        <v>2</v>
      </c>
      <c r="D20" t="str" cm="1">
        <f t="array" aca="1" ref="D20" ca="1">IF(movements[[#This Row],[movement]]="pull",D19 &amp; LEFT(INDIRECT(ADDRESS(ROW(D19), COLUMN(D20)+movements[[#This Row],[track]])),movements[[#This Row],[num_wagons]]),LEFT(D19,LEN(D19)-movements[[#This Row],[num_wagons]]))</f>
        <v>2040</v>
      </c>
      <c r="E20" s="1" t="str">
        <f>IF(movements[[#This Row],[track]]=1, IF(movements[[#This Row],[movement]]="pull",MID(E19,movements[[#This Row],[num_wagons]]+1,LEN(E19)-movements[[#This Row],[num_wagons]]),RIGHT(D19,movements[[#This Row],[num_wagons]]) &amp; E19),E19)</f>
        <v>04</v>
      </c>
      <c r="F20" s="1" t="str">
        <f>IF(movements[[#This Row],[track]]=2, IF(movements[[#This Row],[movement]]="pull",MID(F19,movements[[#This Row],[num_wagons]]+1,LEN(F19)-movements[[#This Row],[num_wagons]]),""),F19)</f>
        <v>1</v>
      </c>
      <c r="G20" s="1" t="str">
        <f ca="1">IF(movements[[#This Row],[track]]=3, IF(movements[[#This Row],[movement]]="pull",MID(G19,movements[[#This Row],[num_wagons]]+1,LEN(G19)-movements[[#This Row],[num_wagons]]),RIGHT(D19,movements[[#This Row],[num_wagons]]) &amp; G19),G19)</f>
        <v>2211</v>
      </c>
      <c r="H20" s="1" t="str">
        <f>IF(movements[[#This Row],[track]]=4, IF(movements[[#This Row],[movement]]="pull",MID(H19,movements[[#This Row],[num_wagons]]+1,LEN(H19)-movements[[#This Row],[num_wagons]]),RIGHT(D19,movements[[#This Row],[num_wagons]]) &amp; H19),H19)</f>
        <v/>
      </c>
      <c r="I20" s="1" t="str">
        <f>IF(movements[[#This Row],[track]]=5, IF(movements[[#This Row],[movement]]="pull",MID(I19,movements[[#This Row],[num_wagons]]+1,LEN(I19)-movements[[#This Row],[num_wagons]]),RIGHT(D19,movements[[#This Row],[num_wagons]]) &amp; I19),I19)</f>
        <v/>
      </c>
      <c r="J20">
        <f>ABS(C19-movements[[#This Row],[track]])</f>
        <v>1</v>
      </c>
      <c r="K20">
        <f>movements[[#This Row],[Delta Tracks]]*track_separation/1000/ladder_kps</f>
        <v>1.08</v>
      </c>
      <c r="L20">
        <f ca="1">1/(alpha_a + beta_a*LEN(movements[[#This Row],[Shunter]]))</f>
        <v>1.2626262626262626E-4</v>
      </c>
      <c r="M20">
        <f ca="1">1/(alpha_d+beta_d*LEN(movements[[#This Row],[Shunter]]))</f>
        <v>1.3071895424836603E-4</v>
      </c>
      <c r="N20">
        <f t="shared" ca="1" si="0"/>
        <v>1.4814814814814815E-4</v>
      </c>
      <c r="O20">
        <f t="shared" ca="1" si="1"/>
        <v>1.4814814814814815E-4</v>
      </c>
      <c r="P20">
        <f ca="1">IF(movements[[#This Row],[track]]=0,0,_xlfn.XLOOKUP(movements[[#This Row],[track]],track_lengths[Track],track_lengths[Lengths])/sm/1000/2 + 0.5*sm*IF(movements[[#This Row],[movement]]="pull",(1/movements[[#This Row],[an]]+1/movements[[#This Row],[dn]]),(1/movements[[#This Row],[an_reverse]]+1/movements[[#This Row],[dn_reverse]])))</f>
        <v>248.35</v>
      </c>
      <c r="Q20">
        <f ca="1">IF(movements[[#This Row],[track]]=0,0,_xlfn.XLOOKUP(movements[[#This Row],[track]],track_lengths[Track],track_lengths[Lengths])/sm/1000/2 + 0.5*sm*IF(movements[[#This Row],[movement]]="pull",(1/movements[[#This Row],[an_reverse]]+1/movements[[#This Row],[dn_reverse]]),(1/movements[[#This Row],[an]]+1/movements[[#This Row],[dn]])))</f>
        <v>243.75</v>
      </c>
      <c r="R20">
        <f ca="1">movements[[#This Row],[ladder_time]]+movements[[#This Row],[movement_time]]+movements[[#This Row],[movement_time_reverse]]</f>
        <v>493.18</v>
      </c>
    </row>
    <row r="21" spans="1:18" x14ac:dyDescent="0.35">
      <c r="A21" t="s">
        <v>4</v>
      </c>
      <c r="B21">
        <v>1</v>
      </c>
      <c r="C21">
        <v>4</v>
      </c>
      <c r="D21" t="str" cm="1">
        <f t="array" aca="1" ref="D21" ca="1">IF(movements[[#This Row],[movement]]="pull",D20 &amp; LEFT(INDIRECT(ADDRESS(ROW(D20), COLUMN(D21)+movements[[#This Row],[track]])),movements[[#This Row],[num_wagons]]),LEFT(D20,LEN(D20)-movements[[#This Row],[num_wagons]]))</f>
        <v>204</v>
      </c>
      <c r="E21" s="1" t="str">
        <f>IF(movements[[#This Row],[track]]=1, IF(movements[[#This Row],[movement]]="pull",MID(E20,movements[[#This Row],[num_wagons]]+1,LEN(E20)-movements[[#This Row],[num_wagons]]),RIGHT(D20,movements[[#This Row],[num_wagons]]) &amp; E20),E20)</f>
        <v>04</v>
      </c>
      <c r="F21" s="1" t="str">
        <f>IF(movements[[#This Row],[track]]=2, IF(movements[[#This Row],[movement]]="pull",MID(F20,movements[[#This Row],[num_wagons]]+1,LEN(F20)-movements[[#This Row],[num_wagons]]),""),F20)</f>
        <v>1</v>
      </c>
      <c r="G21" s="1" t="str">
        <f ca="1">IF(movements[[#This Row],[track]]=3, IF(movements[[#This Row],[movement]]="pull",MID(G20,movements[[#This Row],[num_wagons]]+1,LEN(G20)-movements[[#This Row],[num_wagons]]),RIGHT(D20,movements[[#This Row],[num_wagons]]) &amp; G20),G20)</f>
        <v>2211</v>
      </c>
      <c r="H21" s="1" t="str">
        <f ca="1">IF(movements[[#This Row],[track]]=4, IF(movements[[#This Row],[movement]]="pull",MID(H20,movements[[#This Row],[num_wagons]]+1,LEN(H20)-movements[[#This Row],[num_wagons]]),RIGHT(D20,movements[[#This Row],[num_wagons]]) &amp; H20),H20)</f>
        <v>0</v>
      </c>
      <c r="I21" s="1" t="str">
        <f>IF(movements[[#This Row],[track]]=5, IF(movements[[#This Row],[movement]]="pull",MID(I20,movements[[#This Row],[num_wagons]]+1,LEN(I20)-movements[[#This Row],[num_wagons]]),RIGHT(D20,movements[[#This Row],[num_wagons]]) &amp; I20),I20)</f>
        <v/>
      </c>
      <c r="J21">
        <f>ABS(C20-movements[[#This Row],[track]])</f>
        <v>2</v>
      </c>
      <c r="K21">
        <f>movements[[#This Row],[Delta Tracks]]*track_separation/1000/ladder_kps</f>
        <v>2.16</v>
      </c>
      <c r="L21">
        <f ca="1">1/(alpha_a + beta_a*LEN(movements[[#This Row],[Shunter]]))</f>
        <v>1.3110455588331694E-4</v>
      </c>
      <c r="M21">
        <f ca="1">1/(alpha_d+beta_d*LEN(movements[[#This Row],[Shunter]]))</f>
        <v>1.3468013468013467E-4</v>
      </c>
      <c r="N21">
        <f t="shared" ca="1" si="0"/>
        <v>1.2626262626262626E-4</v>
      </c>
      <c r="O21">
        <f t="shared" ca="1" si="1"/>
        <v>1.3071895424836603E-4</v>
      </c>
      <c r="P21">
        <f ca="1">IF(movements[[#This Row],[track]]=0,0,_xlfn.XLOOKUP(movements[[#This Row],[track]],track_lengths[Track],track_lengths[Lengths])/sm/1000/2 + 0.5*sm*IF(movements[[#This Row],[movement]]="pull",(1/movements[[#This Row],[an]]+1/movements[[#This Row],[dn]]),(1/movements[[#This Row],[an_reverse]]+1/movements[[#This Row],[dn_reverse]])))</f>
        <v>225.85</v>
      </c>
      <c r="Q21">
        <f ca="1">IF(movements[[#This Row],[track]]=0,0,_xlfn.XLOOKUP(movements[[#This Row],[track]],track_lengths[Track],track_lengths[Lengths])/sm/1000/2 + 0.5*sm*IF(movements[[#This Row],[movement]]="pull",(1/movements[[#This Row],[an_reverse]]+1/movements[[#This Row],[dn_reverse]]),(1/movements[[#This Row],[an]]+1/movements[[#This Row],[dn]])))</f>
        <v>224.7</v>
      </c>
      <c r="R21">
        <f ca="1">movements[[#This Row],[ladder_time]]+movements[[#This Row],[movement_time]]+movements[[#This Row],[movement_time_reverse]]</f>
        <v>452.71</v>
      </c>
    </row>
    <row r="22" spans="1:18" x14ac:dyDescent="0.35">
      <c r="A22" t="s">
        <v>4</v>
      </c>
      <c r="B22">
        <v>1</v>
      </c>
      <c r="C22">
        <v>5</v>
      </c>
      <c r="D22" t="str" cm="1">
        <f t="array" aca="1" ref="D22" ca="1">IF(movements[[#This Row],[movement]]="pull",D21 &amp; LEFT(INDIRECT(ADDRESS(ROW(D21), COLUMN(D22)+movements[[#This Row],[track]])),movements[[#This Row],[num_wagons]]),LEFT(D21,LEN(D21)-movements[[#This Row],[num_wagons]]))</f>
        <v>20</v>
      </c>
      <c r="E22" s="1" t="str">
        <f>IF(movements[[#This Row],[track]]=1, IF(movements[[#This Row],[movement]]="pull",MID(E21,movements[[#This Row],[num_wagons]]+1,LEN(E21)-movements[[#This Row],[num_wagons]]),RIGHT(D21,movements[[#This Row],[num_wagons]]) &amp; E21),E21)</f>
        <v>04</v>
      </c>
      <c r="F22" s="1" t="str">
        <f>IF(movements[[#This Row],[track]]=2, IF(movements[[#This Row],[movement]]="pull",MID(F21,movements[[#This Row],[num_wagons]]+1,LEN(F21)-movements[[#This Row],[num_wagons]]),""),F21)</f>
        <v>1</v>
      </c>
      <c r="G22" s="1" t="str">
        <f ca="1">IF(movements[[#This Row],[track]]=3, IF(movements[[#This Row],[movement]]="pull",MID(G21,movements[[#This Row],[num_wagons]]+1,LEN(G21)-movements[[#This Row],[num_wagons]]),RIGHT(D21,movements[[#This Row],[num_wagons]]) &amp; G21),G21)</f>
        <v>2211</v>
      </c>
      <c r="H22" s="1" t="str">
        <f ca="1">IF(movements[[#This Row],[track]]=4, IF(movements[[#This Row],[movement]]="pull",MID(H21,movements[[#This Row],[num_wagons]]+1,LEN(H21)-movements[[#This Row],[num_wagons]]),RIGHT(D21,movements[[#This Row],[num_wagons]]) &amp; H21),H21)</f>
        <v>0</v>
      </c>
      <c r="I22" s="1" t="str">
        <f ca="1">IF(movements[[#This Row],[track]]=5, IF(movements[[#This Row],[movement]]="pull",MID(I21,movements[[#This Row],[num_wagons]]+1,LEN(I21)-movements[[#This Row],[num_wagons]]),RIGHT(D21,movements[[#This Row],[num_wagons]]) &amp; I21),I21)</f>
        <v>4</v>
      </c>
      <c r="J22">
        <f>ABS(C21-movements[[#This Row],[track]])</f>
        <v>1</v>
      </c>
      <c r="K22">
        <f>movements[[#This Row],[Delta Tracks]]*track_separation/1000/ladder_kps</f>
        <v>1.08</v>
      </c>
      <c r="L22">
        <f ca="1">1/(alpha_a + beta_a*LEN(movements[[#This Row],[Shunter]]))</f>
        <v>1.3633265167007499E-4</v>
      </c>
      <c r="M22">
        <f ca="1">1/(alpha_d+beta_d*LEN(movements[[#This Row],[Shunter]]))</f>
        <v>1.3888888888888889E-4</v>
      </c>
      <c r="N22">
        <f t="shared" ca="1" si="0"/>
        <v>1.3110455588331694E-4</v>
      </c>
      <c r="O22">
        <f t="shared" ca="1" si="1"/>
        <v>1.3468013468013467E-4</v>
      </c>
      <c r="P22">
        <f ca="1">IF(movements[[#This Row],[track]]=0,0,_xlfn.XLOOKUP(movements[[#This Row],[track]],track_lengths[Track],track_lengths[Lengths])/sm/1000/2 + 0.5*sm*IF(movements[[#This Row],[movement]]="pull",(1/movements[[#This Row],[an]]+1/movements[[#This Row],[dn]]),(1/movements[[#This Row],[an_reverse]]+1/movements[[#This Row],[dn_reverse]])))</f>
        <v>89.7</v>
      </c>
      <c r="Q22">
        <f ca="1">IF(movements[[#This Row],[track]]=0,0,_xlfn.XLOOKUP(movements[[#This Row],[track]],track_lengths[Track],track_lengths[Lengths])/sm/1000/2 + 0.5*sm*IF(movements[[#This Row],[movement]]="pull",(1/movements[[#This Row],[an_reverse]]+1/movements[[#This Row],[dn_reverse]]),(1/movements[[#This Row],[an]]+1/movements[[#This Row],[dn]])))</f>
        <v>88.55</v>
      </c>
      <c r="R22">
        <f ca="1">movements[[#This Row],[ladder_time]]+movements[[#This Row],[movement_time]]+movements[[#This Row],[movement_time_reverse]]</f>
        <v>179.32999999999998</v>
      </c>
    </row>
    <row r="23" spans="1:18" x14ac:dyDescent="0.35">
      <c r="A23" t="s">
        <v>4</v>
      </c>
      <c r="B23">
        <v>1</v>
      </c>
      <c r="C23">
        <v>4</v>
      </c>
      <c r="D23" t="str" cm="1">
        <f t="array" aca="1" ref="D23" ca="1">IF(movements[[#This Row],[movement]]="pull",D22 &amp; LEFT(INDIRECT(ADDRESS(ROW(D22), COLUMN(D23)+movements[[#This Row],[track]])),movements[[#This Row],[num_wagons]]),LEFT(D22,LEN(D22)-movements[[#This Row],[num_wagons]]))</f>
        <v>2</v>
      </c>
      <c r="E23" s="1" t="str">
        <f>IF(movements[[#This Row],[track]]=1, IF(movements[[#This Row],[movement]]="pull",MID(E22,movements[[#This Row],[num_wagons]]+1,LEN(E22)-movements[[#This Row],[num_wagons]]),RIGHT(D22,movements[[#This Row],[num_wagons]]) &amp; E22),E22)</f>
        <v>04</v>
      </c>
      <c r="F23" s="1" t="str">
        <f>IF(movements[[#This Row],[track]]=2, IF(movements[[#This Row],[movement]]="pull",MID(F22,movements[[#This Row],[num_wagons]]+1,LEN(F22)-movements[[#This Row],[num_wagons]]),""),F22)</f>
        <v>1</v>
      </c>
      <c r="G23" s="1" t="str">
        <f ca="1">IF(movements[[#This Row],[track]]=3, IF(movements[[#This Row],[movement]]="pull",MID(G22,movements[[#This Row],[num_wagons]]+1,LEN(G22)-movements[[#This Row],[num_wagons]]),RIGHT(D22,movements[[#This Row],[num_wagons]]) &amp; G22),G22)</f>
        <v>2211</v>
      </c>
      <c r="H23" s="1" t="str">
        <f ca="1">IF(movements[[#This Row],[track]]=4, IF(movements[[#This Row],[movement]]="pull",MID(H22,movements[[#This Row],[num_wagons]]+1,LEN(H22)-movements[[#This Row],[num_wagons]]),RIGHT(D22,movements[[#This Row],[num_wagons]]) &amp; H22),H22)</f>
        <v>00</v>
      </c>
      <c r="I23" s="1" t="str">
        <f ca="1">IF(movements[[#This Row],[track]]=5, IF(movements[[#This Row],[movement]]="pull",MID(I22,movements[[#This Row],[num_wagons]]+1,LEN(I22)-movements[[#This Row],[num_wagons]]),RIGHT(D22,movements[[#This Row],[num_wagons]]) &amp; I22),I22)</f>
        <v>4</v>
      </c>
      <c r="J23">
        <f>ABS(C22-movements[[#This Row],[track]])</f>
        <v>1</v>
      </c>
      <c r="K23">
        <f>movements[[#This Row],[Delta Tracks]]*track_separation/1000/ladder_kps</f>
        <v>1.08</v>
      </c>
      <c r="L23">
        <f ca="1">1/(alpha_a + beta_a*LEN(movements[[#This Row],[Shunter]]))</f>
        <v>1.4199503017394392E-4</v>
      </c>
      <c r="M23">
        <f ca="1">1/(alpha_d+beta_d*LEN(movements[[#This Row],[Shunter]]))</f>
        <v>1.4336917562724014E-4</v>
      </c>
      <c r="N23">
        <f t="shared" ca="1" si="0"/>
        <v>1.3633265167007499E-4</v>
      </c>
      <c r="O23">
        <f t="shared" ca="1" si="1"/>
        <v>1.3888888888888889E-4</v>
      </c>
      <c r="P23">
        <f ca="1">IF(movements[[#This Row],[track]]=0,0,_xlfn.XLOOKUP(movements[[#This Row],[track]],track_lengths[Track],track_lengths[Lengths])/sm/1000/2 + 0.5*sm*IF(movements[[#This Row],[movement]]="pull",(1/movements[[#This Row],[an]]+1/movements[[#This Row],[dn]]),(1/movements[[#This Row],[an_reverse]]+1/movements[[#This Row],[dn_reverse]])))</f>
        <v>223.55</v>
      </c>
      <c r="Q23">
        <f ca="1">IF(movements[[#This Row],[track]]=0,0,_xlfn.XLOOKUP(movements[[#This Row],[track]],track_lengths[Track],track_lengths[Lengths])/sm/1000/2 + 0.5*sm*IF(movements[[#This Row],[movement]]="pull",(1/movements[[#This Row],[an_reverse]]+1/movements[[#This Row],[dn_reverse]]),(1/movements[[#This Row],[an]]+1/movements[[#This Row],[dn]])))</f>
        <v>222.4</v>
      </c>
      <c r="R23">
        <f ca="1">movements[[#This Row],[ladder_time]]+movements[[#This Row],[movement_time]]+movements[[#This Row],[movement_time_reverse]]</f>
        <v>447.03000000000003</v>
      </c>
    </row>
    <row r="24" spans="1:18" x14ac:dyDescent="0.35">
      <c r="A24" t="s">
        <v>4</v>
      </c>
      <c r="B24">
        <v>1</v>
      </c>
      <c r="C24">
        <v>3</v>
      </c>
      <c r="D24" t="str" cm="1">
        <f t="array" aca="1" ref="D24" ca="1">IF(movements[[#This Row],[movement]]="pull",D23 &amp; LEFT(INDIRECT(ADDRESS(ROW(D23), COLUMN(D24)+movements[[#This Row],[track]])),movements[[#This Row],[num_wagons]]),LEFT(D23,LEN(D23)-movements[[#This Row],[num_wagons]]))</f>
        <v/>
      </c>
      <c r="E24" s="1" t="str">
        <f>IF(movements[[#This Row],[track]]=1, IF(movements[[#This Row],[movement]]="pull",MID(E23,movements[[#This Row],[num_wagons]]+1,LEN(E23)-movements[[#This Row],[num_wagons]]),RIGHT(D23,movements[[#This Row],[num_wagons]]) &amp; E23),E23)</f>
        <v>04</v>
      </c>
      <c r="F24" s="1" t="str">
        <f>IF(movements[[#This Row],[track]]=2, IF(movements[[#This Row],[movement]]="pull",MID(F23,movements[[#This Row],[num_wagons]]+1,LEN(F23)-movements[[#This Row],[num_wagons]]),""),F23)</f>
        <v>1</v>
      </c>
      <c r="G24" s="1" t="str">
        <f ca="1">IF(movements[[#This Row],[track]]=3, IF(movements[[#This Row],[movement]]="pull",MID(G23,movements[[#This Row],[num_wagons]]+1,LEN(G23)-movements[[#This Row],[num_wagons]]),RIGHT(D23,movements[[#This Row],[num_wagons]]) &amp; G23),G23)</f>
        <v>22211</v>
      </c>
      <c r="H24" s="1" t="str">
        <f ca="1">IF(movements[[#This Row],[track]]=4, IF(movements[[#This Row],[movement]]="pull",MID(H23,movements[[#This Row],[num_wagons]]+1,LEN(H23)-movements[[#This Row],[num_wagons]]),RIGHT(D23,movements[[#This Row],[num_wagons]]) &amp; H23),H23)</f>
        <v>00</v>
      </c>
      <c r="I24" s="1" t="str">
        <f ca="1">IF(movements[[#This Row],[track]]=5, IF(movements[[#This Row],[movement]]="pull",MID(I23,movements[[#This Row],[num_wagons]]+1,LEN(I23)-movements[[#This Row],[num_wagons]]),RIGHT(D23,movements[[#This Row],[num_wagons]]) &amp; I23),I23)</f>
        <v>4</v>
      </c>
      <c r="J24">
        <f>ABS(C23-movements[[#This Row],[track]])</f>
        <v>1</v>
      </c>
      <c r="K24">
        <f>movements[[#This Row],[Delta Tracks]]*track_separation/1000/ladder_kps</f>
        <v>1.08</v>
      </c>
      <c r="L24">
        <f ca="1">1/(alpha_a + beta_a*LEN(movements[[#This Row],[Shunter]]))</f>
        <v>1.4814814814814815E-4</v>
      </c>
      <c r="M24">
        <f ca="1">1/(alpha_d+beta_d*LEN(movements[[#This Row],[Shunter]]))</f>
        <v>1.4814814814814815E-4</v>
      </c>
      <c r="N24">
        <f t="shared" ca="1" si="0"/>
        <v>1.4199503017394392E-4</v>
      </c>
      <c r="O24">
        <f t="shared" ca="1" si="1"/>
        <v>1.4336917562724014E-4</v>
      </c>
      <c r="P24">
        <f ca="1">IF(movements[[#This Row],[track]]=0,0,_xlfn.XLOOKUP(movements[[#This Row],[track]],track_lengths[Track],track_lengths[Lengths])/sm/1000/2 + 0.5*sm*IF(movements[[#This Row],[movement]]="pull",(1/movements[[#This Row],[an]]+1/movements[[#This Row],[dn]]),(1/movements[[#This Row],[an_reverse]]+1/movements[[#This Row],[dn_reverse]])))</f>
        <v>233.65</v>
      </c>
      <c r="Q24">
        <f ca="1">IF(movements[[#This Row],[track]]=0,0,_xlfn.XLOOKUP(movements[[#This Row],[track]],track_lengths[Track],track_lengths[Lengths])/sm/1000/2 + 0.5*sm*IF(movements[[#This Row],[movement]]="pull",(1/movements[[#This Row],[an_reverse]]+1/movements[[#This Row],[dn_reverse]]),(1/movements[[#This Row],[an]]+1/movements[[#This Row],[dn]])))</f>
        <v>232.5</v>
      </c>
      <c r="R24">
        <f ca="1">movements[[#This Row],[ladder_time]]+movements[[#This Row],[movement_time]]+movements[[#This Row],[movement_time_reverse]]</f>
        <v>467.23</v>
      </c>
    </row>
    <row r="25" spans="1:18" x14ac:dyDescent="0.35">
      <c r="A25" t="s">
        <v>3</v>
      </c>
      <c r="B25">
        <v>2</v>
      </c>
      <c r="C25">
        <v>1</v>
      </c>
      <c r="D25" t="str" cm="1">
        <f t="array" aca="1" ref="D25" ca="1">IF(movements[[#This Row],[movement]]="pull",D24 &amp; LEFT(INDIRECT(ADDRESS(ROW(D24), COLUMN(D25)+movements[[#This Row],[track]])),movements[[#This Row],[num_wagons]]),LEFT(D24,LEN(D24)-movements[[#This Row],[num_wagons]]))</f>
        <v>04</v>
      </c>
      <c r="E25" s="1" t="str">
        <f>IF(movements[[#This Row],[track]]=1, IF(movements[[#This Row],[movement]]="pull",MID(E24,movements[[#This Row],[num_wagons]]+1,LEN(E24)-movements[[#This Row],[num_wagons]]),RIGHT(D24,movements[[#This Row],[num_wagons]]) &amp; E24),E24)</f>
        <v/>
      </c>
      <c r="F25" s="1" t="str">
        <f>IF(movements[[#This Row],[track]]=2, IF(movements[[#This Row],[movement]]="pull",MID(F24,movements[[#This Row],[num_wagons]]+1,LEN(F24)-movements[[#This Row],[num_wagons]]),""),F24)</f>
        <v>1</v>
      </c>
      <c r="G25" s="1" t="str">
        <f ca="1">IF(movements[[#This Row],[track]]=3, IF(movements[[#This Row],[movement]]="pull",MID(G24,movements[[#This Row],[num_wagons]]+1,LEN(G24)-movements[[#This Row],[num_wagons]]),RIGHT(D24,movements[[#This Row],[num_wagons]]) &amp; G24),G24)</f>
        <v>22211</v>
      </c>
      <c r="H25" s="1" t="str">
        <f ca="1">IF(movements[[#This Row],[track]]=4, IF(movements[[#This Row],[movement]]="pull",MID(H24,movements[[#This Row],[num_wagons]]+1,LEN(H24)-movements[[#This Row],[num_wagons]]),RIGHT(D24,movements[[#This Row],[num_wagons]]) &amp; H24),H24)</f>
        <v>00</v>
      </c>
      <c r="I25" s="1" t="str">
        <f ca="1">IF(movements[[#This Row],[track]]=5, IF(movements[[#This Row],[movement]]="pull",MID(I24,movements[[#This Row],[num_wagons]]+1,LEN(I24)-movements[[#This Row],[num_wagons]]),RIGHT(D24,movements[[#This Row],[num_wagons]]) &amp; I24),I24)</f>
        <v>4</v>
      </c>
      <c r="J25">
        <f>ABS(C24-movements[[#This Row],[track]])</f>
        <v>2</v>
      </c>
      <c r="K25">
        <f>movements[[#This Row],[Delta Tracks]]*track_separation/1000/ladder_kps</f>
        <v>2.16</v>
      </c>
      <c r="L25">
        <f ca="1">1/(alpha_a + beta_a*LEN(movements[[#This Row],[Shunter]]))</f>
        <v>1.3633265167007499E-4</v>
      </c>
      <c r="M25">
        <f ca="1">1/(alpha_d+beta_d*LEN(movements[[#This Row],[Shunter]]))</f>
        <v>1.3888888888888889E-4</v>
      </c>
      <c r="N25">
        <f t="shared" ca="1" si="0"/>
        <v>1.4814814814814815E-4</v>
      </c>
      <c r="O25">
        <f t="shared" ca="1" si="1"/>
        <v>1.4814814814814815E-4</v>
      </c>
      <c r="P25">
        <f ca="1">IF(movements[[#This Row],[track]]=0,0,_xlfn.XLOOKUP(movements[[#This Row],[track]],track_lengths[Track],track_lengths[Lengths])/sm/1000/2 + 0.5*sm*IF(movements[[#This Row],[movement]]="pull",(1/movements[[#This Row],[an]]+1/movements[[#This Row],[dn]]),(1/movements[[#This Row],[an_reverse]]+1/movements[[#This Row],[dn_reverse]])))</f>
        <v>257.3</v>
      </c>
      <c r="Q25">
        <f ca="1">IF(movements[[#This Row],[track]]=0,0,_xlfn.XLOOKUP(movements[[#This Row],[track]],track_lengths[Track],track_lengths[Lengths])/sm/1000/2 + 0.5*sm*IF(movements[[#This Row],[movement]]="pull",(1/movements[[#This Row],[an_reverse]]+1/movements[[#This Row],[dn_reverse]]),(1/movements[[#This Row],[an]]+1/movements[[#This Row],[dn]])))</f>
        <v>255</v>
      </c>
      <c r="R25">
        <f ca="1">movements[[#This Row],[ladder_time]]+movements[[#This Row],[movement_time]]+movements[[#This Row],[movement_time_reverse]]</f>
        <v>514.46</v>
      </c>
    </row>
    <row r="26" spans="1:18" x14ac:dyDescent="0.35">
      <c r="A26" t="s">
        <v>4</v>
      </c>
      <c r="B26">
        <v>1</v>
      </c>
      <c r="C26">
        <v>5</v>
      </c>
      <c r="D26" t="str" cm="1">
        <f t="array" aca="1" ref="D26" ca="1">IF(movements[[#This Row],[movement]]="pull",D25 &amp; LEFT(INDIRECT(ADDRESS(ROW(D25), COLUMN(D26)+movements[[#This Row],[track]])),movements[[#This Row],[num_wagons]]),LEFT(D25,LEN(D25)-movements[[#This Row],[num_wagons]]))</f>
        <v>0</v>
      </c>
      <c r="E26" s="1" t="str">
        <f>IF(movements[[#This Row],[track]]=1, IF(movements[[#This Row],[movement]]="pull",MID(E25,movements[[#This Row],[num_wagons]]+1,LEN(E25)-movements[[#This Row],[num_wagons]]),RIGHT(D25,movements[[#This Row],[num_wagons]]) &amp; E25),E25)</f>
        <v/>
      </c>
      <c r="F26" s="1" t="str">
        <f>IF(movements[[#This Row],[track]]=2, IF(movements[[#This Row],[movement]]="pull",MID(F25,movements[[#This Row],[num_wagons]]+1,LEN(F25)-movements[[#This Row],[num_wagons]]),""),F25)</f>
        <v>1</v>
      </c>
      <c r="G26" s="1" t="str">
        <f ca="1">IF(movements[[#This Row],[track]]=3, IF(movements[[#This Row],[movement]]="pull",MID(G25,movements[[#This Row],[num_wagons]]+1,LEN(G25)-movements[[#This Row],[num_wagons]]),RIGHT(D25,movements[[#This Row],[num_wagons]]) &amp; G25),G25)</f>
        <v>22211</v>
      </c>
      <c r="H26" s="1" t="str">
        <f ca="1">IF(movements[[#This Row],[track]]=4, IF(movements[[#This Row],[movement]]="pull",MID(H25,movements[[#This Row],[num_wagons]]+1,LEN(H25)-movements[[#This Row],[num_wagons]]),RIGHT(D25,movements[[#This Row],[num_wagons]]) &amp; H25),H25)</f>
        <v>00</v>
      </c>
      <c r="I26" s="1" t="str">
        <f ca="1">IF(movements[[#This Row],[track]]=5, IF(movements[[#This Row],[movement]]="pull",MID(I25,movements[[#This Row],[num_wagons]]+1,LEN(I25)-movements[[#This Row],[num_wagons]]),RIGHT(D25,movements[[#This Row],[num_wagons]]) &amp; I25),I25)</f>
        <v>44</v>
      </c>
      <c r="J26">
        <f>ABS(C25-movements[[#This Row],[track]])</f>
        <v>4</v>
      </c>
      <c r="K26">
        <f>movements[[#This Row],[Delta Tracks]]*track_separation/1000/ladder_kps</f>
        <v>4.32</v>
      </c>
      <c r="L26">
        <f ca="1">1/(alpha_a + beta_a*LEN(movements[[#This Row],[Shunter]]))</f>
        <v>1.4199503017394392E-4</v>
      </c>
      <c r="M26">
        <f ca="1">1/(alpha_d+beta_d*LEN(movements[[#This Row],[Shunter]]))</f>
        <v>1.4336917562724014E-4</v>
      </c>
      <c r="N26">
        <f t="shared" ca="1" si="0"/>
        <v>1.3633265167007499E-4</v>
      </c>
      <c r="O26">
        <f t="shared" ca="1" si="1"/>
        <v>1.3888888888888889E-4</v>
      </c>
      <c r="P26">
        <f ca="1">IF(movements[[#This Row],[track]]=0,0,_xlfn.XLOOKUP(movements[[#This Row],[track]],track_lengths[Track],track_lengths[Lengths])/sm/1000/2 + 0.5*sm*IF(movements[[#This Row],[movement]]="pull",(1/movements[[#This Row],[an]]+1/movements[[#This Row],[dn]]),(1/movements[[#This Row],[an_reverse]]+1/movements[[#This Row],[dn_reverse]])))</f>
        <v>88.55</v>
      </c>
      <c r="Q26">
        <f ca="1">IF(movements[[#This Row],[track]]=0,0,_xlfn.XLOOKUP(movements[[#This Row],[track]],track_lengths[Track],track_lengths[Lengths])/sm/1000/2 + 0.5*sm*IF(movements[[#This Row],[movement]]="pull",(1/movements[[#This Row],[an_reverse]]+1/movements[[#This Row],[dn_reverse]]),(1/movements[[#This Row],[an]]+1/movements[[#This Row],[dn]])))</f>
        <v>87.4</v>
      </c>
      <c r="R26">
        <f ca="1">movements[[#This Row],[ladder_time]]+movements[[#This Row],[movement_time]]+movements[[#This Row],[movement_time_reverse]]</f>
        <v>180.27</v>
      </c>
    </row>
    <row r="27" spans="1:18" x14ac:dyDescent="0.35">
      <c r="A27" t="s">
        <v>4</v>
      </c>
      <c r="B27">
        <v>1</v>
      </c>
      <c r="C27">
        <v>4</v>
      </c>
      <c r="D27" t="str" cm="1">
        <f t="array" aca="1" ref="D27" ca="1">IF(movements[[#This Row],[movement]]="pull",D26 &amp; LEFT(INDIRECT(ADDRESS(ROW(D26), COLUMN(D27)+movements[[#This Row],[track]])),movements[[#This Row],[num_wagons]]),LEFT(D26,LEN(D26)-movements[[#This Row],[num_wagons]]))</f>
        <v/>
      </c>
      <c r="E27" s="1" t="str">
        <f>IF(movements[[#This Row],[track]]=1, IF(movements[[#This Row],[movement]]="pull",MID(E26,movements[[#This Row],[num_wagons]]+1,LEN(E26)-movements[[#This Row],[num_wagons]]),RIGHT(D26,movements[[#This Row],[num_wagons]]) &amp; E26),E26)</f>
        <v/>
      </c>
      <c r="F27" s="1" t="str">
        <f>IF(movements[[#This Row],[track]]=2, IF(movements[[#This Row],[movement]]="pull",MID(F26,movements[[#This Row],[num_wagons]]+1,LEN(F26)-movements[[#This Row],[num_wagons]]),""),F26)</f>
        <v>1</v>
      </c>
      <c r="G27" s="1" t="str">
        <f ca="1">IF(movements[[#This Row],[track]]=3, IF(movements[[#This Row],[movement]]="pull",MID(G26,movements[[#This Row],[num_wagons]]+1,LEN(G26)-movements[[#This Row],[num_wagons]]),RIGHT(D26,movements[[#This Row],[num_wagons]]) &amp; G26),G26)</f>
        <v>22211</v>
      </c>
      <c r="H27" s="1" t="str">
        <f ca="1">IF(movements[[#This Row],[track]]=4, IF(movements[[#This Row],[movement]]="pull",MID(H26,movements[[#This Row],[num_wagons]]+1,LEN(H26)-movements[[#This Row],[num_wagons]]),RIGHT(D26,movements[[#This Row],[num_wagons]]) &amp; H26),H26)</f>
        <v>000</v>
      </c>
      <c r="I27" s="1" t="str">
        <f ca="1">IF(movements[[#This Row],[track]]=5, IF(movements[[#This Row],[movement]]="pull",MID(I26,movements[[#This Row],[num_wagons]]+1,LEN(I26)-movements[[#This Row],[num_wagons]]),RIGHT(D26,movements[[#This Row],[num_wagons]]) &amp; I26),I26)</f>
        <v>44</v>
      </c>
      <c r="J27">
        <f>ABS(C26-movements[[#This Row],[track]])</f>
        <v>1</v>
      </c>
      <c r="K27">
        <f>movements[[#This Row],[Delta Tracks]]*track_separation/1000/ladder_kps</f>
        <v>1.08</v>
      </c>
      <c r="L27">
        <f ca="1">1/(alpha_a + beta_a*LEN(movements[[#This Row],[Shunter]]))</f>
        <v>1.4814814814814815E-4</v>
      </c>
      <c r="M27">
        <f ca="1">1/(alpha_d+beta_d*LEN(movements[[#This Row],[Shunter]]))</f>
        <v>1.4814814814814815E-4</v>
      </c>
      <c r="N27">
        <f t="shared" ref="N27:N33" ca="1" si="2">1/(alpha_a + beta_a*LEN(D26))</f>
        <v>1.4199503017394392E-4</v>
      </c>
      <c r="O27">
        <f t="shared" ref="O27:O33" ca="1" si="3">1/(alpha_d+ beta_d*LEN(D26))</f>
        <v>1.4336917562724014E-4</v>
      </c>
      <c r="P27">
        <f ca="1">IF(movements[[#This Row],[track]]=0,0,_xlfn.XLOOKUP(movements[[#This Row],[track]],track_lengths[Track],track_lengths[Lengths])/sm/1000/2 + 0.5*sm*IF(movements[[#This Row],[movement]]="pull",(1/movements[[#This Row],[an]]+1/movements[[#This Row],[dn]]),(1/movements[[#This Row],[an_reverse]]+1/movements[[#This Row],[dn_reverse]])))</f>
        <v>222.4</v>
      </c>
      <c r="Q27">
        <f ca="1">IF(movements[[#This Row],[track]]=0,0,_xlfn.XLOOKUP(movements[[#This Row],[track]],track_lengths[Track],track_lengths[Lengths])/sm/1000/2 + 0.5*sm*IF(movements[[#This Row],[movement]]="pull",(1/movements[[#This Row],[an_reverse]]+1/movements[[#This Row],[dn_reverse]]),(1/movements[[#This Row],[an]]+1/movements[[#This Row],[dn]])))</f>
        <v>221.25</v>
      </c>
      <c r="R27">
        <f ca="1">movements[[#This Row],[ladder_time]]+movements[[#This Row],[movement_time]]+movements[[#This Row],[movement_time_reverse]]</f>
        <v>444.73</v>
      </c>
    </row>
    <row r="28" spans="1:18" x14ac:dyDescent="0.35">
      <c r="A28" t="s">
        <v>3</v>
      </c>
      <c r="B28">
        <v>3</v>
      </c>
      <c r="C28">
        <v>4</v>
      </c>
      <c r="D28" t="str" cm="1">
        <f t="array" aca="1" ref="D28" ca="1">IF(movements[[#This Row],[movement]]="pull",D27 &amp; LEFT(INDIRECT(ADDRESS(ROW(D27), COLUMN(D28)+movements[[#This Row],[track]])),movements[[#This Row],[num_wagons]]),LEFT(D27,LEN(D27)-movements[[#This Row],[num_wagons]]))</f>
        <v>000</v>
      </c>
      <c r="E28" s="1" t="str">
        <f>IF(movements[[#This Row],[track]]=1, IF(movements[[#This Row],[movement]]="pull",MID(E27,movements[[#This Row],[num_wagons]]+1,LEN(E27)-movements[[#This Row],[num_wagons]]),RIGHT(D27,movements[[#This Row],[num_wagons]]) &amp; E27),E27)</f>
        <v/>
      </c>
      <c r="F28" s="1" t="str">
        <f>IF(movements[[#This Row],[track]]=2, IF(movements[[#This Row],[movement]]="pull",MID(F27,movements[[#This Row],[num_wagons]]+1,LEN(F27)-movements[[#This Row],[num_wagons]]),""),F27)</f>
        <v>1</v>
      </c>
      <c r="G28" s="1" t="str">
        <f ca="1">IF(movements[[#This Row],[track]]=3, IF(movements[[#This Row],[movement]]="pull",MID(G27,movements[[#This Row],[num_wagons]]+1,LEN(G27)-movements[[#This Row],[num_wagons]]),RIGHT(D27,movements[[#This Row],[num_wagons]]) &amp; G27),G27)</f>
        <v>22211</v>
      </c>
      <c r="H28" s="1" t="str">
        <f ca="1">IF(movements[[#This Row],[track]]=4, IF(movements[[#This Row],[movement]]="pull",MID(H27,movements[[#This Row],[num_wagons]]+1,LEN(H27)-movements[[#This Row],[num_wagons]]),RIGHT(D27,movements[[#This Row],[num_wagons]]) &amp; H27),H27)</f>
        <v/>
      </c>
      <c r="I28" s="1" t="str">
        <f ca="1">IF(movements[[#This Row],[track]]=5, IF(movements[[#This Row],[movement]]="pull",MID(I27,movements[[#This Row],[num_wagons]]+1,LEN(I27)-movements[[#This Row],[num_wagons]]),RIGHT(D27,movements[[#This Row],[num_wagons]]) &amp; I27),I27)</f>
        <v>44</v>
      </c>
      <c r="J28">
        <f>ABS(C27-movements[[#This Row],[track]])</f>
        <v>0</v>
      </c>
      <c r="K28">
        <f>movements[[#This Row],[Delta Tracks]]*track_separation/1000/ladder_kps</f>
        <v>0</v>
      </c>
      <c r="L28">
        <f ca="1">1/(alpha_a + beta_a*LEN(movements[[#This Row],[Shunter]]))</f>
        <v>1.3110455588331694E-4</v>
      </c>
      <c r="M28">
        <f ca="1">1/(alpha_d+beta_d*LEN(movements[[#This Row],[Shunter]]))</f>
        <v>1.3468013468013467E-4</v>
      </c>
      <c r="N28">
        <f t="shared" ca="1" si="2"/>
        <v>1.4814814814814815E-4</v>
      </c>
      <c r="O28">
        <f t="shared" ca="1" si="3"/>
        <v>1.4814814814814815E-4</v>
      </c>
      <c r="P28">
        <f ca="1">IF(movements[[#This Row],[track]]=0,0,_xlfn.XLOOKUP(movements[[#This Row],[track]],track_lengths[Track],track_lengths[Lengths])/sm/1000/2 + 0.5*sm*IF(movements[[#This Row],[movement]]="pull",(1/movements[[#This Row],[an]]+1/movements[[#This Row],[dn]]),(1/movements[[#This Row],[an_reverse]]+1/movements[[#This Row],[dn_reverse]])))</f>
        <v>224.7</v>
      </c>
      <c r="Q28">
        <f ca="1">IF(movements[[#This Row],[track]]=0,0,_xlfn.XLOOKUP(movements[[#This Row],[track]],track_lengths[Track],track_lengths[Lengths])/sm/1000/2 + 0.5*sm*IF(movements[[#This Row],[movement]]="pull",(1/movements[[#This Row],[an_reverse]]+1/movements[[#This Row],[dn_reverse]]),(1/movements[[#This Row],[an]]+1/movements[[#This Row],[dn]])))</f>
        <v>221.25</v>
      </c>
      <c r="R28">
        <f ca="1">movements[[#This Row],[ladder_time]]+movements[[#This Row],[movement_time]]+movements[[#This Row],[movement_time_reverse]]</f>
        <v>445.95</v>
      </c>
    </row>
    <row r="29" spans="1:18" x14ac:dyDescent="0.35">
      <c r="A29" t="s">
        <v>3</v>
      </c>
      <c r="B29">
        <v>5</v>
      </c>
      <c r="C29">
        <v>3</v>
      </c>
      <c r="D29" t="str" cm="1">
        <f t="array" aca="1" ref="D29" ca="1">IF(movements[[#This Row],[movement]]="pull",D28 &amp; LEFT(INDIRECT(ADDRESS(ROW(D28), COLUMN(D29)+movements[[#This Row],[track]])),movements[[#This Row],[num_wagons]]),LEFT(D28,LEN(D28)-movements[[#This Row],[num_wagons]]))</f>
        <v>00022211</v>
      </c>
      <c r="E29" s="1" t="str">
        <f>IF(movements[[#This Row],[track]]=1, IF(movements[[#This Row],[movement]]="pull",MID(E28,movements[[#This Row],[num_wagons]]+1,LEN(E28)-movements[[#This Row],[num_wagons]]),RIGHT(D28,movements[[#This Row],[num_wagons]]) &amp; E28),E28)</f>
        <v/>
      </c>
      <c r="F29" s="1" t="str">
        <f>IF(movements[[#This Row],[track]]=2, IF(movements[[#This Row],[movement]]="pull",MID(F28,movements[[#This Row],[num_wagons]]+1,LEN(F28)-movements[[#This Row],[num_wagons]]),""),F28)</f>
        <v>1</v>
      </c>
      <c r="G29" s="1" t="str">
        <f ca="1">IF(movements[[#This Row],[track]]=3, IF(movements[[#This Row],[movement]]="pull",MID(G28,movements[[#This Row],[num_wagons]]+1,LEN(G28)-movements[[#This Row],[num_wagons]]),RIGHT(D28,movements[[#This Row],[num_wagons]]) &amp; G28),G28)</f>
        <v/>
      </c>
      <c r="H29" s="1" t="str">
        <f ca="1">IF(movements[[#This Row],[track]]=4, IF(movements[[#This Row],[movement]]="pull",MID(H28,movements[[#This Row],[num_wagons]]+1,LEN(H28)-movements[[#This Row],[num_wagons]]),RIGHT(D28,movements[[#This Row],[num_wagons]]) &amp; H28),H28)</f>
        <v/>
      </c>
      <c r="I29" s="1" t="str">
        <f ca="1">IF(movements[[#This Row],[track]]=5, IF(movements[[#This Row],[movement]]="pull",MID(I28,movements[[#This Row],[num_wagons]]+1,LEN(I28)-movements[[#This Row],[num_wagons]]),RIGHT(D28,movements[[#This Row],[num_wagons]]) &amp; I28),I28)</f>
        <v>44</v>
      </c>
      <c r="J29">
        <f>ABS(C28-movements[[#This Row],[track]])</f>
        <v>1</v>
      </c>
      <c r="K29">
        <f>movements[[#This Row],[Delta Tracks]]*track_separation/1000/ladder_kps</f>
        <v>1.08</v>
      </c>
      <c r="L29">
        <f ca="1">1/(alpha_a + beta_a*LEN(movements[[#This Row],[Shunter]]))</f>
        <v>1.1001100110011001E-4</v>
      </c>
      <c r="M29">
        <f ca="1">1/(alpha_d+beta_d*LEN(movements[[#This Row],[Shunter]]))</f>
        <v>1.1695906432748539E-4</v>
      </c>
      <c r="N29">
        <f t="shared" ca="1" si="2"/>
        <v>1.3110455588331694E-4</v>
      </c>
      <c r="O29">
        <f t="shared" ca="1" si="3"/>
        <v>1.3468013468013467E-4</v>
      </c>
      <c r="P29">
        <f ca="1">IF(movements[[#This Row],[track]]=0,0,_xlfn.XLOOKUP(movements[[#This Row],[track]],track_lengths[Track],track_lengths[Lengths])/sm/1000/2 + 0.5*sm*IF(movements[[#This Row],[movement]]="pull",(1/movements[[#This Row],[an]]+1/movements[[#This Row],[dn]]),(1/movements[[#This Row],[an_reverse]]+1/movements[[#This Row],[dn_reverse]])))</f>
        <v>241.7</v>
      </c>
      <c r="Q29">
        <f ca="1">IF(movements[[#This Row],[track]]=0,0,_xlfn.XLOOKUP(movements[[#This Row],[track]],track_lengths[Track],track_lengths[Lengths])/sm/1000/2 + 0.5*sm*IF(movements[[#This Row],[movement]]="pull",(1/movements[[#This Row],[an_reverse]]+1/movements[[#This Row],[dn_reverse]]),(1/movements[[#This Row],[an]]+1/movements[[#This Row],[dn]])))</f>
        <v>235.95</v>
      </c>
      <c r="R29">
        <f ca="1">movements[[#This Row],[ladder_time]]+movements[[#This Row],[movement_time]]+movements[[#This Row],[movement_time_reverse]]</f>
        <v>478.73</v>
      </c>
    </row>
    <row r="30" spans="1:18" x14ac:dyDescent="0.35">
      <c r="A30" t="s">
        <v>3</v>
      </c>
      <c r="B30">
        <v>1</v>
      </c>
      <c r="C30">
        <v>2</v>
      </c>
      <c r="D30" t="str" cm="1">
        <f t="array" aca="1" ref="D30" ca="1">IF(movements[[#This Row],[movement]]="pull",D29 &amp; LEFT(INDIRECT(ADDRESS(ROW(D29), COLUMN(D30)+movements[[#This Row],[track]])),movements[[#This Row],[num_wagons]]),LEFT(D29,LEN(D29)-movements[[#This Row],[num_wagons]]))</f>
        <v>000222111</v>
      </c>
      <c r="E30" s="1" t="str">
        <f>IF(movements[[#This Row],[track]]=1, IF(movements[[#This Row],[movement]]="pull",MID(E29,movements[[#This Row],[num_wagons]]+1,LEN(E29)-movements[[#This Row],[num_wagons]]),RIGHT(D29,movements[[#This Row],[num_wagons]]) &amp; E29),E29)</f>
        <v/>
      </c>
      <c r="F30" s="1" t="str">
        <f>IF(movements[[#This Row],[track]]=2, IF(movements[[#This Row],[movement]]="pull",MID(F29,movements[[#This Row],[num_wagons]]+1,LEN(F29)-movements[[#This Row],[num_wagons]]),""),F29)</f>
        <v/>
      </c>
      <c r="G30" s="1" t="str">
        <f ca="1">IF(movements[[#This Row],[track]]=3, IF(movements[[#This Row],[movement]]="pull",MID(G29,movements[[#This Row],[num_wagons]]+1,LEN(G29)-movements[[#This Row],[num_wagons]]),RIGHT(D29,movements[[#This Row],[num_wagons]]) &amp; G29),G29)</f>
        <v/>
      </c>
      <c r="H30" s="1" t="str">
        <f ca="1">IF(movements[[#This Row],[track]]=4, IF(movements[[#This Row],[movement]]="pull",MID(H29,movements[[#This Row],[num_wagons]]+1,LEN(H29)-movements[[#This Row],[num_wagons]]),RIGHT(D29,movements[[#This Row],[num_wagons]]) &amp; H29),H29)</f>
        <v/>
      </c>
      <c r="I30" s="1" t="str">
        <f ca="1">IF(movements[[#This Row],[track]]=5, IF(movements[[#This Row],[movement]]="pull",MID(I29,movements[[#This Row],[num_wagons]]+1,LEN(I29)-movements[[#This Row],[num_wagons]]),RIGHT(D29,movements[[#This Row],[num_wagons]]) &amp; I29),I29)</f>
        <v>44</v>
      </c>
      <c r="J30">
        <f>ABS(C29-movements[[#This Row],[track]])</f>
        <v>1</v>
      </c>
      <c r="K30">
        <f>movements[[#This Row],[Delta Tracks]]*track_separation/1000/ladder_kps</f>
        <v>1.08</v>
      </c>
      <c r="L30">
        <f ca="1">1/(alpha_a + beta_a*LEN(movements[[#This Row],[Shunter]]))</f>
        <v>1.0658140154543032E-4</v>
      </c>
      <c r="M30">
        <f ca="1">1/(alpha_d+beta_d*LEN(movements[[#This Row],[Shunter]]))</f>
        <v>1.1396011396011396E-4</v>
      </c>
      <c r="N30">
        <f t="shared" ca="1" si="2"/>
        <v>1.1001100110011001E-4</v>
      </c>
      <c r="O30">
        <f t="shared" ca="1" si="3"/>
        <v>1.1695906432748539E-4</v>
      </c>
      <c r="P30">
        <f ca="1">IF(movements[[#This Row],[track]]=0,0,_xlfn.XLOOKUP(movements[[#This Row],[track]],track_lengths[Track],track_lengths[Lengths])/sm/1000/2 + 0.5*sm*IF(movements[[#This Row],[movement]]="pull",(1/movements[[#This Row],[an]]+1/movements[[#This Row],[dn]]),(1/movements[[#This Row],[an_reverse]]+1/movements[[#This Row],[dn_reverse]])))</f>
        <v>254.1</v>
      </c>
      <c r="Q30">
        <f ca="1">IF(movements[[#This Row],[track]]=0,0,_xlfn.XLOOKUP(movements[[#This Row],[track]],track_lengths[Track],track_lengths[Lengths])/sm/1000/2 + 0.5*sm*IF(movements[[#This Row],[movement]]="pull",(1/movements[[#This Row],[an_reverse]]+1/movements[[#This Row],[dn_reverse]]),(1/movements[[#This Row],[an]]+1/movements[[#This Row],[dn]])))</f>
        <v>252.95</v>
      </c>
      <c r="R30">
        <f ca="1">movements[[#This Row],[ladder_time]]+movements[[#This Row],[movement_time]]+movements[[#This Row],[movement_time_reverse]]</f>
        <v>508.13</v>
      </c>
    </row>
    <row r="31" spans="1:18" x14ac:dyDescent="0.35">
      <c r="A31" t="s">
        <v>3</v>
      </c>
      <c r="B31">
        <v>2</v>
      </c>
      <c r="C31">
        <v>5</v>
      </c>
      <c r="D31" t="str" cm="1">
        <f t="array" aca="1" ref="D31" ca="1">IF(movements[[#This Row],[movement]]="pull",D30 &amp; LEFT(INDIRECT(ADDRESS(ROW(D30), COLUMN(D31)+movements[[#This Row],[track]])),movements[[#This Row],[num_wagons]]),LEFT(D30,LEN(D30)-movements[[#This Row],[num_wagons]]))</f>
        <v>00022211144</v>
      </c>
      <c r="E31" s="1" t="str">
        <f>IF(movements[[#This Row],[track]]=1, IF(movements[[#This Row],[movement]]="pull",MID(E30,movements[[#This Row],[num_wagons]]+1,LEN(E30)-movements[[#This Row],[num_wagons]]),RIGHT(D30,movements[[#This Row],[num_wagons]]) &amp; E30),E30)</f>
        <v/>
      </c>
      <c r="F31" s="1" t="str">
        <f>IF(movements[[#This Row],[track]]=2, IF(movements[[#This Row],[movement]]="pull",MID(F30,movements[[#This Row],[num_wagons]]+1,LEN(F30)-movements[[#This Row],[num_wagons]]),""),F30)</f>
        <v/>
      </c>
      <c r="G31" s="1" t="str">
        <f ca="1">IF(movements[[#This Row],[track]]=3, IF(movements[[#This Row],[movement]]="pull",MID(G30,movements[[#This Row],[num_wagons]]+1,LEN(G30)-movements[[#This Row],[num_wagons]]),RIGHT(D30,movements[[#This Row],[num_wagons]]) &amp; G30),G30)</f>
        <v/>
      </c>
      <c r="H31" s="1" t="str">
        <f ca="1">IF(movements[[#This Row],[track]]=4, IF(movements[[#This Row],[movement]]="pull",MID(H30,movements[[#This Row],[num_wagons]]+1,LEN(H30)-movements[[#This Row],[num_wagons]]),RIGHT(D30,movements[[#This Row],[num_wagons]]) &amp; H30),H30)</f>
        <v/>
      </c>
      <c r="I31" s="1" t="str">
        <f ca="1">IF(movements[[#This Row],[track]]=5, IF(movements[[#This Row],[movement]]="pull",MID(I30,movements[[#This Row],[num_wagons]]+1,LEN(I30)-movements[[#This Row],[num_wagons]]),RIGHT(D30,movements[[#This Row],[num_wagons]]) &amp; I30),I30)</f>
        <v/>
      </c>
      <c r="J31">
        <f>ABS(C30-movements[[#This Row],[track]])</f>
        <v>3</v>
      </c>
      <c r="K31">
        <f>movements[[#This Row],[Delta Tracks]]*track_separation/1000/ladder_kps</f>
        <v>3.2399999999999998</v>
      </c>
      <c r="L31">
        <f ca="1">1/(alpha_a + beta_a*LEN(movements[[#This Row],[Shunter]]))</f>
        <v>1.0032605969400552E-4</v>
      </c>
      <c r="M31">
        <f ca="1">1/(alpha_d+beta_d*LEN(movements[[#This Row],[Shunter]]))</f>
        <v>1.0840108401084011E-4</v>
      </c>
      <c r="N31">
        <f t="shared" ca="1" si="2"/>
        <v>1.0658140154543032E-4</v>
      </c>
      <c r="O31">
        <f t="shared" ca="1" si="3"/>
        <v>1.1396011396011396E-4</v>
      </c>
      <c r="P31">
        <f ca="1">IF(movements[[#This Row],[track]]=0,0,_xlfn.XLOOKUP(movements[[#This Row],[track]],track_lengths[Track],track_lengths[Lengths])/sm/1000/2 + 0.5*sm*IF(movements[[#This Row],[movement]]="pull",(1/movements[[#This Row],[an]]+1/movements[[#This Row],[dn]]),(1/movements[[#This Row],[an_reverse]]+1/movements[[#This Row],[dn_reverse]])))</f>
        <v>98.9</v>
      </c>
      <c r="Q31">
        <f ca="1">IF(movements[[#This Row],[track]]=0,0,_xlfn.XLOOKUP(movements[[#This Row],[track]],track_lengths[Track],track_lengths[Lengths])/sm/1000/2 + 0.5*sm*IF(movements[[#This Row],[movement]]="pull",(1/movements[[#This Row],[an_reverse]]+1/movements[[#This Row],[dn_reverse]]),(1/movements[[#This Row],[an]]+1/movements[[#This Row],[dn]])))</f>
        <v>96.6</v>
      </c>
      <c r="R31">
        <f ca="1">movements[[#This Row],[ladder_time]]+movements[[#This Row],[movement_time]]+movements[[#This Row],[movement_time_reverse]]</f>
        <v>198.74</v>
      </c>
    </row>
    <row r="32" spans="1:18" x14ac:dyDescent="0.35">
      <c r="A32" t="s">
        <v>4</v>
      </c>
      <c r="B32">
        <v>11</v>
      </c>
      <c r="C32">
        <v>1</v>
      </c>
      <c r="D32" t="str" cm="1">
        <f t="array" aca="1" ref="D32" ca="1">IF(movements[[#This Row],[movement]]="pull",D31 &amp; LEFT(INDIRECT(ADDRESS(ROW(D31), COLUMN(D32)+movements[[#This Row],[track]])),movements[[#This Row],[num_wagons]]),LEFT(D31,LEN(D31)-movements[[#This Row],[num_wagons]]))</f>
        <v/>
      </c>
      <c r="E32" s="1" t="str">
        <f ca="1">IF(movements[[#This Row],[track]]=1, IF(movements[[#This Row],[movement]]="pull",MID(E31,movements[[#This Row],[num_wagons]]+1,LEN(E31)-movements[[#This Row],[num_wagons]]),RIGHT(D31,movements[[#This Row],[num_wagons]]) &amp; E31),E31)</f>
        <v>00022211144</v>
      </c>
      <c r="F32" s="1" t="str">
        <f>IF(movements[[#This Row],[track]]=2, IF(movements[[#This Row],[movement]]="pull",MID(F31,movements[[#This Row],[num_wagons]]+1,LEN(F31)-movements[[#This Row],[num_wagons]]),""),F31)</f>
        <v/>
      </c>
      <c r="G32" s="1" t="str">
        <f ca="1">IF(movements[[#This Row],[track]]=3, IF(movements[[#This Row],[movement]]="pull",MID(G31,movements[[#This Row],[num_wagons]]+1,LEN(G31)-movements[[#This Row],[num_wagons]]),RIGHT(D31,movements[[#This Row],[num_wagons]]) &amp; G31),G31)</f>
        <v/>
      </c>
      <c r="H32" s="1" t="str">
        <f ca="1">IF(movements[[#This Row],[track]]=4, IF(movements[[#This Row],[movement]]="pull",MID(H31,movements[[#This Row],[num_wagons]]+1,LEN(H31)-movements[[#This Row],[num_wagons]]),RIGHT(D31,movements[[#This Row],[num_wagons]]) &amp; H31),H31)</f>
        <v/>
      </c>
      <c r="I32" s="1" t="str">
        <f ca="1">IF(movements[[#This Row],[track]]=5, IF(movements[[#This Row],[movement]]="pull",MID(I31,movements[[#This Row],[num_wagons]]+1,LEN(I31)-movements[[#This Row],[num_wagons]]),RIGHT(D31,movements[[#This Row],[num_wagons]]) &amp; I31),I31)</f>
        <v/>
      </c>
      <c r="J32">
        <f>ABS(C31-movements[[#This Row],[track]])</f>
        <v>4</v>
      </c>
      <c r="K32">
        <f>movements[[#This Row],[Delta Tracks]]*track_separation/1000/ladder_kps</f>
        <v>4.32</v>
      </c>
      <c r="L32">
        <f ca="1">1/(alpha_a + beta_a*LEN(movements[[#This Row],[Shunter]]))</f>
        <v>1.4814814814814815E-4</v>
      </c>
      <c r="M32">
        <f ca="1">1/(alpha_d+beta_d*LEN(movements[[#This Row],[Shunter]]))</f>
        <v>1.4814814814814815E-4</v>
      </c>
      <c r="N32">
        <f t="shared" ca="1" si="2"/>
        <v>1.0032605969400552E-4</v>
      </c>
      <c r="O32">
        <f t="shared" ca="1" si="3"/>
        <v>1.0840108401084011E-4</v>
      </c>
      <c r="P32">
        <f ca="1">IF(movements[[#This Row],[track]]=0,0,_xlfn.XLOOKUP(movements[[#This Row],[track]],track_lengths[Track],track_lengths[Lengths])/sm/1000/2 + 0.5*sm*IF(movements[[#This Row],[movement]]="pull",(1/movements[[#This Row],[an]]+1/movements[[#This Row],[dn]]),(1/movements[[#This Row],[an_reverse]]+1/movements[[#This Row],[dn_reverse]])))</f>
        <v>267.64999999999998</v>
      </c>
      <c r="Q32">
        <f ca="1">IF(movements[[#This Row],[track]]=0,0,_xlfn.XLOOKUP(movements[[#This Row],[track]],track_lengths[Track],track_lengths[Lengths])/sm/1000/2 + 0.5*sm*IF(movements[[#This Row],[movement]]="pull",(1/movements[[#This Row],[an_reverse]]+1/movements[[#This Row],[dn_reverse]]),(1/movements[[#This Row],[an]]+1/movements[[#This Row],[dn]])))</f>
        <v>255</v>
      </c>
      <c r="R32">
        <f ca="1">movements[[#This Row],[ladder_time]]+movements[[#This Row],[movement_time]]+movements[[#This Row],[movement_time_reverse]]</f>
        <v>526.97</v>
      </c>
    </row>
    <row r="33" spans="1:18" x14ac:dyDescent="0.35">
      <c r="A33" t="s">
        <v>3</v>
      </c>
      <c r="B33">
        <v>0</v>
      </c>
      <c r="C33">
        <v>0</v>
      </c>
      <c r="D33" t="str" cm="1">
        <f t="array" aca="1" ref="D33" ca="1">IF(movements[[#This Row],[movement]]="pull",D32 &amp; LEFT(INDIRECT(ADDRESS(ROW(D32), COLUMN(D33)+movements[[#This Row],[track]])),movements[[#This Row],[num_wagons]]),LEFT(D32,LEN(D32)-movements[[#This Row],[num_wagons]]))</f>
        <v/>
      </c>
      <c r="E33" s="1" t="str">
        <f ca="1">IF(movements[[#This Row],[track]]=1, IF(movements[[#This Row],[movement]]="pull",MID(E32,movements[[#This Row],[num_wagons]]+1,LEN(E32)-movements[[#This Row],[num_wagons]]),RIGHT(D32,movements[[#This Row],[num_wagons]]) &amp; E32),E32)</f>
        <v>00022211144</v>
      </c>
      <c r="F33" s="1" t="str">
        <f>IF(movements[[#This Row],[track]]=2, IF(movements[[#This Row],[movement]]="pull",MID(F32,movements[[#This Row],[num_wagons]]+1,LEN(F32)-movements[[#This Row],[num_wagons]]),""),F32)</f>
        <v/>
      </c>
      <c r="G33" s="1" t="str">
        <f ca="1">IF(movements[[#This Row],[track]]=3, IF(movements[[#This Row],[movement]]="pull",MID(G32,movements[[#This Row],[num_wagons]]+1,LEN(G32)-movements[[#This Row],[num_wagons]]),RIGHT(D32,movements[[#This Row],[num_wagons]]) &amp; G32),G32)</f>
        <v/>
      </c>
      <c r="H33" s="1" t="str">
        <f ca="1">IF(movements[[#This Row],[track]]=4, IF(movements[[#This Row],[movement]]="pull",MID(H32,movements[[#This Row],[num_wagons]]+1,LEN(H32)-movements[[#This Row],[num_wagons]]),RIGHT(D32,movements[[#This Row],[num_wagons]]) &amp; H32),H32)</f>
        <v/>
      </c>
      <c r="I33" s="1" t="str">
        <f ca="1">IF(movements[[#This Row],[track]]=5, IF(movements[[#This Row],[movement]]="pull",MID(I32,movements[[#This Row],[num_wagons]]+1,LEN(I32)-movements[[#This Row],[num_wagons]]),RIGHT(D32,movements[[#This Row],[num_wagons]]) &amp; I32),I32)</f>
        <v/>
      </c>
      <c r="J33">
        <f>ABS(C32-movements[[#This Row],[track]])</f>
        <v>1</v>
      </c>
      <c r="K33">
        <f>movements[[#This Row],[Delta Tracks]]*track_separation/1000/ladder_kps</f>
        <v>1.08</v>
      </c>
      <c r="L33">
        <f ca="1">1/(alpha_a + beta_a*LEN(movements[[#This Row],[Shunter]]))</f>
        <v>1.4814814814814815E-4</v>
      </c>
      <c r="M33">
        <f ca="1">1/(alpha_d+beta_d*LEN(movements[[#This Row],[Shunter]]))</f>
        <v>1.4814814814814815E-4</v>
      </c>
      <c r="N33">
        <f t="shared" ca="1" si="2"/>
        <v>1.4814814814814815E-4</v>
      </c>
      <c r="O33">
        <f t="shared" ca="1" si="3"/>
        <v>1.4814814814814815E-4</v>
      </c>
      <c r="P33">
        <f>IF(movements[[#This Row],[track]]=0,0,_xlfn.XLOOKUP(movements[[#This Row],[track]],track_lengths[Track],track_lengths[Lengths])/sm/1000/2 + 0.5*sm*IF(movements[[#This Row],[movement]]="pull",(1/movements[[#This Row],[an]]+1/movements[[#This Row],[dn]]),(1/movements[[#This Row],[an_reverse]]+1/movements[[#This Row],[dn_reverse]])))</f>
        <v>0</v>
      </c>
      <c r="Q33">
        <f>IF(movements[[#This Row],[track]]=0,0,_xlfn.XLOOKUP(movements[[#This Row],[track]],track_lengths[Track],track_lengths[Lengths])/sm/1000/2 + 0.5*sm*IF(movements[[#This Row],[movement]]="pull",(1/movements[[#This Row],[an_reverse]]+1/movements[[#This Row],[dn_reverse]]),(1/movements[[#This Row],[an]]+1/movements[[#This Row],[dn]])))</f>
        <v>0</v>
      </c>
      <c r="R33">
        <f>movements[[#This Row],[ladder_time]]+movements[[#This Row],[movement_time]]+movements[[#This Row],[movement_time_reverse]]</f>
        <v>1.08</v>
      </c>
    </row>
    <row r="34" spans="1:18" x14ac:dyDescent="0.35">
      <c r="E34" s="1"/>
      <c r="F34" s="1"/>
      <c r="G34" s="1"/>
      <c r="H34" s="1"/>
      <c r="I34" s="1"/>
    </row>
  </sheetData>
  <phoneticPr fontId="2" type="noConversion"/>
  <pageMargins left="0.7" right="0.7" top="0.75" bottom="0.75" header="0.3" footer="0.3"/>
  <pageSetup orientation="portrait" r:id="rId1"/>
  <ignoredErrors>
    <ignoredError sqref="M16:M26" calculatedColumn="1"/>
  </ignoredErrors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092398-033B-4D90-B5F1-CF83B36343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movements</vt:lpstr>
      <vt:lpstr>alpha_a</vt:lpstr>
      <vt:lpstr>alpha_d</vt:lpstr>
      <vt:lpstr>beta_a</vt:lpstr>
      <vt:lpstr>beta_d</vt:lpstr>
      <vt:lpstr>ladder_kps</vt:lpstr>
      <vt:lpstr>ladder_speed</vt:lpstr>
      <vt:lpstr>sm</vt:lpstr>
      <vt:lpstr>track_separation</vt:lpstr>
      <vt:lpstr>track_speed</vt:lpstr>
      <vt:lpstr>wagon_length</vt:lpstr>
    </vt:vector>
  </TitlesOfParts>
  <Company>Oliver Wyman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Meketon, Marc</dc:creator>
  <cp:lastModifiedBy>Meketon, Marc</cp:lastModifiedBy>
  <dcterms:created xsi:type="dcterms:W3CDTF">2024-02-26T01:54:22Z</dcterms:created>
  <dcterms:modified xsi:type="dcterms:W3CDTF">2024-09-18T09:05:38Z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MSOLanguageID">
    <vt:lpwstr>msoLanguageIDEnglishUS</vt:lpwstr>
  </property>
</Properties>
</file>