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cnavia/Downloads/"/>
    </mc:Choice>
  </mc:AlternateContent>
  <xr:revisionPtr revIDLastSave="0" documentId="8_{8DF6E313-05CD-8B43-99D8-F3FFB43E66E5}" xr6:coauthVersionLast="34" xr6:coauthVersionMax="34" xr10:uidLastSave="{00000000-0000-0000-0000-000000000000}"/>
  <bookViews>
    <workbookView xWindow="0" yWindow="460" windowWidth="28800" windowHeight="15980" activeTab="1" xr2:uid="{00000000-000D-0000-FFFF-FFFF00000000}"/>
  </bookViews>
  <sheets>
    <sheet name="Sheet2" sheetId="2" state="hidden" r:id="rId1"/>
    <sheet name="DCF Model" sheetId="3" r:id="rId2"/>
    <sheet name="Discounted Dividend Model" sheetId="4" r:id="rId3"/>
  </sheets>
  <definedNames>
    <definedName name="NamedRange1">#REF!</definedName>
    <definedName name="NamedRange2">#REF!</definedName>
  </definedNames>
  <calcPr calcId="179021"/>
</workbook>
</file>

<file path=xl/calcChain.xml><?xml version="1.0" encoding="utf-8"?>
<calcChain xmlns="http://schemas.openxmlformats.org/spreadsheetml/2006/main">
  <c r="B6" i="4" l="1"/>
  <c r="E5" i="4"/>
  <c r="B5" i="4"/>
  <c r="B3" i="4"/>
  <c r="H20" i="3"/>
  <c r="E20" i="3"/>
  <c r="E19" i="3"/>
  <c r="E18" i="3"/>
  <c r="E17" i="3"/>
  <c r="E16" i="3"/>
  <c r="E15" i="3"/>
  <c r="B15" i="3"/>
  <c r="E14" i="3"/>
  <c r="B14" i="3"/>
  <c r="H13" i="3"/>
  <c r="E13" i="3"/>
  <c r="B13" i="3"/>
  <c r="E12" i="3"/>
  <c r="B12" i="3"/>
  <c r="H11" i="3"/>
  <c r="E11" i="3"/>
  <c r="B11" i="3"/>
  <c r="E10" i="3"/>
  <c r="B10" i="3"/>
  <c r="L7" i="3"/>
  <c r="E7" i="3"/>
  <c r="E6" i="3"/>
  <c r="M5" i="3"/>
  <c r="M4" i="3"/>
  <c r="H4" i="3"/>
  <c r="M3" i="3"/>
  <c r="H3" i="3"/>
  <c r="M2" i="3"/>
  <c r="J9" i="2"/>
  <c r="J8" i="2"/>
  <c r="J6" i="2"/>
  <c r="J5" i="2"/>
  <c r="J4" i="2"/>
  <c r="J3" i="2"/>
  <c r="J7" i="2" s="1"/>
  <c r="J2" i="2"/>
  <c r="A2" i="2"/>
  <c r="A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navia</author>
  </authors>
  <commentList>
    <comment ref="E1" authorId="0" shapeId="0" xr:uid="{B939AA90-08B5-4368-848C-981BA17FB30B}">
      <text>
        <r>
          <rPr>
            <b/>
            <sz val="9"/>
            <color rgb="FF000000"/>
            <rFont val="Tahoma"/>
            <family val="2"/>
          </rPr>
          <t>navia: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KeyRatio-&gt; Pick one growth ratio on Growth Tab. Find an average (About 5 years) and use it</t>
        </r>
      </text>
    </comment>
    <comment ref="H1" authorId="0" shapeId="0" xr:uid="{AB45286A-CE51-414F-9ADE-FF5B0D245CFA}">
      <text>
        <r>
          <rPr>
            <b/>
            <sz val="9"/>
            <color rgb="FF000000"/>
            <rFont val="Tahoma"/>
            <family val="2"/>
          </rPr>
          <t>navia: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Current Liabilities: Morningstar
</t>
        </r>
      </text>
    </comment>
    <comment ref="H2" authorId="0" shapeId="0" xr:uid="{24A511CB-D995-4C8E-9917-3D0E2F49EFCC}">
      <text>
        <r>
          <rPr>
            <b/>
            <sz val="9"/>
            <color rgb="FF000000"/>
            <rFont val="Tahoma"/>
            <family val="2"/>
          </rPr>
          <t>navia: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Long-Term Liabilities: MorningStar</t>
        </r>
      </text>
    </comment>
    <comment ref="E3" authorId="0" shapeId="0" xr:uid="{353939BC-C43B-43C0-994C-584994A45999}">
      <text>
        <r>
          <rPr>
            <b/>
            <sz val="9"/>
            <color rgb="FF000000"/>
            <rFont val="Tahoma"/>
            <family val="2"/>
          </rPr>
          <t>navia: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5-year growth that they can sustain.</t>
        </r>
      </text>
    </comment>
    <comment ref="E5" authorId="0" shapeId="0" xr:uid="{6A509E3E-A0E3-4197-AD5A-90B46A24E60C}">
      <text>
        <r>
          <rPr>
            <b/>
            <sz val="9"/>
            <color rgb="FF000000"/>
            <rFont val="Tahoma"/>
            <family val="2"/>
          </rPr>
          <t>navia: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Income Tax / PreTax income. OR
</t>
        </r>
        <r>
          <rPr>
            <sz val="9"/>
            <color rgb="FF000000"/>
            <rFont val="Tahoma"/>
            <family val="2"/>
          </rPr>
          <t>Morning Star -&gt; Key Ratios -&gt; Tax Rate %</t>
        </r>
      </text>
    </comment>
    <comment ref="H5" authorId="0" shapeId="0" xr:uid="{200A0BC8-841F-44FE-A754-F8ACFA2829D8}">
      <text>
        <r>
          <rPr>
            <b/>
            <sz val="9"/>
            <color rgb="FF000000"/>
            <rFont val="Tahoma"/>
            <family val="2"/>
          </rPr>
          <t>navia: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TTM. Interest Expense. Check Income Statement Morningstar</t>
        </r>
      </text>
    </comment>
    <comment ref="H8" authorId="0" shapeId="0" xr:uid="{08520C8A-B679-496B-BEC2-A1AF45BF2DDB}">
      <text>
        <r>
          <rPr>
            <b/>
            <sz val="9"/>
            <color rgb="FF000000"/>
            <rFont val="Tahoma"/>
            <family val="2"/>
          </rPr>
          <t>navia: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The annual dividend Pay-Out. Check morningstar Dividend Section</t>
        </r>
      </text>
    </comment>
    <comment ref="H10" authorId="0" shapeId="0" xr:uid="{83A2A7D9-9A41-481C-9FA2-742D97492BFE}">
      <text>
        <r>
          <rPr>
            <b/>
            <sz val="9"/>
            <color rgb="FF000000"/>
            <rFont val="Tahoma"/>
            <family val="2"/>
          </rPr>
          <t>navia: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We calculate this with a minimum 5-year div avg growth rate. Check Morning Star </t>
        </r>
      </text>
    </comment>
    <comment ref="H11" authorId="0" shapeId="0" xr:uid="{09602B10-F7BF-4069-B200-43DA36864E2A}">
      <text>
        <r>
          <rPr>
            <b/>
            <sz val="9"/>
            <color rgb="FF000000"/>
            <rFont val="Tahoma"/>
            <family val="2"/>
          </rPr>
          <t>navia: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H17" authorId="0" shapeId="0" xr:uid="{D4300A38-078E-4E2A-86B2-E73A4F3F2147}">
      <text>
        <r>
          <rPr>
            <b/>
            <sz val="9"/>
            <color indexed="81"/>
            <rFont val="Tahoma"/>
            <family val="2"/>
          </rPr>
          <t>navia:</t>
        </r>
        <r>
          <rPr>
            <sz val="9"/>
            <color indexed="81"/>
            <rFont val="Tahoma"/>
            <family val="2"/>
          </rPr>
          <t xml:space="preserve">
Rate you can get without risk. We use T-Bill</t>
        </r>
      </text>
    </comment>
    <comment ref="H18" authorId="0" shapeId="0" xr:uid="{E327BC7E-1039-4A31-BD33-6A5F4DDDD8BC}">
      <text>
        <r>
          <rPr>
            <b/>
            <sz val="9"/>
            <color rgb="FF000000"/>
            <rFont val="Tahoma"/>
            <family val="2"/>
          </rPr>
          <t>navia: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Average return/growth of S&amp;P</t>
        </r>
      </text>
    </comment>
    <comment ref="H19" authorId="0" shapeId="0" xr:uid="{FE97C015-DDA0-410E-BF02-0AB61AF2E492}">
      <text>
        <r>
          <rPr>
            <b/>
            <sz val="9"/>
            <color rgb="FF000000"/>
            <rFont val="Tahoma"/>
            <family val="2"/>
          </rPr>
          <t>navia: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A volatility number compared to the market to a whole
</t>
        </r>
        <r>
          <rPr>
            <sz val="9"/>
            <color rgb="FF000000"/>
            <rFont val="Tahoma"/>
            <family val="2"/>
          </rPr>
          <t xml:space="preserve">1 = about market
</t>
        </r>
        <r>
          <rPr>
            <sz val="9"/>
            <color rgb="FF000000"/>
            <rFont val="Tahoma"/>
            <family val="2"/>
          </rPr>
          <t xml:space="preserve">&lt;1 = Less vol. than market
</t>
        </r>
        <r>
          <rPr>
            <sz val="9"/>
            <color rgb="FF000000"/>
            <rFont val="Tahoma"/>
            <family val="2"/>
          </rPr>
          <t>&gt;1 = Higher  vol. than market</t>
        </r>
      </text>
    </comment>
    <comment ref="H20" authorId="0" shapeId="0" xr:uid="{715DE58E-F84F-40B2-B50A-495F1AA22C88}">
      <text>
        <r>
          <rPr>
            <b/>
            <sz val="9"/>
            <color indexed="81"/>
            <rFont val="Tahoma"/>
            <family val="2"/>
          </rPr>
          <t>navia:</t>
        </r>
        <r>
          <rPr>
            <sz val="9"/>
            <color indexed="81"/>
            <rFont val="Tahoma"/>
            <family val="2"/>
          </rPr>
          <t xml:space="preserve">
Return on Equity. In this model this is the rate of return we should expect</t>
        </r>
      </text>
    </comment>
  </commentList>
</comments>
</file>

<file path=xl/sharedStrings.xml><?xml version="1.0" encoding="utf-8"?>
<sst xmlns="http://schemas.openxmlformats.org/spreadsheetml/2006/main" count="79" uniqueCount="67">
  <si>
    <t>Year</t>
  </si>
  <si>
    <t>Free Cash Flow</t>
  </si>
  <si>
    <t>Long Term Growth Rate</t>
  </si>
  <si>
    <t>Short Term Debt (mil)</t>
  </si>
  <si>
    <t>Y0 ($ mil)</t>
  </si>
  <si>
    <t>Long Term Debt (mil)</t>
  </si>
  <si>
    <t>Y1 ($ mil)</t>
  </si>
  <si>
    <t>Short Term Growth Rate</t>
  </si>
  <si>
    <t>Total Debt (mil)</t>
  </si>
  <si>
    <t>Y2 ($ mil)</t>
  </si>
  <si>
    <t>Rd</t>
  </si>
  <si>
    <t>Y3 ($ mil)</t>
  </si>
  <si>
    <t>Tax rate</t>
  </si>
  <si>
    <t>Interest Expense (mil)</t>
  </si>
  <si>
    <t>TTM</t>
  </si>
  <si>
    <t>Total Maket Value (mil)</t>
  </si>
  <si>
    <t>WACC</t>
  </si>
  <si>
    <t>Dividend Capitalization Model</t>
  </si>
  <si>
    <t>Dividends/Share</t>
  </si>
  <si>
    <t>Gordon Growth Model</t>
  </si>
  <si>
    <t>DCF Model</t>
  </si>
  <si>
    <t>Share price</t>
  </si>
  <si>
    <t>Y0 CF ($ mil)</t>
  </si>
  <si>
    <t>Y0</t>
  </si>
  <si>
    <t>Dividend Growth Rate</t>
  </si>
  <si>
    <t>Y1 CF ($ mil)</t>
  </si>
  <si>
    <t>Y1</t>
  </si>
  <si>
    <t>Re</t>
  </si>
  <si>
    <t>Y2 CF ($ mil)</t>
  </si>
  <si>
    <t>Y2</t>
  </si>
  <si>
    <t>Y3 CF ($ mil)</t>
  </si>
  <si>
    <t>Y3</t>
  </si>
  <si>
    <t>Average Re</t>
  </si>
  <si>
    <t>Y4 CF ($ mil)</t>
  </si>
  <si>
    <t>Y4</t>
  </si>
  <si>
    <t>Market Cap (mil)</t>
  </si>
  <si>
    <t>Terminal Value</t>
  </si>
  <si>
    <t>Terminal Value (adj.)</t>
  </si>
  <si>
    <t>Value (mil $)</t>
  </si>
  <si>
    <t>CAPM Model</t>
  </si>
  <si>
    <t>Ticker:</t>
  </si>
  <si>
    <t>Value of Equity</t>
  </si>
  <si>
    <t>Risk Free Rate</t>
  </si>
  <si>
    <t>Shares Outstanding</t>
  </si>
  <si>
    <t>Market Return</t>
  </si>
  <si>
    <t xml:space="preserve"> </t>
  </si>
  <si>
    <t>Value/Share</t>
  </si>
  <si>
    <t>Beta</t>
  </si>
  <si>
    <t>Fill these cells in</t>
  </si>
  <si>
    <t>Margin of Safety</t>
  </si>
  <si>
    <t>Filled in for you</t>
  </si>
  <si>
    <t>*7344.24*</t>
  </si>
  <si>
    <t>*-137.75* * ▼ * *1.84%*</t>
  </si>
  <si>
    <t>*DJIA*</t>
  </si>
  <si>
    <t>*24610.91*</t>
  </si>
  <si>
    <t>*-335.60* * ▼ * *1.35%*</t>
  </si>
  <si>
    <t>*S&amp;P 500*</t>
  </si>
  <si>
    <t>*2712.92*</t>
  </si>
  <si>
    <t>*-39.09* * ▼ * *1.42%*</t>
  </si>
  <si>
    <t>AVG</t>
  </si>
  <si>
    <t>Share Price</t>
  </si>
  <si>
    <t>Dividend Rate</t>
  </si>
  <si>
    <t>Discount Rate</t>
  </si>
  <si>
    <t>Growth rate</t>
  </si>
  <si>
    <t>Annual Div</t>
  </si>
  <si>
    <t>Average</t>
  </si>
  <si>
    <t>MSFT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</si>
</sst>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2">
    <font>
      <sz val="11"/>
      <color rgb="FF000000"/>
      <name val="Calibri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8"/>
      <color rgb="FFFF0000"/>
      <name val="Calibri"/>
      <family val="2"/>
    </font>
    <font>
      <u/>
      <sz val="11"/>
      <color rgb="FF0000FF"/>
      <name val="Calibri"/>
      <family val="2"/>
    </font>
    <font>
      <sz val="11"/>
      <color rgb="FF000000"/>
      <name val="Inconsolata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1"/>
      <color rgb="FF000000"/>
      <name val="Verdan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rgb="FFFFE598"/>
        <bgColor rgb="FFFFE598"/>
      </patternFill>
    </fill>
    <fill>
      <patternFill patternType="solid">
        <fgColor rgb="FFFFE599"/>
        <bgColor rgb="FFFFE599"/>
      </patternFill>
    </fill>
    <fill>
      <patternFill patternType="solid">
        <fgColor rgb="FFBDD6EE"/>
        <bgColor rgb="FFBDD6EE"/>
      </patternFill>
    </fill>
    <fill>
      <patternFill patternType="solid">
        <fgColor rgb="FFFFFFFF"/>
        <bgColor rgb="FFFFFFFF"/>
      </patternFill>
    </fill>
    <fill>
      <patternFill patternType="solid">
        <fgColor rgb="FFFEE598"/>
        <bgColor indexed="64"/>
      </patternFill>
    </fill>
    <fill>
      <patternFill patternType="solid">
        <fgColor rgb="FFB4C6E7"/>
        <bgColor indexed="64"/>
      </patternFill>
    </fill>
  </fills>
  <borders count="2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FFFFFF"/>
      </bottom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/>
      <top/>
      <bottom/>
      <diagonal/>
    </border>
    <border>
      <left/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1" xfId="0" applyBorder="1"/>
    <xf numFmtId="0" fontId="1" fillId="0" borderId="2" xfId="0" applyFont="1" applyBorder="1"/>
    <xf numFmtId="10" fontId="0" fillId="2" borderId="1" xfId="0" applyNumberFormat="1" applyFill="1" applyBorder="1"/>
    <xf numFmtId="164" fontId="0" fillId="3" borderId="1" xfId="0" applyNumberFormat="1" applyFill="1" applyBorder="1" applyAlignment="1">
      <alignment horizontal="right"/>
    </xf>
    <xf numFmtId="0" fontId="1" fillId="0" borderId="3" xfId="0" applyFont="1" applyBorder="1"/>
    <xf numFmtId="0" fontId="0" fillId="0" borderId="1" xfId="0" applyBorder="1"/>
    <xf numFmtId="164" fontId="0" fillId="3" borderId="1" xfId="0" applyNumberFormat="1" applyFill="1" applyBorder="1"/>
    <xf numFmtId="0" fontId="1" fillId="0" borderId="4" xfId="0" applyFont="1" applyBorder="1"/>
    <xf numFmtId="0" fontId="1" fillId="0" borderId="5" xfId="0" applyFont="1" applyBorder="1"/>
    <xf numFmtId="164" fontId="0" fillId="4" borderId="1" xfId="0" applyNumberFormat="1" applyFill="1" applyBorder="1"/>
    <xf numFmtId="10" fontId="0" fillId="4" borderId="1" xfId="0" applyNumberFormat="1" applyFill="1" applyBorder="1"/>
    <xf numFmtId="10" fontId="0" fillId="3" borderId="1" xfId="0" applyNumberFormat="1" applyFill="1" applyBorder="1"/>
    <xf numFmtId="0" fontId="1" fillId="0" borderId="6" xfId="0" applyFont="1" applyBorder="1"/>
    <xf numFmtId="0" fontId="2" fillId="0" borderId="7" xfId="0" applyFont="1" applyBorder="1"/>
    <xf numFmtId="0" fontId="1" fillId="0" borderId="8" xfId="0" applyFont="1" applyBorder="1"/>
    <xf numFmtId="0" fontId="1" fillId="0" borderId="9" xfId="0" applyFont="1" applyBorder="1"/>
    <xf numFmtId="164" fontId="0" fillId="3" borderId="1" xfId="0" applyNumberFormat="1" applyFill="1" applyBorder="1"/>
    <xf numFmtId="0" fontId="2" fillId="0" borderId="10" xfId="0" applyFont="1" applyBorder="1"/>
    <xf numFmtId="0" fontId="1" fillId="0" borderId="10" xfId="0" applyFont="1" applyBorder="1"/>
    <xf numFmtId="0" fontId="1" fillId="0" borderId="11" xfId="0" applyFont="1" applyBorder="1"/>
    <xf numFmtId="164" fontId="0" fillId="0" borderId="4" xfId="0" applyNumberFormat="1" applyBorder="1"/>
    <xf numFmtId="0" fontId="3" fillId="0" borderId="12" xfId="0" applyFont="1" applyBorder="1"/>
    <xf numFmtId="0" fontId="0" fillId="0" borderId="12" xfId="0" applyBorder="1"/>
    <xf numFmtId="0" fontId="1" fillId="0" borderId="1" xfId="0" applyFont="1" applyBorder="1" applyAlignment="1">
      <alignment horizontal="center"/>
    </xf>
    <xf numFmtId="0" fontId="4" fillId="3" borderId="13" xfId="0" applyFont="1" applyFill="1" applyBorder="1" applyAlignment="1">
      <alignment horizontal="center"/>
    </xf>
    <xf numFmtId="1" fontId="0" fillId="4" borderId="1" xfId="0" applyNumberFormat="1" applyFill="1" applyBorder="1"/>
    <xf numFmtId="10" fontId="0" fillId="4" borderId="1" xfId="0" applyNumberFormat="1" applyFill="1" applyBorder="1"/>
    <xf numFmtId="0" fontId="1" fillId="0" borderId="6" xfId="0" applyFont="1" applyBorder="1"/>
    <xf numFmtId="0" fontId="1" fillId="0" borderId="9" xfId="0" applyFont="1" applyBorder="1"/>
    <xf numFmtId="0" fontId="1" fillId="0" borderId="4" xfId="0" applyFont="1" applyBorder="1" applyAlignment="1">
      <alignment horizontal="right"/>
    </xf>
    <xf numFmtId="164" fontId="0" fillId="0" borderId="1" xfId="0" applyNumberFormat="1" applyBorder="1"/>
    <xf numFmtId="0" fontId="0" fillId="3" borderId="14" xfId="0" applyFill="1" applyBorder="1"/>
    <xf numFmtId="0" fontId="0" fillId="2" borderId="15" xfId="0" applyFill="1" applyBorder="1"/>
    <xf numFmtId="10" fontId="0" fillId="0" borderId="1" xfId="0" applyNumberFormat="1" applyBorder="1"/>
    <xf numFmtId="0" fontId="0" fillId="4" borderId="15" xfId="0" applyFill="1" applyBorder="1"/>
    <xf numFmtId="0" fontId="5" fillId="0" borderId="0" xfId="0" applyFont="1"/>
    <xf numFmtId="0" fontId="1" fillId="0" borderId="0" xfId="0" applyFont="1"/>
    <xf numFmtId="0" fontId="6" fillId="5" borderId="0" xfId="0" applyFont="1" applyFill="1"/>
    <xf numFmtId="10" fontId="1" fillId="0" borderId="0" xfId="0" applyNumberFormat="1" applyFont="1"/>
    <xf numFmtId="10" fontId="0" fillId="2" borderId="15" xfId="0" applyNumberFormat="1" applyFill="1" applyBorder="1"/>
    <xf numFmtId="10" fontId="0" fillId="4" borderId="15" xfId="0" applyNumberFormat="1" applyFill="1" applyBorder="1"/>
    <xf numFmtId="164" fontId="0" fillId="4" borderId="15" xfId="0" applyNumberFormat="1" applyFill="1" applyBorder="1"/>
    <xf numFmtId="0" fontId="0" fillId="0" borderId="16" xfId="0" applyBorder="1"/>
    <xf numFmtId="0" fontId="0" fillId="6" borderId="16" xfId="0" applyFill="1" applyBorder="1"/>
    <xf numFmtId="10" fontId="0" fillId="7" borderId="16" xfId="0" applyNumberFormat="1" applyFill="1" applyBorder="1"/>
    <xf numFmtId="0" fontId="3" fillId="0" borderId="16" xfId="0" applyFont="1" applyBorder="1"/>
    <xf numFmtId="0" fontId="0" fillId="0" borderId="17" xfId="0" applyBorder="1"/>
    <xf numFmtId="0" fontId="0" fillId="6" borderId="17" xfId="0" applyFill="1" applyBorder="1"/>
    <xf numFmtId="0" fontId="3" fillId="0" borderId="18" xfId="0" applyFont="1" applyBorder="1"/>
    <xf numFmtId="10" fontId="0" fillId="7" borderId="19" xfId="0" applyNumberFormat="1" applyFill="1" applyBorder="1"/>
    <xf numFmtId="3" fontId="9" fillId="0" borderId="0" xfId="0" applyNumberFormat="1" applyFont="1"/>
  </cellXfs>
  <cellStyles count="1">
    <cellStyle name="Normal" xfId="0" builtinId="0"/>
  </cellStyles>
  <dxfs count="10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9"/>
  <sheetViews>
    <sheetView workbookViewId="0"/>
  </sheetViews>
  <sheetFormatPr baseColWidth="10" defaultColWidth="14.33203125" defaultRowHeight="15"/>
  <sheetData>
    <row r="1" spans="1:11">
      <c r="A1" s="36" t="str">
        <f>CONCATENATE("http://www.nasdaq.com/symbol/", 'DCF Model'!A18, "/dividend-history")</f>
        <v>http://www.nasdaq.com/symbol/MSFT/dividend-history</v>
      </c>
      <c r="D1" s="37"/>
    </row>
    <row r="2" spans="1:11">
      <c r="A2" s="38" t="str">
        <f>IFERROR(__xludf.DUMMYFUNCTION("IMPORTHTML(A1, ""table"", 0)"),"*NASDAQ*")</f>
        <v>*NASDAQ*</v>
      </c>
      <c r="B2" t="s">
        <v>51</v>
      </c>
      <c r="C2" t="s">
        <v>52</v>
      </c>
      <c r="J2">
        <f>SUM(C15:C18)</f>
        <v>0</v>
      </c>
    </row>
    <row r="3" spans="1:11">
      <c r="A3" t="s">
        <v>53</v>
      </c>
      <c r="B3" t="s">
        <v>54</v>
      </c>
      <c r="C3" t="s">
        <v>55</v>
      </c>
      <c r="J3" t="e">
        <f>sum (C11:C14)</f>
        <v>#NAME?</v>
      </c>
    </row>
    <row r="4" spans="1:11">
      <c r="A4" t="s">
        <v>56</v>
      </c>
      <c r="B4" t="s">
        <v>57</v>
      </c>
      <c r="C4" t="s">
        <v>58</v>
      </c>
      <c r="J4">
        <f>SUM(C7:C10)</f>
        <v>0</v>
      </c>
    </row>
    <row r="5" spans="1:11">
      <c r="J5">
        <f>SUM(C3:C6)</f>
        <v>0</v>
      </c>
    </row>
    <row r="6" spans="1:11">
      <c r="J6" s="39" t="e">
        <f ca="1">(MINUS(J3,J2)/J2)</f>
        <v>#NAME?</v>
      </c>
    </row>
    <row r="7" spans="1:11">
      <c r="J7" s="39" t="e">
        <f>(J4-J3)/J3</f>
        <v>#NAME?</v>
      </c>
    </row>
    <row r="8" spans="1:11">
      <c r="J8" s="39" t="e">
        <f>(J5-J4)/J4</f>
        <v>#DIV/0!</v>
      </c>
    </row>
    <row r="9" spans="1:11">
      <c r="J9" s="39" t="e">
        <f ca="1">AVERAGE(J6:J8)</f>
        <v>#NAME?</v>
      </c>
      <c r="K9" s="37" t="s">
        <v>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2"/>
  <sheetViews>
    <sheetView tabSelected="1" workbookViewId="0">
      <selection activeCell="B22" sqref="B22"/>
    </sheetView>
  </sheetViews>
  <sheetFormatPr baseColWidth="10" defaultColWidth="14.33203125" defaultRowHeight="15"/>
  <cols>
    <col min="1" max="1" width="15" customWidth="1"/>
    <col min="2" max="2" width="17.6640625" customWidth="1"/>
    <col min="3" max="3" width="3.6640625" customWidth="1"/>
    <col min="4" max="4" width="21.83203125" customWidth="1"/>
    <col min="5" max="5" width="13.5" customWidth="1"/>
    <col min="6" max="6" width="3.33203125" customWidth="1"/>
    <col min="7" max="8" width="20" customWidth="1"/>
    <col min="9" max="9" width="3.6640625" customWidth="1"/>
  </cols>
  <sheetData>
    <row r="1" spans="1:13">
      <c r="A1" s="1" t="s">
        <v>0</v>
      </c>
      <c r="B1" s="1" t="s">
        <v>1</v>
      </c>
      <c r="C1" s="2"/>
      <c r="D1" s="1" t="s">
        <v>2</v>
      </c>
      <c r="E1" s="3">
        <v>0.02</v>
      </c>
      <c r="F1" s="2"/>
      <c r="G1" s="1" t="s">
        <v>3</v>
      </c>
      <c r="H1" s="4">
        <v>58488</v>
      </c>
      <c r="I1" s="5"/>
      <c r="K1" s="46" t="s">
        <v>0</v>
      </c>
      <c r="L1" s="46" t="s">
        <v>64</v>
      </c>
      <c r="M1" s="46" t="s">
        <v>63</v>
      </c>
    </row>
    <row r="2" spans="1:13">
      <c r="A2" s="6" t="s">
        <v>4</v>
      </c>
      <c r="B2" s="7">
        <v>26746</v>
      </c>
      <c r="C2" s="8"/>
      <c r="D2" s="1"/>
      <c r="E2" s="1"/>
      <c r="F2" s="8"/>
      <c r="G2" s="1" t="s">
        <v>5</v>
      </c>
      <c r="H2" s="4">
        <v>117642</v>
      </c>
      <c r="I2" s="9"/>
      <c r="K2" s="43">
        <v>2017</v>
      </c>
      <c r="L2" s="44">
        <v>1.59</v>
      </c>
      <c r="M2" s="45">
        <f>(L2-L3)/L3</f>
        <v>8.1632653061224594E-2</v>
      </c>
    </row>
    <row r="3" spans="1:13">
      <c r="A3" s="6" t="s">
        <v>6</v>
      </c>
      <c r="B3" s="7">
        <v>23136</v>
      </c>
      <c r="C3" s="8"/>
      <c r="D3" s="1" t="s">
        <v>7</v>
      </c>
      <c r="E3" s="3">
        <v>0.05</v>
      </c>
      <c r="F3" s="8"/>
      <c r="G3" s="1" t="s">
        <v>8</v>
      </c>
      <c r="H3" s="10">
        <f>H1+H2</f>
        <v>176130</v>
      </c>
      <c r="I3" s="9"/>
      <c r="K3" s="43">
        <v>2016</v>
      </c>
      <c r="L3" s="44">
        <v>1.47</v>
      </c>
      <c r="M3" s="45">
        <f>(L3-L4)/L4</f>
        <v>0.13953488372093001</v>
      </c>
    </row>
    <row r="4" spans="1:13">
      <c r="A4" s="6" t="s">
        <v>9</v>
      </c>
      <c r="B4" s="7">
        <v>24982</v>
      </c>
      <c r="C4" s="8"/>
      <c r="D4" s="1"/>
      <c r="E4" s="1"/>
      <c r="F4" s="8"/>
      <c r="G4" s="1" t="s">
        <v>10</v>
      </c>
      <c r="H4" s="11">
        <f>(H5 / IF(H3 = 0, 1, H3) * (1 - E5))</f>
        <v>1.3344575029807499E-2</v>
      </c>
      <c r="I4" s="9"/>
      <c r="K4" s="43">
        <v>2015</v>
      </c>
      <c r="L4" s="44">
        <v>1.29</v>
      </c>
      <c r="M4" s="45">
        <f>(L4-L5)/L5</f>
        <v>0.121739130434783</v>
      </c>
    </row>
    <row r="5" spans="1:13">
      <c r="A5" s="6" t="s">
        <v>11</v>
      </c>
      <c r="B5" s="7">
        <v>31378</v>
      </c>
      <c r="C5" s="8"/>
      <c r="D5" s="1" t="s">
        <v>12</v>
      </c>
      <c r="E5" s="12">
        <v>0.14000000000000001</v>
      </c>
      <c r="F5" s="8"/>
      <c r="G5" s="1" t="s">
        <v>13</v>
      </c>
      <c r="H5" s="4">
        <v>2733</v>
      </c>
      <c r="I5" s="9"/>
      <c r="K5" s="43">
        <v>2014</v>
      </c>
      <c r="L5" s="44">
        <v>1.1499999999999999</v>
      </c>
      <c r="M5" s="45">
        <f>(L5-L6)/L6</f>
        <v>0.185567010309278</v>
      </c>
    </row>
    <row r="6" spans="1:13" ht="16" thickBot="1">
      <c r="A6" s="1" t="s">
        <v>14</v>
      </c>
      <c r="B6" s="7">
        <v>32252</v>
      </c>
      <c r="C6" s="8"/>
      <c r="D6" s="1" t="s">
        <v>15</v>
      </c>
      <c r="E6" s="10">
        <f>H3+H14</f>
        <v>1005930</v>
      </c>
      <c r="F6" s="8"/>
      <c r="G6" s="13"/>
      <c r="H6" s="13"/>
      <c r="I6" s="9"/>
      <c r="K6" s="47">
        <v>2013</v>
      </c>
      <c r="L6" s="48">
        <v>0.97</v>
      </c>
      <c r="M6" s="43"/>
    </row>
    <row r="7" spans="1:13" ht="16" thickBot="1">
      <c r="A7" s="13"/>
      <c r="B7" s="13"/>
      <c r="C7" s="8"/>
      <c r="D7" s="1" t="s">
        <v>16</v>
      </c>
      <c r="E7" s="11">
        <f>((H14/E6)*H13*(1 - E5) )+(H3/E6)*H4</f>
        <v>5.2464097934553901E-2</v>
      </c>
      <c r="F7" s="8"/>
      <c r="G7" s="14" t="s">
        <v>17</v>
      </c>
      <c r="H7" s="15"/>
      <c r="I7" s="9"/>
      <c r="K7" s="49" t="s">
        <v>65</v>
      </c>
      <c r="L7" s="50">
        <f>AVERAGE(M2:M5)</f>
        <v>0.132118419381554</v>
      </c>
    </row>
    <row r="8" spans="1:13">
      <c r="A8" s="16"/>
      <c r="B8" s="16"/>
      <c r="C8" s="8"/>
      <c r="D8" s="13"/>
      <c r="E8" s="13"/>
      <c r="F8" s="8"/>
      <c r="G8" s="1" t="s">
        <v>18</v>
      </c>
      <c r="H8" s="17">
        <v>1.59</v>
      </c>
      <c r="I8" s="9"/>
    </row>
    <row r="9" spans="1:13">
      <c r="A9" s="14" t="s">
        <v>19</v>
      </c>
      <c r="B9" s="15"/>
      <c r="C9" s="8"/>
      <c r="D9" s="18" t="s">
        <v>20</v>
      </c>
      <c r="E9" s="19"/>
      <c r="F9" s="8"/>
      <c r="G9" s="1" t="s">
        <v>21</v>
      </c>
      <c r="H9" s="17">
        <v>108.21</v>
      </c>
      <c r="I9" s="9"/>
    </row>
    <row r="10" spans="1:13">
      <c r="A10" s="6" t="s">
        <v>22</v>
      </c>
      <c r="B10" s="10">
        <f>B6*(1+E3)</f>
        <v>33864.6</v>
      </c>
      <c r="C10" s="8"/>
      <c r="D10" s="1" t="s">
        <v>23</v>
      </c>
      <c r="E10" s="10">
        <f>(B10)/((1+E7)^1)</f>
        <v>32176.489503498298</v>
      </c>
      <c r="F10" s="8"/>
      <c r="G10" s="1" t="s">
        <v>24</v>
      </c>
      <c r="H10" s="12">
        <v>2.5000000000000001E-2</v>
      </c>
      <c r="I10" s="9"/>
    </row>
    <row r="11" spans="1:13">
      <c r="A11" s="6" t="s">
        <v>25</v>
      </c>
      <c r="B11" s="10">
        <f>B10*(1+E3)</f>
        <v>35557.83</v>
      </c>
      <c r="C11" s="8"/>
      <c r="D11" s="1" t="s">
        <v>26</v>
      </c>
      <c r="E11" s="10">
        <f>B11/((1+E7)^2)</f>
        <v>32101.1557971207</v>
      </c>
      <c r="F11" s="8"/>
      <c r="G11" s="1" t="s">
        <v>27</v>
      </c>
      <c r="H11" s="11">
        <f>(H8/H9)+H10</f>
        <v>3.9693651233712199E-2</v>
      </c>
      <c r="I11" s="9"/>
    </row>
    <row r="12" spans="1:13">
      <c r="A12" s="6" t="s">
        <v>28</v>
      </c>
      <c r="B12" s="10">
        <f>B11*(1+E3)</f>
        <v>37335.7215</v>
      </c>
      <c r="C12" s="8"/>
      <c r="D12" s="1" t="s">
        <v>29</v>
      </c>
      <c r="E12" s="10">
        <f>B12/((1+E7)^3)</f>
        <v>32025.998466954599</v>
      </c>
      <c r="F12" s="8"/>
      <c r="G12" s="20"/>
      <c r="H12" s="20"/>
      <c r="I12" s="9"/>
    </row>
    <row r="13" spans="1:13">
      <c r="A13" s="6" t="s">
        <v>30</v>
      </c>
      <c r="B13" s="10">
        <f>B12*(1+E3)</f>
        <v>39202.507575000003</v>
      </c>
      <c r="C13" s="8"/>
      <c r="D13" s="1" t="s">
        <v>31</v>
      </c>
      <c r="E13" s="10">
        <f>(B13)/((1+E7)^4)</f>
        <v>31951.017100056401</v>
      </c>
      <c r="F13" s="8"/>
      <c r="G13" s="1" t="s">
        <v>32</v>
      </c>
      <c r="H13" s="11">
        <f>(H11+H20)/2</f>
        <v>7.0659825616856103E-2</v>
      </c>
      <c r="I13" s="9"/>
    </row>
    <row r="14" spans="1:13">
      <c r="A14" s="6" t="s">
        <v>33</v>
      </c>
      <c r="B14" s="10">
        <f>B13*(1+E3)</f>
        <v>41162.632953749999</v>
      </c>
      <c r="C14" s="8"/>
      <c r="D14" s="1" t="s">
        <v>34</v>
      </c>
      <c r="E14" s="10">
        <f>B14/((1+E7)^5)</f>
        <v>31876.211284449299</v>
      </c>
      <c r="F14" s="8"/>
      <c r="G14" s="1" t="s">
        <v>35</v>
      </c>
      <c r="H14" s="17">
        <v>829800</v>
      </c>
      <c r="I14" s="9"/>
    </row>
    <row r="15" spans="1:13">
      <c r="A15" s="1" t="s">
        <v>36</v>
      </c>
      <c r="B15" s="10">
        <f>B14*(1+E1)/(E7-E1)</f>
        <v>1293302.08704602</v>
      </c>
      <c r="C15" s="8"/>
      <c r="D15" s="1" t="s">
        <v>37</v>
      </c>
      <c r="E15" s="10">
        <f>B15/((1+E7)^5)</f>
        <v>1001528.99907105</v>
      </c>
      <c r="F15" s="8"/>
      <c r="G15" s="20"/>
      <c r="H15" s="20"/>
      <c r="I15" s="9"/>
    </row>
    <row r="16" spans="1:13">
      <c r="A16" s="20"/>
      <c r="B16" s="20"/>
      <c r="C16" s="21"/>
      <c r="D16" s="1" t="s">
        <v>38</v>
      </c>
      <c r="E16" s="10">
        <f>E10+E11+E12+E13+E14+E15</f>
        <v>1161659.87122313</v>
      </c>
      <c r="F16" s="8"/>
      <c r="G16" s="22" t="s">
        <v>39</v>
      </c>
      <c r="H16" s="23"/>
      <c r="I16" s="9"/>
    </row>
    <row r="17" spans="1:9">
      <c r="A17" s="24" t="s">
        <v>40</v>
      </c>
      <c r="B17" s="9"/>
      <c r="C17" s="8"/>
      <c r="D17" s="1" t="s">
        <v>41</v>
      </c>
      <c r="E17" s="10">
        <f>E16-H3</f>
        <v>985529.87122312805</v>
      </c>
      <c r="F17" s="8"/>
      <c r="G17" s="1" t="s">
        <v>42</v>
      </c>
      <c r="H17" s="11">
        <v>2.5899999999999999E-2</v>
      </c>
      <c r="I17" s="9"/>
    </row>
    <row r="18" spans="1:9" ht="24">
      <c r="A18" s="25" t="s">
        <v>66</v>
      </c>
      <c r="B18" s="9"/>
      <c r="C18" s="8"/>
      <c r="D18" s="1" t="s">
        <v>43</v>
      </c>
      <c r="E18" s="26">
        <f>H14*10^6/H9</f>
        <v>7668422511.7826405</v>
      </c>
      <c r="F18" s="8"/>
      <c r="G18" s="1" t="s">
        <v>44</v>
      </c>
      <c r="H18" s="27">
        <v>8.5999999999999993E-2</v>
      </c>
      <c r="I18" s="9"/>
    </row>
    <row r="19" spans="1:9">
      <c r="A19" s="28" t="s">
        <v>45</v>
      </c>
      <c r="B19" s="29"/>
      <c r="C19" s="30"/>
      <c r="D19" s="1" t="s">
        <v>46</v>
      </c>
      <c r="E19" s="31">
        <f>E17*10^6/E18</f>
        <v>128.517940907514</v>
      </c>
      <c r="F19" s="8"/>
      <c r="G19" s="1" t="s">
        <v>47</v>
      </c>
      <c r="H19" s="32">
        <v>1.26</v>
      </c>
      <c r="I19" s="9"/>
    </row>
    <row r="20" spans="1:9">
      <c r="A20" s="33" t="s">
        <v>48</v>
      </c>
      <c r="B20" s="16"/>
      <c r="C20" s="8"/>
      <c r="D20" s="1" t="s">
        <v>49</v>
      </c>
      <c r="E20" s="34">
        <f>1-(H9/E19)</f>
        <v>0.158016388716716</v>
      </c>
      <c r="F20" s="8"/>
      <c r="G20" s="1" t="s">
        <v>27</v>
      </c>
      <c r="H20" s="11">
        <f>H17+H19*(H18-H17)</f>
        <v>0.10162599999999999</v>
      </c>
      <c r="I20" s="9"/>
    </row>
    <row r="21" spans="1:9">
      <c r="A21" s="35" t="s">
        <v>50</v>
      </c>
      <c r="B21" s="16"/>
      <c r="C21" s="8"/>
      <c r="D21" s="13"/>
      <c r="E21" s="13"/>
      <c r="F21" s="8"/>
      <c r="G21" s="13"/>
      <c r="H21" s="13"/>
      <c r="I21" s="9"/>
    </row>
    <row r="23" spans="1:9" ht="15" customHeight="1">
      <c r="B23" s="51"/>
    </row>
    <row r="29" spans="1:9" ht="15" customHeight="1">
      <c r="D29" s="51"/>
    </row>
    <row r="30" spans="1:9" ht="15" customHeight="1">
      <c r="D30" s="51"/>
    </row>
    <row r="31" spans="1:9" ht="15" customHeight="1">
      <c r="D31" s="51"/>
    </row>
    <row r="32" spans="1:9" ht="15" customHeight="1">
      <c r="D32" s="51"/>
    </row>
  </sheetData>
  <conditionalFormatting sqref="E7">
    <cfRule type="cellIs" dxfId="9" priority="1" operator="lessThan">
      <formula>0.1</formula>
    </cfRule>
  </conditionalFormatting>
  <conditionalFormatting sqref="E7">
    <cfRule type="cellIs" dxfId="8" priority="2" operator="greaterThan">
      <formula>0.1</formula>
    </cfRule>
  </conditionalFormatting>
  <conditionalFormatting sqref="E20">
    <cfRule type="cellIs" dxfId="7" priority="3" operator="lessThan">
      <formula>0</formula>
    </cfRule>
  </conditionalFormatting>
  <conditionalFormatting sqref="E20">
    <cfRule type="cellIs" dxfId="6" priority="4" operator="greaterThan">
      <formula>0</formula>
    </cfRule>
  </conditionalFormatting>
  <conditionalFormatting sqref="E19">
    <cfRule type="cellIs" dxfId="5" priority="5" operator="lessThan">
      <formula>$H$9</formula>
    </cfRule>
  </conditionalFormatting>
  <conditionalFormatting sqref="E19">
    <cfRule type="cellIs" dxfId="4" priority="6" operator="greaterThan">
      <formula>$H$9</formula>
    </cfRule>
  </conditionalFormatting>
  <pageMargins left="0.7" right="0.7" top="0.75" bottom="0.75" header="0" footer="0"/>
  <pageSetup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0"/>
  <sheetViews>
    <sheetView workbookViewId="0"/>
  </sheetViews>
  <sheetFormatPr baseColWidth="10" defaultColWidth="14.33203125" defaultRowHeight="15"/>
  <cols>
    <col min="1" max="1" width="20.33203125" customWidth="1"/>
    <col min="2" max="2" width="12.6640625" customWidth="1"/>
    <col min="3" max="3" width="8.6640625" customWidth="1"/>
    <col min="4" max="4" width="18.1640625" customWidth="1"/>
    <col min="5" max="26" width="8.6640625" customWidth="1"/>
  </cols>
  <sheetData>
    <row r="1" spans="1:5">
      <c r="A1" t="s">
        <v>60</v>
      </c>
      <c r="B1" s="33"/>
      <c r="D1" t="s">
        <v>39</v>
      </c>
    </row>
    <row r="2" spans="1:5">
      <c r="A2" t="s">
        <v>61</v>
      </c>
      <c r="B2" s="40"/>
      <c r="D2" t="s">
        <v>42</v>
      </c>
      <c r="E2" s="41">
        <v>2.23E-2</v>
      </c>
    </row>
    <row r="3" spans="1:5">
      <c r="A3" t="s">
        <v>62</v>
      </c>
      <c r="B3" s="41">
        <f>E5</f>
        <v>2.23E-2</v>
      </c>
      <c r="D3" t="s">
        <v>44</v>
      </c>
      <c r="E3" s="41">
        <v>0.1</v>
      </c>
    </row>
    <row r="4" spans="1:5">
      <c r="A4" t="s">
        <v>24</v>
      </c>
      <c r="B4" s="40"/>
      <c r="D4" t="s">
        <v>47</v>
      </c>
      <c r="E4" s="33"/>
    </row>
    <row r="5" spans="1:5">
      <c r="A5" t="s">
        <v>46</v>
      </c>
      <c r="B5" s="42">
        <f>(B1*B2)/(B3-B4)</f>
        <v>0</v>
      </c>
      <c r="D5" t="s">
        <v>27</v>
      </c>
      <c r="E5" s="41">
        <f>E2+E4*(E3-E2)</f>
        <v>2.23E-2</v>
      </c>
    </row>
    <row r="6" spans="1:5">
      <c r="A6" t="s">
        <v>49</v>
      </c>
      <c r="B6" s="41" t="e">
        <f>1-(B1/B5)</f>
        <v>#DIV/0!</v>
      </c>
    </row>
    <row r="9" spans="1:5">
      <c r="A9" s="33" t="s">
        <v>48</v>
      </c>
    </row>
    <row r="10" spans="1:5">
      <c r="A10" s="35" t="s">
        <v>50</v>
      </c>
    </row>
  </sheetData>
  <conditionalFormatting sqref="B5">
    <cfRule type="cellIs" dxfId="3" priority="1" operator="lessThan">
      <formula>$B$1</formula>
    </cfRule>
  </conditionalFormatting>
  <conditionalFormatting sqref="B5">
    <cfRule type="cellIs" dxfId="2" priority="2" operator="greaterThan">
      <formula>$B$1</formula>
    </cfRule>
  </conditionalFormatting>
  <conditionalFormatting sqref="B6">
    <cfRule type="cellIs" dxfId="1" priority="3" operator="lessThan">
      <formula>0</formula>
    </cfRule>
  </conditionalFormatting>
  <conditionalFormatting sqref="B6">
    <cfRule type="cellIs" dxfId="0" priority="4" operator="greaterThan">
      <formula>0</formula>
    </cfRule>
  </conditionalFormatting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DCF Model</vt:lpstr>
      <vt:lpstr>Discounted Dividend Model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2018-03-20T12:52:23Z</dcterms:created>
  <dcterms:modified xsi:type="dcterms:W3CDTF">2019-02-27T15:37:59Z</dcterms:modified>
</cp:coreProperties>
</file>