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cnavia/Documents/"/>
    </mc:Choice>
  </mc:AlternateContent>
  <xr:revisionPtr revIDLastSave="0" documentId="8_{C9567292-3F49-7445-942A-57BAC7D3DDF5}" xr6:coauthVersionLast="34" xr6:coauthVersionMax="34" xr10:uidLastSave="{00000000-0000-0000-0000-000000000000}"/>
  <bookViews>
    <workbookView xWindow="0" yWindow="460" windowWidth="28800" windowHeight="12300" activeTab="2" xr2:uid="{00000000-000D-0000-FFFF-FFFF00000000}"/>
  </bookViews>
  <sheets>
    <sheet name="Readme" sheetId="2" r:id="rId1"/>
    <sheet name="General Information" sheetId="4" r:id="rId2"/>
    <sheet name="Discounted Cash Flow Model" sheetId="6" r:id="rId3"/>
    <sheet name="Dividend Discount Model" sheetId="7" r:id="rId4"/>
    <sheet name="Discounted Cash Flow Model(Old)" sheetId="5" r:id="rId5"/>
    <sheet name="Dividend Discount Model(Old)" sheetId="3" r:id="rId6"/>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3" l="1"/>
  <c r="B5" i="3"/>
  <c r="B7" i="3" s="1"/>
  <c r="B8" i="3" s="1"/>
  <c r="H21" i="5"/>
  <c r="E14" i="5"/>
  <c r="E15" i="5" s="1"/>
  <c r="E13" i="5"/>
  <c r="N7" i="5"/>
  <c r="K7" i="5"/>
  <c r="K10" i="5" s="1"/>
  <c r="E9" i="5" s="1"/>
  <c r="H13" i="5" s="1"/>
  <c r="H19" i="5" s="1"/>
  <c r="H20" i="5" s="1"/>
  <c r="H22" i="5" s="1"/>
  <c r="H23" i="5" s="1"/>
  <c r="H5" i="5"/>
  <c r="E8" i="5" s="1"/>
  <c r="C4" i="7"/>
  <c r="C5" i="7" s="1"/>
  <c r="L12" i="4" s="1"/>
  <c r="I6" i="6"/>
  <c r="I7" i="6" s="1"/>
  <c r="B21" i="4"/>
  <c r="B19" i="4"/>
  <c r="B11" i="4"/>
  <c r="B8" i="4"/>
  <c r="L14" i="6" s="1"/>
  <c r="H15" i="5" l="1"/>
  <c r="E16" i="5"/>
  <c r="I8" i="6"/>
  <c r="L7" i="6"/>
  <c r="L11" i="4"/>
  <c r="L6" i="6"/>
  <c r="H14" i="5"/>
  <c r="I9" i="6" l="1"/>
  <c r="L8" i="6"/>
  <c r="E17" i="5"/>
  <c r="H16" i="5"/>
  <c r="H17" i="5" l="1"/>
  <c r="E18" i="5"/>
  <c r="H18" i="5" s="1"/>
  <c r="I10" i="6"/>
  <c r="L9" i="6"/>
  <c r="L12" i="6" l="1"/>
  <c r="L13" i="6" s="1"/>
  <c r="L15" i="6" s="1"/>
  <c r="I11" i="6"/>
  <c r="L11" i="6" s="1"/>
  <c r="L10" i="6"/>
  <c r="L16" i="6" l="1"/>
  <c r="L8" i="4" s="1"/>
  <c r="L7" i="4"/>
</calcChain>
</file>

<file path=xl/sharedStrings.xml><?xml version="1.0" encoding="utf-8"?>
<sst xmlns="http://schemas.openxmlformats.org/spreadsheetml/2006/main" count="167" uniqueCount="93">
  <si>
    <t>Bell Tower Capital Management</t>
  </si>
  <si>
    <t>Discounted Cash Flow Model</t>
  </si>
  <si>
    <t>Year</t>
  </si>
  <si>
    <t>TTM</t>
  </si>
  <si>
    <t>Y3</t>
  </si>
  <si>
    <t>Y2</t>
  </si>
  <si>
    <t>Y1</t>
  </si>
  <si>
    <t>Y0</t>
  </si>
  <si>
    <t>Long Term Growth Rate</t>
  </si>
  <si>
    <t>Short Term Growth Rate</t>
  </si>
  <si>
    <t>TTM Tax Rate</t>
  </si>
  <si>
    <t>Enterprise Value ($mil)</t>
  </si>
  <si>
    <t>WACC</t>
  </si>
  <si>
    <t>Long Term Debt ($mil)</t>
  </si>
  <si>
    <t>Short Term Debt ($mil)</t>
  </si>
  <si>
    <t>Rd (Cost of Debt)</t>
  </si>
  <si>
    <t>Dividends/Share</t>
  </si>
  <si>
    <t>Share Price</t>
  </si>
  <si>
    <t>Dividend Growth Rate</t>
  </si>
  <si>
    <t>Re (Cost of Equity)</t>
  </si>
  <si>
    <t>Risk Free Rate</t>
  </si>
  <si>
    <t>Market Return</t>
  </si>
  <si>
    <t>Beta</t>
  </si>
  <si>
    <t>Dividend Capitalization Model</t>
  </si>
  <si>
    <t>Average Re</t>
  </si>
  <si>
    <t>Gordon Growth Model</t>
  </si>
  <si>
    <t>Y0 Cash Flow</t>
  </si>
  <si>
    <t>Y1 Cash Flow</t>
  </si>
  <si>
    <t>Y2 Cash Flow</t>
  </si>
  <si>
    <t>Y3 Cash Flow</t>
  </si>
  <si>
    <t>Y4 Cash Flow</t>
  </si>
  <si>
    <t>Terminal Value</t>
  </si>
  <si>
    <t>Y4</t>
  </si>
  <si>
    <t>Terminal Value (adj.)</t>
  </si>
  <si>
    <t>Shares Outstanding</t>
  </si>
  <si>
    <t>Value/Share</t>
  </si>
  <si>
    <t>Margin of Safety</t>
  </si>
  <si>
    <t>Estimation of Future Cash Flows</t>
  </si>
  <si>
    <t>Current Value of Estimated Future Cash Flows</t>
  </si>
  <si>
    <t>Market Capitalization ($mil)</t>
  </si>
  <si>
    <t>Total Debt ($mil)</t>
  </si>
  <si>
    <t>Value of Equity ($mil)</t>
  </si>
  <si>
    <t>Dividend Discount Model</t>
  </si>
  <si>
    <t>Dividend Rate</t>
  </si>
  <si>
    <t>Re</t>
  </si>
  <si>
    <t>Legend</t>
  </si>
  <si>
    <t>Automatically Filled</t>
  </si>
  <si>
    <t>Required*</t>
  </si>
  <si>
    <t>Optional</t>
  </si>
  <si>
    <t>CAPM</t>
  </si>
  <si>
    <t>*The only green cells that are not required are the Dividend Capitalization Model and CAPM Parameters.  Only one model needs to be used.  The Average Re will correct for missing data in these models.</t>
  </si>
  <si>
    <t>Valuation Modeling Template</t>
  </si>
  <si>
    <t>This sheet provides a few templates for creating valuation models for equities.  Some important notes and instructions are listed on this page.</t>
  </si>
  <si>
    <t xml:space="preserve">Cells highlighted in green need to be filled in by the user.  </t>
  </si>
  <si>
    <t xml:space="preserve">Cells highlighted in yellow are optional.  These are to help visualize a company's data.  </t>
  </si>
  <si>
    <t xml:space="preserve">Cells highlighted in blue will be filled in automatically by the model.  </t>
  </si>
  <si>
    <t>Bloomberg Terminal</t>
  </si>
  <si>
    <t>Model Descriptions and Definitions</t>
  </si>
  <si>
    <t>How to Use This Template</t>
  </si>
  <si>
    <t>Each model has its own sheet, but many models use the same basic company information (e.g. Risk Free Rate).  The first sheet is dedicated to this common information so start with this information.  From there each model may or may not require additional information so fill out any missing information for the model you are interested in using.</t>
  </si>
  <si>
    <r>
      <rPr>
        <b/>
        <sz val="11"/>
        <color rgb="FF000000"/>
        <rFont val="Calibri"/>
        <family val="2"/>
        <scheme val="minor"/>
      </rPr>
      <t>Discounted Cash Flow Model</t>
    </r>
    <r>
      <rPr>
        <sz val="11"/>
        <color rgb="FF000000"/>
        <rFont val="Calibri"/>
        <family val="2"/>
        <scheme val="minor"/>
      </rPr>
      <t>:  The value of a company is based on the present value of all future cash flows.  This is calculated by discounting the value of expected future cash flows by the companny's Weighted Average Cost of Capital (WACC).  The models in this sheet performs a two stage DCF where a short term growth rate is assumed for the first 5 years and a slower long term growth rate is used for every year afterwards.</t>
    </r>
  </si>
  <si>
    <r>
      <t>Dividend Discount Model</t>
    </r>
    <r>
      <rPr>
        <sz val="11"/>
        <color rgb="FF000000"/>
        <rFont val="Calibri"/>
        <family val="2"/>
        <scheme val="minor"/>
      </rPr>
      <t>: This model also assumes that the value of a company is the present value of all future expected cash flows.  However, instead of valuing the company, the model focuses only on the stock.  The cash flows are the dividends paid to the investor.  Therefore, the value of the stock is the present value of all future expected dividends.</t>
    </r>
  </si>
  <si>
    <t>Company Information</t>
  </si>
  <si>
    <t>Ticker</t>
  </si>
  <si>
    <t>Access to a Bloomberg Terminal is not required for the models.  All information can be found or calcuated otherwise.  If a Bloomberg Terminal is not available then consider using the models labeld as (Old).  These were created to be easy to fill out without a Bloomberg Terminal.  The next section contains information on commands listed in the model.</t>
  </si>
  <si>
    <t>General Information</t>
  </si>
  <si>
    <t>Dividends Per Share</t>
  </si>
  <si>
    <t>Dividend Yield</t>
  </si>
  <si>
    <t>DES</t>
  </si>
  <si>
    <t>BETA</t>
  </si>
  <si>
    <t xml:space="preserve">DVD </t>
  </si>
  <si>
    <t>CRP</t>
  </si>
  <si>
    <t xml:space="preserve">Cells highlighted in orange contain Bloomberg Terminal Commands.  These will be placed next to cells highlighted in green to indicate where to find the value in the Bloomberg Terminal.  </t>
  </si>
  <si>
    <t xml:space="preserve">Cell Highlighting </t>
  </si>
  <si>
    <t>Total Debt</t>
  </si>
  <si>
    <t>Tax Rate</t>
  </si>
  <si>
    <t>Macroeconomic Factors</t>
  </si>
  <si>
    <t>FA 3</t>
  </si>
  <si>
    <t>FA 5</t>
  </si>
  <si>
    <t>Free Cash Flow ($mil)</t>
  </si>
  <si>
    <t>Short Term Growth Rate (5Y)</t>
  </si>
  <si>
    <t>EEO</t>
  </si>
  <si>
    <r>
      <t xml:space="preserve">Note: </t>
    </r>
    <r>
      <rPr>
        <sz val="11"/>
        <color rgb="FF000000"/>
        <rFont val="Calibri"/>
        <family val="2"/>
        <scheme val="minor"/>
      </rPr>
      <t>EEO gives analyst estimates for a variety of company metrics and growth numbers.  It is important to do your own research before accepting any numbers given by analysts.</t>
    </r>
  </si>
  <si>
    <t>Model Results</t>
  </si>
  <si>
    <t>Discounted Cash Flow</t>
  </si>
  <si>
    <t>Fair Value</t>
  </si>
  <si>
    <t>DVD</t>
  </si>
  <si>
    <t>Cost of Equity</t>
  </si>
  <si>
    <t>Cost of Debt</t>
  </si>
  <si>
    <t>Expected Market Return</t>
  </si>
  <si>
    <t>Capital Asset Pricing Model</t>
  </si>
  <si>
    <t>WM</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</si>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</sst>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00%"/>
    <numFmt numFmtId="166" formatCode="0.000"/>
  </numFmts>
  <fonts count="8" x14ac:knownFonts="1">
    <font>
      <sz val="11"/>
      <color rgb="FF000000"/>
      <name val="Calibri"/>
      <family val="2"/>
      <scheme val="minor"/>
    </font>
    <font>
      <b/>
      <sz val="11"/>
      <color rgb="FF000000"/>
      <name val="Calibri"/>
      <family val="2"/>
      <scheme val="minor"/>
    </font>
    <font>
      <sz val="20"/>
      <color rgb="FF000000"/>
      <name val="Calibri"/>
      <family val="2"/>
      <scheme val="minor"/>
    </font>
    <font>
      <b/>
      <sz val="20"/>
      <color rgb="FF000000"/>
      <name val="Calibri"/>
      <family val="2"/>
      <scheme val="minor"/>
    </font>
    <font>
      <b/>
      <sz val="22"/>
      <color rgb="FF000000"/>
      <name val="Calibri"/>
      <family val="2"/>
      <scheme val="minor"/>
    </font>
    <font>
      <sz val="22"/>
      <color rgb="FF000000"/>
      <name val="Calibri"/>
      <family val="2"/>
      <scheme val="minor"/>
    </font>
    <font>
      <sz val="11"/>
      <color rgb="FF000000"/>
      <name val="Calibri"/>
      <family val="2"/>
      <scheme val="minor"/>
    </font>
    <font>
      <sz val="14"/>
      <color rgb="FF000000"/>
      <name val="Calibri"/>
      <family val="2"/>
      <scheme val="minor"/>
    </font>
  </fonts>
  <fills count="7">
    <fill>
      <patternFill patternType="none"/>
    </fill>
    <fill>
      <patternFill patternType="gray125"/>
    </fill>
    <fill>
      <patternFill patternType="solid">
        <fgColor rgb="FFFEE598"/>
        <bgColor indexed="64"/>
      </patternFill>
    </fill>
    <fill>
      <patternFill patternType="solid">
        <fgColor rgb="FFC5E0B3"/>
        <bgColor indexed="64"/>
      </patternFill>
    </fill>
    <fill>
      <patternFill patternType="solid">
        <fgColor rgb="FFB4C6E7"/>
        <bgColor indexed="64"/>
      </patternFill>
    </fill>
    <fill>
      <patternFill patternType="solid">
        <fgColor rgb="FFBDD6EE"/>
        <bgColor indexed="64"/>
      </patternFill>
    </fill>
    <fill>
      <patternFill patternType="solid">
        <fgColor rgb="FFF7CAAC"/>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06">
    <xf numFmtId="0" fontId="0" fillId="0" borderId="0" xfId="0"/>
    <xf numFmtId="0" fontId="0" fillId="0" borderId="4" xfId="0" applyBorder="1"/>
    <xf numFmtId="0" fontId="0" fillId="0" borderId="0" xfId="0"/>
    <xf numFmtId="10" fontId="0" fillId="3" borderId="0" xfId="0" applyNumberFormat="1" applyFill="1"/>
    <xf numFmtId="44" fontId="0" fillId="3" borderId="0" xfId="0" applyNumberFormat="1" applyFill="1"/>
    <xf numFmtId="44" fontId="0" fillId="2" borderId="0" xfId="0" applyNumberFormat="1" applyFill="1"/>
    <xf numFmtId="10" fontId="0" fillId="3" borderId="5" xfId="0" applyNumberFormat="1" applyFill="1" applyBorder="1"/>
    <xf numFmtId="10" fontId="0" fillId="4" borderId="5" xfId="0" applyNumberFormat="1" applyFill="1" applyBorder="1"/>
    <xf numFmtId="2" fontId="0" fillId="3" borderId="5" xfId="0" applyNumberFormat="1" applyFill="1" applyBorder="1"/>
    <xf numFmtId="44" fontId="0" fillId="4" borderId="0" xfId="0" applyNumberFormat="1" applyFill="1"/>
    <xf numFmtId="0" fontId="0" fillId="0" borderId="5" xfId="0" applyBorder="1"/>
    <xf numFmtId="10" fontId="0" fillId="4" borderId="0" xfId="0" applyNumberFormat="1" applyFill="1"/>
    <xf numFmtId="0" fontId="1" fillId="0" borderId="0" xfId="0" applyFont="1" applyAlignment="1">
      <alignment horizontal="center"/>
    </xf>
    <xf numFmtId="0" fontId="0" fillId="0" borderId="6" xfId="0" applyBorder="1"/>
    <xf numFmtId="0" fontId="0" fillId="0" borderId="7" xfId="0" applyBorder="1"/>
    <xf numFmtId="0" fontId="0" fillId="0" borderId="8" xfId="0" applyBorder="1"/>
    <xf numFmtId="39" fontId="0" fillId="4" borderId="0" xfId="0" applyNumberFormat="1" applyFill="1"/>
    <xf numFmtId="0" fontId="2" fillId="0" borderId="0" xfId="0" applyFont="1" applyAlignment="1">
      <alignment horizontal="center"/>
    </xf>
    <xf numFmtId="164" fontId="0" fillId="4" borderId="0" xfId="0" applyNumberFormat="1" applyFill="1"/>
    <xf numFmtId="10" fontId="0" fillId="4" borderId="7" xfId="0" applyNumberFormat="1" applyFill="1" applyBorder="1"/>
    <xf numFmtId="10" fontId="6" fillId="4" borderId="0" xfId="0" applyNumberFormat="1" applyFont="1" applyFill="1"/>
    <xf numFmtId="0" fontId="0" fillId="0" borderId="0" xfId="0" applyAlignment="1">
      <alignment wrapText="1"/>
    </xf>
    <xf numFmtId="0" fontId="0" fillId="0" borderId="4" xfId="0" applyBorder="1" applyAlignment="1">
      <alignment vertical="top" wrapText="1"/>
    </xf>
    <xf numFmtId="0" fontId="0" fillId="0" borderId="0" xfId="0" applyAlignment="1">
      <alignment vertical="top" wrapText="1"/>
    </xf>
    <xf numFmtId="0" fontId="1" fillId="0" borderId="0" xfId="0" applyFont="1" applyAlignment="1">
      <alignment horizontal="center" vertical="top" wrapText="1"/>
    </xf>
    <xf numFmtId="0" fontId="1" fillId="0" borderId="5" xfId="0" applyFont="1" applyBorder="1" applyAlignment="1">
      <alignment horizontal="center"/>
    </xf>
    <xf numFmtId="0" fontId="0" fillId="0" borderId="0" xfId="0" applyAlignment="1">
      <alignment wrapText="1"/>
    </xf>
    <xf numFmtId="0" fontId="1" fillId="0" borderId="0" xfId="0" applyFont="1" applyAlignment="1">
      <alignment wrapText="1"/>
    </xf>
    <xf numFmtId="0" fontId="1" fillId="0" borderId="5" xfId="0" applyFont="1" applyBorder="1" applyAlignment="1">
      <alignment wrapText="1"/>
    </xf>
    <xf numFmtId="0" fontId="5" fillId="0" borderId="0" xfId="0" applyFont="1" applyAlignment="1">
      <alignment vertical="center"/>
    </xf>
    <xf numFmtId="0" fontId="0" fillId="0" borderId="0" xfId="0" applyAlignment="1">
      <alignment vertical="top" wrapText="1"/>
    </xf>
    <xf numFmtId="0" fontId="0" fillId="0" borderId="0" xfId="0"/>
    <xf numFmtId="0" fontId="0" fillId="0" borderId="0" xfId="0" applyAlignment="1">
      <alignment vertical="center"/>
    </xf>
    <xf numFmtId="0" fontId="0" fillId="0" borderId="2" xfId="0" applyBorder="1"/>
    <xf numFmtId="0" fontId="0" fillId="0" borderId="0" xfId="0"/>
    <xf numFmtId="0" fontId="0" fillId="6" borderId="0" xfId="0" applyFill="1"/>
    <xf numFmtId="0" fontId="0" fillId="0" borderId="7" xfId="0" applyBorder="1"/>
    <xf numFmtId="44" fontId="0" fillId="3" borderId="0" xfId="0" applyNumberFormat="1" applyFill="1" applyAlignment="1">
      <alignment vertical="center"/>
    </xf>
    <xf numFmtId="0" fontId="4" fillId="0" borderId="0" xfId="0" applyFont="1" applyAlignment="1">
      <alignment vertical="center"/>
    </xf>
    <xf numFmtId="44" fontId="0" fillId="4" borderId="5" xfId="0" applyNumberFormat="1" applyFill="1" applyBorder="1"/>
    <xf numFmtId="39" fontId="0" fillId="4" borderId="5" xfId="0" applyNumberFormat="1" applyFill="1" applyBorder="1"/>
    <xf numFmtId="10" fontId="0" fillId="4" borderId="8" xfId="0" applyNumberFormat="1" applyFill="1" applyBorder="1"/>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2" borderId="0" xfId="0" applyFill="1" applyAlignment="1">
      <alignment vertical="center"/>
    </xf>
    <xf numFmtId="165" fontId="0" fillId="3" borderId="0" xfId="0" applyNumberFormat="1" applyFill="1" applyAlignment="1">
      <alignment vertical="center"/>
    </xf>
    <xf numFmtId="0" fontId="0" fillId="6" borderId="0" xfId="0" applyFill="1" applyAlignment="1">
      <alignment vertical="center"/>
    </xf>
    <xf numFmtId="0" fontId="0" fillId="4" borderId="0" xfId="0" applyFill="1" applyAlignment="1">
      <alignment vertical="center"/>
    </xf>
    <xf numFmtId="0" fontId="0" fillId="0" borderId="0" xfId="0" applyAlignment="1">
      <alignment vertical="center"/>
    </xf>
    <xf numFmtId="166" fontId="0" fillId="3" borderId="0" xfId="0" applyNumberFormat="1" applyFill="1" applyAlignment="1">
      <alignment vertical="center"/>
    </xf>
    <xf numFmtId="10" fontId="0" fillId="4" borderId="0" xfId="0" applyNumberFormat="1" applyFill="1" applyAlignment="1">
      <alignment vertical="center"/>
    </xf>
    <xf numFmtId="10" fontId="0" fillId="3" borderId="0" xfId="0" applyNumberFormat="1" applyFill="1" applyAlignment="1">
      <alignment vertical="center"/>
    </xf>
    <xf numFmtId="44" fontId="0" fillId="4" borderId="0" xfId="0" applyNumberFormat="1" applyFill="1" applyAlignment="1">
      <alignment vertical="center"/>
    </xf>
    <xf numFmtId="0" fontId="0" fillId="0" borderId="6" xfId="0" applyBorder="1" applyAlignment="1">
      <alignment vertical="center"/>
    </xf>
    <xf numFmtId="10" fontId="0" fillId="3" borderId="7" xfId="0" applyNumberFormat="1" applyFill="1" applyBorder="1" applyAlignment="1">
      <alignment vertical="center"/>
    </xf>
    <xf numFmtId="0" fontId="0" fillId="6" borderId="7" xfId="0"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3" fillId="0" borderId="0" xfId="0" applyFont="1" applyAlignment="1">
      <alignment horizontal="center"/>
    </xf>
    <xf numFmtId="0" fontId="0" fillId="4" borderId="0" xfId="0" applyFill="1"/>
    <xf numFmtId="10" fontId="0" fillId="5" borderId="0" xfId="0" applyNumberFormat="1" applyFill="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7" fillId="0" borderId="4" xfId="0" applyFont="1"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1" fillId="0" borderId="0" xfId="0" applyFont="1" applyAlignment="1">
      <alignment horizontal="center"/>
    </xf>
    <xf numFmtId="0" fontId="1" fillId="0" borderId="5" xfId="0" applyFont="1" applyBorder="1" applyAlignment="1">
      <alignment horizontal="center"/>
    </xf>
    <xf numFmtId="0" fontId="1" fillId="0" borderId="0" xfId="0" applyFont="1" applyAlignment="1">
      <alignment horizontal="center" vertical="top" wrapText="1"/>
    </xf>
    <xf numFmtId="0" fontId="1" fillId="0" borderId="4" xfId="0" applyFont="1" applyBorder="1" applyAlignment="1">
      <alignment horizontal="center"/>
    </xf>
    <xf numFmtId="0" fontId="0" fillId="3" borderId="0" xfId="0" applyFill="1" applyAlignment="1">
      <alignment horizontal="center" vertical="top" wrapText="1"/>
    </xf>
    <xf numFmtId="0" fontId="0" fillId="6" borderId="0" xfId="0" applyFill="1" applyAlignment="1">
      <alignment horizontal="center" vertical="top" wrapText="1"/>
    </xf>
    <xf numFmtId="0" fontId="1" fillId="0" borderId="4" xfId="0" applyFont="1" applyBorder="1" applyAlignment="1">
      <alignment horizontal="center" wrapText="1"/>
    </xf>
    <xf numFmtId="0" fontId="0" fillId="0" borderId="4"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2" borderId="0" xfId="0" applyFill="1" applyAlignment="1">
      <alignment horizontal="center" vertical="top" wrapText="1"/>
    </xf>
    <xf numFmtId="0" fontId="0" fillId="5" borderId="0" xfId="0" applyFill="1" applyAlignment="1">
      <alignment horizontal="center" vertical="top"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0" fillId="0" borderId="0" xfId="0" applyAlignment="1">
      <alignment horizontal="center" vertical="center"/>
    </xf>
    <xf numFmtId="10" fontId="0" fillId="5" borderId="0" xfId="0" applyNumberFormat="1" applyFill="1" applyAlignment="1">
      <alignment horizontal="center" vertical="center"/>
    </xf>
    <xf numFmtId="0" fontId="0" fillId="5" borderId="5" xfId="0" applyFill="1" applyBorder="1" applyAlignment="1">
      <alignment horizontal="center" vertical="center"/>
    </xf>
    <xf numFmtId="44"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xf>
    <xf numFmtId="0" fontId="0" fillId="0" borderId="5" xfId="0"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0" fillId="5" borderId="0" xfId="0" applyFill="1" applyAlignment="1">
      <alignment horizontal="center"/>
    </xf>
    <xf numFmtId="0" fontId="0" fillId="3" borderId="0" xfId="0" applyFill="1" applyAlignment="1">
      <alignment horizontal="center"/>
    </xf>
    <xf numFmtId="0" fontId="0" fillId="2" borderId="0" xfId="0" applyFill="1" applyAlignment="1">
      <alignment horizontal="center"/>
    </xf>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workbookViewId="0">
      <selection activeCell="E24" sqref="E24"/>
    </sheetView>
  </sheetViews>
  <sheetFormatPr baseColWidth="10" defaultColWidth="9.1640625" defaultRowHeight="15" x14ac:dyDescent="0.2"/>
  <cols>
    <col min="1" max="1" width="18.33203125" style="1" customWidth="1"/>
    <col min="2" max="3" width="18.33203125" style="2" customWidth="1"/>
    <col min="4" max="4" width="1.6640625" style="2" customWidth="1"/>
    <col min="5" max="6" width="18.33203125" style="2" customWidth="1"/>
    <col min="7" max="7" width="18.1640625" style="2" customWidth="1"/>
    <col min="8" max="8" width="1.6640625" style="2" customWidth="1"/>
    <col min="9" max="13" width="18.33203125" style="2" customWidth="1"/>
    <col min="14" max="14" width="9.1640625" style="2" customWidth="1"/>
    <col min="15" max="16384" width="9.1640625" style="2"/>
  </cols>
  <sheetData>
    <row r="1" spans="1:13" s="33" customFormat="1" ht="29" x14ac:dyDescent="0.2">
      <c r="A1" s="62" t="s">
        <v>0</v>
      </c>
      <c r="B1" s="63"/>
      <c r="C1" s="63"/>
      <c r="D1" s="63"/>
      <c r="E1" s="63"/>
      <c r="F1" s="63"/>
      <c r="G1" s="63"/>
      <c r="H1" s="63"/>
      <c r="I1" s="63"/>
      <c r="J1" s="63"/>
      <c r="K1" s="63"/>
      <c r="L1" s="63"/>
      <c r="M1" s="64"/>
    </row>
    <row r="2" spans="1:13" ht="29" x14ac:dyDescent="0.2">
      <c r="A2" s="65" t="s">
        <v>51</v>
      </c>
      <c r="B2" s="66"/>
      <c r="C2" s="66"/>
      <c r="D2" s="66"/>
      <c r="E2" s="66"/>
      <c r="F2" s="66"/>
      <c r="G2" s="66"/>
      <c r="H2" s="66"/>
      <c r="I2" s="66"/>
      <c r="J2" s="66"/>
      <c r="K2" s="66"/>
      <c r="L2" s="66"/>
      <c r="M2" s="67"/>
    </row>
    <row r="3" spans="1:13" ht="18" customHeight="1" x14ac:dyDescent="0.2">
      <c r="A3" s="68" t="s">
        <v>52</v>
      </c>
      <c r="B3" s="69"/>
      <c r="C3" s="69"/>
      <c r="D3" s="69"/>
      <c r="E3" s="69"/>
      <c r="F3" s="69"/>
      <c r="G3" s="69"/>
      <c r="H3" s="69"/>
      <c r="I3" s="69"/>
      <c r="J3" s="69"/>
      <c r="K3" s="69"/>
      <c r="L3" s="69"/>
      <c r="M3" s="70"/>
    </row>
    <row r="4" spans="1:13" x14ac:dyDescent="0.2">
      <c r="A4" s="22"/>
      <c r="B4" s="23"/>
      <c r="C4" s="23"/>
      <c r="D4" s="23"/>
      <c r="M4" s="10"/>
    </row>
    <row r="5" spans="1:13" ht="15" customHeight="1" x14ac:dyDescent="0.2">
      <c r="A5" s="81" t="s">
        <v>58</v>
      </c>
      <c r="B5" s="73"/>
      <c r="C5" s="73"/>
      <c r="D5" s="23"/>
      <c r="E5" s="77" t="s">
        <v>73</v>
      </c>
      <c r="F5" s="77"/>
      <c r="G5" s="77"/>
      <c r="I5" s="75" t="s">
        <v>57</v>
      </c>
      <c r="J5" s="75"/>
      <c r="K5" s="75"/>
      <c r="L5" s="75"/>
      <c r="M5" s="76"/>
    </row>
    <row r="6" spans="1:13" ht="4.5" customHeight="1" x14ac:dyDescent="0.2">
      <c r="B6" s="26"/>
      <c r="C6" s="26"/>
      <c r="D6" s="23"/>
      <c r="E6" s="24"/>
      <c r="F6" s="24"/>
      <c r="G6" s="24"/>
      <c r="I6" s="12"/>
      <c r="J6" s="12"/>
      <c r="K6" s="12"/>
      <c r="L6" s="12"/>
      <c r="M6" s="25"/>
    </row>
    <row r="7" spans="1:13" ht="15" customHeight="1" x14ac:dyDescent="0.2">
      <c r="A7" s="82" t="s">
        <v>59</v>
      </c>
      <c r="B7" s="71"/>
      <c r="C7" s="71"/>
      <c r="D7" s="23"/>
      <c r="E7" s="79" t="s">
        <v>53</v>
      </c>
      <c r="F7" s="79"/>
      <c r="G7" s="79"/>
      <c r="I7" s="71" t="s">
        <v>60</v>
      </c>
      <c r="J7" s="71"/>
      <c r="K7" s="71"/>
      <c r="L7" s="71"/>
      <c r="M7" s="72"/>
    </row>
    <row r="8" spans="1:13" x14ac:dyDescent="0.2">
      <c r="A8" s="82"/>
      <c r="B8" s="71"/>
      <c r="C8" s="71"/>
      <c r="D8" s="23"/>
      <c r="E8" s="79"/>
      <c r="F8" s="79"/>
      <c r="G8" s="79"/>
      <c r="I8" s="71"/>
      <c r="J8" s="71"/>
      <c r="K8" s="71"/>
      <c r="L8" s="71"/>
      <c r="M8" s="72"/>
    </row>
    <row r="9" spans="1:13" x14ac:dyDescent="0.2">
      <c r="A9" s="82"/>
      <c r="B9" s="71"/>
      <c r="C9" s="71"/>
      <c r="D9" s="23"/>
      <c r="E9" s="23"/>
      <c r="F9" s="23"/>
      <c r="G9" s="23"/>
      <c r="I9" s="71"/>
      <c r="J9" s="71"/>
      <c r="K9" s="71"/>
      <c r="L9" s="71"/>
      <c r="M9" s="72"/>
    </row>
    <row r="10" spans="1:13" ht="15" customHeight="1" x14ac:dyDescent="0.2">
      <c r="A10" s="82"/>
      <c r="B10" s="71"/>
      <c r="C10" s="71"/>
      <c r="D10" s="23"/>
      <c r="E10" s="85" t="s">
        <v>54</v>
      </c>
      <c r="F10" s="85"/>
      <c r="G10" s="85"/>
      <c r="I10" s="71"/>
      <c r="J10" s="71"/>
      <c r="K10" s="71"/>
      <c r="L10" s="71"/>
      <c r="M10" s="72"/>
    </row>
    <row r="11" spans="1:13" x14ac:dyDescent="0.2">
      <c r="A11" s="82"/>
      <c r="B11" s="71"/>
      <c r="C11" s="71"/>
      <c r="D11" s="23"/>
      <c r="E11" s="85"/>
      <c r="F11" s="85"/>
      <c r="G11" s="85"/>
      <c r="I11" s="71"/>
      <c r="J11" s="71"/>
      <c r="K11" s="71"/>
      <c r="L11" s="71"/>
      <c r="M11" s="72"/>
    </row>
    <row r="12" spans="1:13" ht="15" customHeight="1" x14ac:dyDescent="0.2">
      <c r="A12" s="82"/>
      <c r="B12" s="71"/>
      <c r="C12" s="71"/>
      <c r="D12" s="23"/>
      <c r="E12" s="23"/>
      <c r="F12" s="23"/>
      <c r="G12" s="23"/>
      <c r="J12" s="27"/>
      <c r="K12" s="27"/>
      <c r="L12" s="27"/>
      <c r="M12" s="28"/>
    </row>
    <row r="13" spans="1:13" ht="15" customHeight="1" x14ac:dyDescent="0.2">
      <c r="D13" s="23"/>
      <c r="E13" s="86" t="s">
        <v>55</v>
      </c>
      <c r="F13" s="86"/>
      <c r="G13" s="86"/>
      <c r="I13" s="73" t="s">
        <v>61</v>
      </c>
      <c r="J13" s="73"/>
      <c r="K13" s="73"/>
      <c r="L13" s="73"/>
      <c r="M13" s="74"/>
    </row>
    <row r="14" spans="1:13" ht="15" customHeight="1" x14ac:dyDescent="0.2">
      <c r="A14" s="78" t="s">
        <v>56</v>
      </c>
      <c r="B14" s="75"/>
      <c r="C14" s="75"/>
      <c r="D14" s="23"/>
      <c r="E14" s="86"/>
      <c r="F14" s="86"/>
      <c r="G14" s="86"/>
      <c r="I14" s="73"/>
      <c r="J14" s="73"/>
      <c r="K14" s="73"/>
      <c r="L14" s="73"/>
      <c r="M14" s="74"/>
    </row>
    <row r="15" spans="1:13" ht="15" customHeight="1" x14ac:dyDescent="0.2">
      <c r="B15" s="26"/>
      <c r="C15" s="26"/>
      <c r="D15" s="23"/>
      <c r="I15" s="73"/>
      <c r="J15" s="73"/>
      <c r="K15" s="73"/>
      <c r="L15" s="73"/>
      <c r="M15" s="74"/>
    </row>
    <row r="16" spans="1:13" ht="15" customHeight="1" x14ac:dyDescent="0.2">
      <c r="A16" s="82" t="s">
        <v>64</v>
      </c>
      <c r="B16" s="71"/>
      <c r="C16" s="71"/>
      <c r="D16" s="23"/>
      <c r="E16" s="80" t="s">
        <v>72</v>
      </c>
      <c r="F16" s="80"/>
      <c r="G16" s="80"/>
      <c r="I16" s="73"/>
      <c r="J16" s="73"/>
      <c r="K16" s="73"/>
      <c r="L16" s="73"/>
      <c r="M16" s="74"/>
    </row>
    <row r="17" spans="1:13" x14ac:dyDescent="0.2">
      <c r="A17" s="82"/>
      <c r="B17" s="71"/>
      <c r="C17" s="71"/>
      <c r="D17" s="23"/>
      <c r="E17" s="80"/>
      <c r="F17" s="80"/>
      <c r="G17" s="80"/>
      <c r="I17" s="27"/>
      <c r="J17" s="27"/>
      <c r="K17" s="27"/>
      <c r="L17" s="27"/>
      <c r="M17" s="28"/>
    </row>
    <row r="18" spans="1:13" ht="15" customHeight="1" x14ac:dyDescent="0.2">
      <c r="A18" s="82"/>
      <c r="B18" s="71"/>
      <c r="C18" s="71"/>
      <c r="D18" s="23"/>
      <c r="E18" s="80"/>
      <c r="F18" s="80"/>
      <c r="G18" s="80"/>
      <c r="I18" s="27"/>
      <c r="J18" s="27"/>
      <c r="K18" s="27"/>
      <c r="L18" s="27"/>
      <c r="M18" s="28"/>
    </row>
    <row r="19" spans="1:13" x14ac:dyDescent="0.2">
      <c r="A19" s="82"/>
      <c r="B19" s="71"/>
      <c r="C19" s="71"/>
      <c r="D19" s="23"/>
      <c r="E19" s="80"/>
      <c r="F19" s="80"/>
      <c r="G19" s="80"/>
      <c r="M19" s="10"/>
    </row>
    <row r="20" spans="1:13" x14ac:dyDescent="0.2">
      <c r="A20" s="83"/>
      <c r="B20" s="84"/>
      <c r="C20" s="84"/>
      <c r="D20" s="14"/>
      <c r="E20" s="14"/>
      <c r="F20" s="14"/>
      <c r="G20" s="14"/>
      <c r="H20" s="14"/>
      <c r="I20" s="14"/>
      <c r="J20" s="14"/>
      <c r="K20" s="14"/>
      <c r="L20" s="14"/>
      <c r="M20" s="15"/>
    </row>
    <row r="22" spans="1:13" x14ac:dyDescent="0.2">
      <c r="E22" s="30"/>
      <c r="F22" s="30"/>
      <c r="G22" s="30"/>
    </row>
  </sheetData>
  <mergeCells count="15">
    <mergeCell ref="A1:M1"/>
    <mergeCell ref="A2:M2"/>
    <mergeCell ref="A3:M3"/>
    <mergeCell ref="I7:M11"/>
    <mergeCell ref="I13:M16"/>
    <mergeCell ref="I5:M5"/>
    <mergeCell ref="E5:G5"/>
    <mergeCell ref="A14:C14"/>
    <mergeCell ref="E7:G8"/>
    <mergeCell ref="E16:G19"/>
    <mergeCell ref="A5:C5"/>
    <mergeCell ref="A7:C12"/>
    <mergeCell ref="A16:C20"/>
    <mergeCell ref="E10:G11"/>
    <mergeCell ref="E13:G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workbookViewId="0">
      <selection activeCell="N20" sqref="N20"/>
    </sheetView>
  </sheetViews>
  <sheetFormatPr baseColWidth="10" defaultColWidth="9.1640625" defaultRowHeight="15" x14ac:dyDescent="0.2"/>
  <cols>
    <col min="1" max="1" width="26.1640625" style="32" bestFit="1" customWidth="1"/>
    <col min="2" max="2" width="18.1640625" style="32" customWidth="1"/>
    <col min="3" max="3" width="9.1640625" style="32" customWidth="1"/>
    <col min="4" max="4" width="1.6640625" style="32" customWidth="1"/>
    <col min="5" max="5" width="22.83203125" style="32" customWidth="1"/>
    <col min="6" max="7" width="9.1640625" style="32" customWidth="1"/>
    <col min="8" max="8" width="1.6640625" style="32" customWidth="1"/>
    <col min="9" max="9" width="9.1640625" style="32" customWidth="1"/>
    <col min="10" max="16384" width="9.1640625" style="32"/>
  </cols>
  <sheetData>
    <row r="1" spans="1:13" ht="29" x14ac:dyDescent="0.2">
      <c r="A1" s="62" t="s">
        <v>0</v>
      </c>
      <c r="B1" s="63"/>
      <c r="C1" s="63"/>
      <c r="D1" s="63"/>
      <c r="E1" s="63"/>
      <c r="F1" s="63"/>
      <c r="G1" s="63"/>
      <c r="H1" s="63"/>
      <c r="I1" s="63"/>
      <c r="J1" s="63"/>
      <c r="K1" s="63"/>
      <c r="L1" s="63"/>
      <c r="M1" s="64"/>
    </row>
    <row r="2" spans="1:13" ht="29" x14ac:dyDescent="0.2">
      <c r="A2" s="65" t="s">
        <v>65</v>
      </c>
      <c r="B2" s="66"/>
      <c r="C2" s="66"/>
      <c r="D2" s="66"/>
      <c r="E2" s="66"/>
      <c r="F2" s="66"/>
      <c r="G2" s="66"/>
      <c r="H2" s="66"/>
      <c r="I2" s="66"/>
      <c r="J2" s="66"/>
      <c r="K2" s="66"/>
      <c r="L2" s="66"/>
      <c r="M2" s="67"/>
    </row>
    <row r="3" spans="1:13" ht="6" customHeight="1" x14ac:dyDescent="0.2">
      <c r="A3" s="42"/>
      <c r="B3" s="43"/>
      <c r="C3" s="43"/>
      <c r="D3" s="43"/>
      <c r="E3" s="43"/>
      <c r="F3" s="43"/>
      <c r="G3" s="43"/>
      <c r="H3" s="43"/>
      <c r="I3" s="43"/>
      <c r="J3" s="43"/>
      <c r="K3" s="43"/>
      <c r="L3" s="43"/>
      <c r="M3" s="44"/>
    </row>
    <row r="4" spans="1:13" ht="15" customHeight="1" x14ac:dyDescent="0.2">
      <c r="A4" s="87" t="s">
        <v>62</v>
      </c>
      <c r="B4" s="88"/>
      <c r="C4" s="88"/>
      <c r="D4" s="43"/>
      <c r="E4" s="88" t="s">
        <v>76</v>
      </c>
      <c r="F4" s="88"/>
      <c r="G4" s="88"/>
      <c r="H4" s="43"/>
      <c r="I4" s="88" t="s">
        <v>83</v>
      </c>
      <c r="J4" s="88"/>
      <c r="K4" s="88"/>
      <c r="L4" s="88"/>
      <c r="M4" s="89"/>
    </row>
    <row r="5" spans="1:13" x14ac:dyDescent="0.2">
      <c r="A5" s="42" t="s">
        <v>63</v>
      </c>
      <c r="B5" s="45" t="s">
        <v>91</v>
      </c>
      <c r="C5" s="43"/>
      <c r="D5" s="43"/>
      <c r="E5" s="43" t="s">
        <v>20</v>
      </c>
      <c r="F5" s="46">
        <v>2.741E-2</v>
      </c>
      <c r="G5" s="47" t="s">
        <v>71</v>
      </c>
      <c r="H5" s="43"/>
      <c r="I5" s="43"/>
      <c r="J5" s="43"/>
      <c r="K5" s="43"/>
      <c r="L5" s="43"/>
      <c r="M5" s="44"/>
    </row>
    <row r="6" spans="1:13" x14ac:dyDescent="0.2">
      <c r="A6" s="42" t="s">
        <v>17</v>
      </c>
      <c r="B6" s="37">
        <v>94.41</v>
      </c>
      <c r="C6" s="47" t="s">
        <v>68</v>
      </c>
      <c r="D6" s="43"/>
      <c r="E6" s="43" t="s">
        <v>89</v>
      </c>
      <c r="F6" s="52">
        <v>0.1067</v>
      </c>
      <c r="G6" s="47" t="s">
        <v>71</v>
      </c>
      <c r="H6" s="43"/>
      <c r="I6" s="88" t="s">
        <v>84</v>
      </c>
      <c r="J6" s="88"/>
      <c r="K6" s="88"/>
      <c r="L6" s="88"/>
      <c r="M6" s="89"/>
    </row>
    <row r="7" spans="1:13" x14ac:dyDescent="0.2">
      <c r="A7" s="42" t="s">
        <v>39</v>
      </c>
      <c r="B7" s="37">
        <v>40251</v>
      </c>
      <c r="C7" s="47" t="s">
        <v>68</v>
      </c>
      <c r="D7" s="43"/>
      <c r="E7" s="43"/>
      <c r="F7" s="43"/>
      <c r="G7" s="43"/>
      <c r="H7" s="43"/>
      <c r="I7" s="90" t="s">
        <v>85</v>
      </c>
      <c r="J7" s="90"/>
      <c r="K7" s="90"/>
      <c r="L7" s="93">
        <f>'Discounted Cash Flow Model'!L15</f>
        <v>104.28096856152172</v>
      </c>
      <c r="M7" s="92"/>
    </row>
    <row r="8" spans="1:13" x14ac:dyDescent="0.2">
      <c r="A8" s="42" t="s">
        <v>34</v>
      </c>
      <c r="B8" s="48">
        <f>B7*1000000/B6</f>
        <v>426342548.45884973</v>
      </c>
      <c r="C8" s="49"/>
      <c r="D8" s="43"/>
      <c r="E8" s="43"/>
      <c r="F8" s="43"/>
      <c r="G8" s="43"/>
      <c r="H8" s="43"/>
      <c r="I8" s="90" t="s">
        <v>36</v>
      </c>
      <c r="J8" s="90"/>
      <c r="K8" s="90"/>
      <c r="L8" s="91">
        <f>'Discounted Cash Flow Model'!L16</f>
        <v>9.4657430763104525E-2</v>
      </c>
      <c r="M8" s="92"/>
    </row>
    <row r="9" spans="1:13" x14ac:dyDescent="0.2">
      <c r="A9" s="42" t="s">
        <v>22</v>
      </c>
      <c r="B9" s="50">
        <v>0.82399999999999995</v>
      </c>
      <c r="C9" s="47" t="s">
        <v>69</v>
      </c>
      <c r="D9" s="43"/>
      <c r="E9" s="43"/>
      <c r="F9" s="43"/>
      <c r="G9" s="43"/>
      <c r="H9" s="43"/>
      <c r="I9" s="43"/>
      <c r="J9" s="43"/>
      <c r="K9" s="43"/>
      <c r="L9" s="43"/>
      <c r="M9" s="44"/>
    </row>
    <row r="10" spans="1:13" x14ac:dyDescent="0.2">
      <c r="A10" s="42" t="s">
        <v>66</v>
      </c>
      <c r="B10" s="37">
        <v>1.86</v>
      </c>
      <c r="C10" s="47" t="s">
        <v>70</v>
      </c>
      <c r="D10" s="43"/>
      <c r="E10" s="43"/>
      <c r="F10" s="43"/>
      <c r="G10" s="43"/>
      <c r="H10" s="43"/>
      <c r="I10" s="88" t="s">
        <v>42</v>
      </c>
      <c r="J10" s="88"/>
      <c r="K10" s="88"/>
      <c r="L10" s="88"/>
      <c r="M10" s="89"/>
    </row>
    <row r="11" spans="1:13" x14ac:dyDescent="0.2">
      <c r="A11" s="42" t="s">
        <v>67</v>
      </c>
      <c r="B11" s="51">
        <f>B10/B6</f>
        <v>1.9701302828090246E-2</v>
      </c>
      <c r="C11" s="43"/>
      <c r="D11" s="43"/>
      <c r="E11" s="43"/>
      <c r="F11" s="43"/>
      <c r="G11" s="43"/>
      <c r="H11" s="43"/>
      <c r="I11" s="90" t="s">
        <v>85</v>
      </c>
      <c r="J11" s="90"/>
      <c r="K11" s="90"/>
      <c r="L11" s="94">
        <f>'Dividend Discount Model'!C4</f>
        <v>25.479452054794525</v>
      </c>
      <c r="M11" s="92"/>
    </row>
    <row r="12" spans="1:13" x14ac:dyDescent="0.2">
      <c r="A12" s="42"/>
      <c r="B12" s="43"/>
      <c r="C12" s="43"/>
      <c r="D12" s="43"/>
      <c r="E12" s="43"/>
      <c r="F12" s="43"/>
      <c r="G12" s="43"/>
      <c r="H12" s="43"/>
      <c r="I12" s="90" t="s">
        <v>36</v>
      </c>
      <c r="J12" s="90"/>
      <c r="K12" s="90"/>
      <c r="L12" s="91">
        <f>'Dividend Discount Model'!C5</f>
        <v>-2.7053387096774189</v>
      </c>
      <c r="M12" s="92"/>
    </row>
    <row r="13" spans="1:13" x14ac:dyDescent="0.2">
      <c r="A13" s="42" t="s">
        <v>12</v>
      </c>
      <c r="B13" s="52">
        <v>8.1000000000000003E-2</v>
      </c>
      <c r="C13" s="47" t="s">
        <v>12</v>
      </c>
      <c r="D13" s="43"/>
      <c r="E13" s="43"/>
      <c r="F13" s="43"/>
      <c r="G13" s="43"/>
      <c r="H13" s="43"/>
      <c r="I13" s="43"/>
      <c r="J13" s="43"/>
      <c r="K13" s="43"/>
      <c r="L13" s="43"/>
      <c r="M13" s="44"/>
    </row>
    <row r="14" spans="1:13" x14ac:dyDescent="0.2">
      <c r="A14" s="42" t="s">
        <v>87</v>
      </c>
      <c r="B14" s="52">
        <v>7.2999999999999995E-2</v>
      </c>
      <c r="C14" s="47" t="s">
        <v>12</v>
      </c>
      <c r="D14" s="43"/>
      <c r="E14" s="43"/>
      <c r="F14" s="43"/>
      <c r="G14" s="43"/>
      <c r="H14" s="43"/>
      <c r="I14" s="43"/>
      <c r="J14" s="43"/>
      <c r="K14" s="43"/>
      <c r="L14" s="43"/>
      <c r="M14" s="44"/>
    </row>
    <row r="15" spans="1:13" x14ac:dyDescent="0.2">
      <c r="A15" s="42" t="s">
        <v>88</v>
      </c>
      <c r="B15" s="52">
        <v>7.0000000000000001E-3</v>
      </c>
      <c r="C15" s="47" t="s">
        <v>12</v>
      </c>
      <c r="D15" s="43"/>
      <c r="E15" s="43"/>
      <c r="F15" s="43"/>
      <c r="G15" s="43"/>
      <c r="H15" s="43"/>
      <c r="I15" s="43"/>
      <c r="J15" s="43"/>
      <c r="K15" s="43"/>
      <c r="L15" s="43"/>
      <c r="M15" s="44"/>
    </row>
    <row r="16" spans="1:13" x14ac:dyDescent="0.2">
      <c r="A16" s="42"/>
      <c r="B16" s="43"/>
      <c r="C16" s="43"/>
      <c r="D16" s="43"/>
      <c r="E16" s="43"/>
      <c r="F16" s="43"/>
      <c r="G16" s="43"/>
      <c r="H16" s="43"/>
      <c r="I16" s="43"/>
      <c r="J16" s="43"/>
      <c r="K16" s="43"/>
      <c r="L16" s="43"/>
      <c r="M16" s="44"/>
    </row>
    <row r="17" spans="1:13" x14ac:dyDescent="0.2">
      <c r="A17" s="42" t="s">
        <v>14</v>
      </c>
      <c r="B17" s="37">
        <v>3262</v>
      </c>
      <c r="C17" s="47" t="s">
        <v>77</v>
      </c>
      <c r="D17" s="43"/>
      <c r="E17" s="43"/>
      <c r="F17" s="43"/>
      <c r="G17" s="43"/>
      <c r="H17" s="43"/>
      <c r="I17" s="43"/>
      <c r="J17" s="43"/>
      <c r="K17" s="43"/>
      <c r="L17" s="43"/>
      <c r="M17" s="44"/>
    </row>
    <row r="18" spans="1:13" x14ac:dyDescent="0.2">
      <c r="A18" s="42" t="s">
        <v>13</v>
      </c>
      <c r="B18" s="37">
        <v>8752</v>
      </c>
      <c r="C18" s="47" t="s">
        <v>77</v>
      </c>
      <c r="D18" s="43"/>
      <c r="E18" s="43"/>
      <c r="F18" s="43"/>
      <c r="G18" s="43"/>
      <c r="H18" s="43"/>
      <c r="I18" s="43"/>
      <c r="J18" s="43"/>
      <c r="K18" s="43"/>
      <c r="L18" s="43"/>
      <c r="M18" s="44"/>
    </row>
    <row r="19" spans="1:13" x14ac:dyDescent="0.2">
      <c r="A19" s="42" t="s">
        <v>74</v>
      </c>
      <c r="B19" s="53">
        <f>B17+B18</f>
        <v>12014</v>
      </c>
      <c r="C19" s="49"/>
      <c r="D19" s="43"/>
      <c r="E19" s="43"/>
      <c r="F19" s="43"/>
      <c r="G19" s="43"/>
      <c r="H19" s="43"/>
      <c r="I19" s="43"/>
      <c r="J19" s="43"/>
      <c r="K19" s="43"/>
      <c r="L19" s="43"/>
      <c r="M19" s="44"/>
    </row>
    <row r="20" spans="1:13" x14ac:dyDescent="0.2">
      <c r="A20" s="42"/>
      <c r="B20" s="43"/>
      <c r="C20" s="43"/>
      <c r="D20" s="43"/>
      <c r="E20" s="43"/>
      <c r="F20" s="43"/>
      <c r="G20" s="43"/>
      <c r="H20" s="43"/>
      <c r="I20" s="43"/>
      <c r="J20" s="43"/>
      <c r="K20" s="43"/>
      <c r="L20" s="43"/>
      <c r="M20" s="44"/>
    </row>
    <row r="21" spans="1:13" x14ac:dyDescent="0.2">
      <c r="A21" s="42" t="s">
        <v>11</v>
      </c>
      <c r="B21" s="53">
        <f>B17+B18+B7</f>
        <v>52265</v>
      </c>
      <c r="C21" s="43"/>
      <c r="D21" s="43"/>
      <c r="E21" s="43"/>
      <c r="F21" s="43"/>
      <c r="G21" s="43"/>
      <c r="H21" s="43"/>
      <c r="I21" s="43"/>
      <c r="J21" s="43"/>
      <c r="K21" s="43"/>
      <c r="L21" s="43"/>
      <c r="M21" s="44"/>
    </row>
    <row r="22" spans="1:13" x14ac:dyDescent="0.2">
      <c r="A22" s="42"/>
      <c r="B22" s="43"/>
      <c r="C22" s="43"/>
      <c r="D22" s="43"/>
      <c r="E22" s="43"/>
      <c r="F22" s="43"/>
      <c r="G22" s="43"/>
      <c r="H22" s="43"/>
      <c r="I22" s="43"/>
      <c r="J22" s="43"/>
      <c r="K22" s="43"/>
      <c r="L22" s="43"/>
      <c r="M22" s="44"/>
    </row>
    <row r="23" spans="1:13" x14ac:dyDescent="0.2">
      <c r="A23" s="54" t="s">
        <v>75</v>
      </c>
      <c r="B23" s="55">
        <v>0.1105</v>
      </c>
      <c r="C23" s="56" t="s">
        <v>78</v>
      </c>
      <c r="D23" s="57"/>
      <c r="E23" s="57"/>
      <c r="F23" s="57"/>
      <c r="G23" s="57"/>
      <c r="H23" s="57"/>
      <c r="I23" s="57"/>
      <c r="J23" s="57"/>
      <c r="K23" s="57"/>
      <c r="L23" s="57"/>
      <c r="M23" s="58"/>
    </row>
  </sheetData>
  <mergeCells count="15">
    <mergeCell ref="I12:K12"/>
    <mergeCell ref="L12:M12"/>
    <mergeCell ref="L8:M8"/>
    <mergeCell ref="I6:M6"/>
    <mergeCell ref="I7:K7"/>
    <mergeCell ref="L7:M7"/>
    <mergeCell ref="I10:M10"/>
    <mergeCell ref="I11:K11"/>
    <mergeCell ref="L11:M11"/>
    <mergeCell ref="I8:K8"/>
    <mergeCell ref="A1:M1"/>
    <mergeCell ref="A2:M2"/>
    <mergeCell ref="A4:C4"/>
    <mergeCell ref="E4:G4"/>
    <mergeCell ref="I4:M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tabSelected="1" workbookViewId="0">
      <selection sqref="A1:L1"/>
    </sheetView>
  </sheetViews>
  <sheetFormatPr baseColWidth="10" defaultColWidth="9.1640625" defaultRowHeight="15" x14ac:dyDescent="0.2"/>
  <cols>
    <col min="1" max="1" width="9.1640625" style="2" customWidth="1"/>
    <col min="2" max="2" width="20.33203125" style="2" bestFit="1" customWidth="1"/>
    <col min="3" max="3" width="1.6640625" style="2" customWidth="1"/>
    <col min="4" max="4" width="30.5" style="2" bestFit="1" customWidth="1"/>
    <col min="5" max="5" width="11.83203125" style="2" customWidth="1"/>
    <col min="6" max="6" width="9.1640625" style="2" customWidth="1"/>
    <col min="7" max="7" width="1.6640625" style="34" customWidth="1"/>
    <col min="8" max="9" width="18.33203125" style="2" customWidth="1"/>
    <col min="10" max="10" width="1.6640625" style="2" customWidth="1"/>
    <col min="11" max="11" width="25.6640625" style="2" customWidth="1"/>
    <col min="12" max="12" width="18.33203125" style="2" customWidth="1"/>
    <col min="13" max="13" width="9.1640625" style="2" customWidth="1"/>
    <col min="14" max="16384" width="9.1640625" style="2"/>
  </cols>
  <sheetData>
    <row r="1" spans="1:15" ht="29" x14ac:dyDescent="0.2">
      <c r="A1" s="62" t="s">
        <v>0</v>
      </c>
      <c r="B1" s="63"/>
      <c r="C1" s="63"/>
      <c r="D1" s="63"/>
      <c r="E1" s="63"/>
      <c r="F1" s="63"/>
      <c r="G1" s="63"/>
      <c r="H1" s="63"/>
      <c r="I1" s="63"/>
      <c r="J1" s="63"/>
      <c r="K1" s="63"/>
      <c r="L1" s="64"/>
      <c r="M1" s="38"/>
      <c r="N1" s="38"/>
      <c r="O1" s="38"/>
    </row>
    <row r="2" spans="1:15" ht="29" x14ac:dyDescent="0.2">
      <c r="A2" s="65" t="s">
        <v>1</v>
      </c>
      <c r="B2" s="66"/>
      <c r="C2" s="66"/>
      <c r="D2" s="66"/>
      <c r="E2" s="66"/>
      <c r="F2" s="66"/>
      <c r="G2" s="66"/>
      <c r="H2" s="66"/>
      <c r="I2" s="66"/>
      <c r="J2" s="66"/>
      <c r="K2" s="66"/>
      <c r="L2" s="67"/>
      <c r="M2" s="29"/>
      <c r="N2" s="29"/>
      <c r="O2" s="29"/>
    </row>
    <row r="3" spans="1:15" ht="6" customHeight="1" x14ac:dyDescent="0.2">
      <c r="A3" s="1"/>
      <c r="L3" s="10"/>
    </row>
    <row r="4" spans="1:15" x14ac:dyDescent="0.2">
      <c r="A4" s="1" t="s">
        <v>2</v>
      </c>
      <c r="B4" s="2" t="s">
        <v>79</v>
      </c>
      <c r="D4" s="2" t="s">
        <v>80</v>
      </c>
      <c r="E4" s="3">
        <v>0.15</v>
      </c>
      <c r="F4" s="35" t="s">
        <v>81</v>
      </c>
      <c r="H4" s="75" t="s">
        <v>25</v>
      </c>
      <c r="I4" s="75"/>
      <c r="K4" s="75" t="s">
        <v>1</v>
      </c>
      <c r="L4" s="76"/>
    </row>
    <row r="5" spans="1:15" x14ac:dyDescent="0.2">
      <c r="A5" s="1" t="s">
        <v>7</v>
      </c>
      <c r="B5" s="5">
        <v>1180</v>
      </c>
      <c r="H5" s="95" t="s">
        <v>37</v>
      </c>
      <c r="I5" s="95"/>
      <c r="K5" s="95" t="s">
        <v>38</v>
      </c>
      <c r="L5" s="96"/>
    </row>
    <row r="6" spans="1:15" x14ac:dyDescent="0.2">
      <c r="A6" s="1" t="s">
        <v>6</v>
      </c>
      <c r="B6" s="5">
        <v>1295</v>
      </c>
      <c r="D6" s="2" t="s">
        <v>8</v>
      </c>
      <c r="E6" s="3">
        <v>0.03</v>
      </c>
      <c r="F6" s="35" t="s">
        <v>81</v>
      </c>
      <c r="H6" s="2" t="s">
        <v>26</v>
      </c>
      <c r="I6" s="9">
        <f>B9*(1+$E$4)</f>
        <v>1934.3</v>
      </c>
      <c r="K6" s="2" t="s">
        <v>7</v>
      </c>
      <c r="L6" s="39">
        <f>I6/((1+'General Information'!$B$13)^1)</f>
        <v>1789.3617021276596</v>
      </c>
    </row>
    <row r="7" spans="1:15" x14ac:dyDescent="0.2">
      <c r="A7" s="1" t="s">
        <v>5</v>
      </c>
      <c r="B7" s="5">
        <v>1667</v>
      </c>
      <c r="H7" s="2" t="s">
        <v>27</v>
      </c>
      <c r="I7" s="9">
        <f>I6*(1+$E$4)</f>
        <v>2224.4449999999997</v>
      </c>
      <c r="K7" s="2" t="s">
        <v>6</v>
      </c>
      <c r="L7" s="39">
        <f>I7/((1+'General Information'!$B$13)^2)</f>
        <v>1903.5762788592122</v>
      </c>
    </row>
    <row r="8" spans="1:15" ht="15" customHeight="1" x14ac:dyDescent="0.2">
      <c r="A8" s="1" t="s">
        <v>4</v>
      </c>
      <c r="B8" s="5">
        <v>1671</v>
      </c>
      <c r="D8" s="73" t="s">
        <v>82</v>
      </c>
      <c r="E8" s="73"/>
      <c r="F8" s="73"/>
      <c r="H8" s="2" t="s">
        <v>28</v>
      </c>
      <c r="I8" s="9">
        <f>I7*(1+$E$4)</f>
        <v>2558.1117499999996</v>
      </c>
      <c r="K8" s="2" t="s">
        <v>5</v>
      </c>
      <c r="L8" s="39">
        <f>I8/((1+'General Information'!$B$13)^4)</f>
        <v>1873.3405621855375</v>
      </c>
    </row>
    <row r="9" spans="1:15" x14ac:dyDescent="0.2">
      <c r="A9" s="1" t="s">
        <v>3</v>
      </c>
      <c r="B9" s="4">
        <v>1682</v>
      </c>
      <c r="D9" s="73"/>
      <c r="E9" s="73"/>
      <c r="F9" s="73"/>
      <c r="H9" s="2" t="s">
        <v>29</v>
      </c>
      <c r="I9" s="9">
        <f>I8*(1+$E$4)</f>
        <v>2941.8285124999993</v>
      </c>
      <c r="K9" s="2" t="s">
        <v>4</v>
      </c>
      <c r="L9" s="39">
        <f>I9/((1+'General Information'!$B$13)^3)</f>
        <v>2328.8433198809507</v>
      </c>
    </row>
    <row r="10" spans="1:15" x14ac:dyDescent="0.2">
      <c r="A10" s="1"/>
      <c r="D10" s="73"/>
      <c r="E10" s="73"/>
      <c r="F10" s="73"/>
      <c r="H10" s="2" t="s">
        <v>30</v>
      </c>
      <c r="I10" s="9">
        <f>I9*(1+$E$4)</f>
        <v>3383.1027893749988</v>
      </c>
      <c r="K10" s="2" t="s">
        <v>32</v>
      </c>
      <c r="L10" s="39">
        <f>I10/((1+'General Information'!$B$13)^5)</f>
        <v>2291.8528154397532</v>
      </c>
    </row>
    <row r="11" spans="1:15" x14ac:dyDescent="0.2">
      <c r="A11" s="1"/>
      <c r="D11" s="73"/>
      <c r="E11" s="73"/>
      <c r="F11" s="73"/>
      <c r="H11" s="2" t="s">
        <v>31</v>
      </c>
      <c r="I11" s="9">
        <f>I10*(1+$E$6)/('General Information'!$B$13-'Discounted Cash Flow Model'!E6)</f>
        <v>68325.409275612721</v>
      </c>
      <c r="K11" s="2" t="s">
        <v>33</v>
      </c>
      <c r="L11" s="39">
        <f>I11/((1+'General Information'!$B$13)^5)</f>
        <v>46286.439213783247</v>
      </c>
    </row>
    <row r="12" spans="1:15" x14ac:dyDescent="0.2">
      <c r="A12" s="1"/>
      <c r="K12" s="2" t="s">
        <v>11</v>
      </c>
      <c r="L12" s="39">
        <f>SUM(L6:L11)</f>
        <v>56473.41389227636</v>
      </c>
    </row>
    <row r="13" spans="1:15" x14ac:dyDescent="0.2">
      <c r="A13" s="1"/>
      <c r="K13" s="2" t="s">
        <v>41</v>
      </c>
      <c r="L13" s="39">
        <f>L12-'General Information'!$B$19</f>
        <v>44459.41389227636</v>
      </c>
    </row>
    <row r="14" spans="1:15" x14ac:dyDescent="0.2">
      <c r="A14" s="1"/>
      <c r="K14" s="2" t="s">
        <v>34</v>
      </c>
      <c r="L14" s="40">
        <f>'General Information'!B8</f>
        <v>426342548.45884973</v>
      </c>
    </row>
    <row r="15" spans="1:15" x14ac:dyDescent="0.2">
      <c r="A15" s="1"/>
      <c r="K15" s="2" t="s">
        <v>35</v>
      </c>
      <c r="L15" s="39">
        <f>(L13*1000000)/L14</f>
        <v>104.28096856152172</v>
      </c>
    </row>
    <row r="16" spans="1:15" x14ac:dyDescent="0.2">
      <c r="A16" s="13"/>
      <c r="B16" s="14"/>
      <c r="C16" s="14"/>
      <c r="D16" s="14"/>
      <c r="E16" s="14"/>
      <c r="F16" s="14"/>
      <c r="G16" s="36"/>
      <c r="H16" s="14"/>
      <c r="I16" s="14"/>
      <c r="J16" s="14"/>
      <c r="K16" s="14" t="s">
        <v>36</v>
      </c>
      <c r="L16" s="41">
        <f>(L15-'General Information'!B6)/L15</f>
        <v>9.4657430763104525E-2</v>
      </c>
    </row>
    <row r="33" spans="5:5" x14ac:dyDescent="0.2">
      <c r="E33" s="2" t="s">
        <v>92</v>
      </c>
    </row>
  </sheetData>
  <mergeCells count="7">
    <mergeCell ref="A1:L1"/>
    <mergeCell ref="A2:L2"/>
    <mergeCell ref="H4:I4"/>
    <mergeCell ref="H5:I5"/>
    <mergeCell ref="D8:F11"/>
    <mergeCell ref="K4:L4"/>
    <mergeCell ref="K5:L5"/>
  </mergeCells>
  <conditionalFormatting sqref="L15">
    <cfRule type="cellIs" dxfId="19" priority="3" operator="lessThan">
      <formula>$K$5</formula>
    </cfRule>
    <cfRule type="cellIs" dxfId="18" priority="4" operator="greaterThan">
      <formula>$K$5</formula>
    </cfRule>
  </conditionalFormatting>
  <conditionalFormatting sqref="L16">
    <cfRule type="cellIs" dxfId="17" priority="1" operator="lessThan">
      <formula>0</formula>
    </cfRule>
    <cfRule type="cellIs" dxfId="16"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selection activeCell="C3" sqref="C3"/>
    </sheetView>
  </sheetViews>
  <sheetFormatPr baseColWidth="10" defaultColWidth="9.1640625" defaultRowHeight="15" x14ac:dyDescent="0.2"/>
  <cols>
    <col min="1" max="1" width="9.1640625" style="2" customWidth="1"/>
    <col min="2" max="2" width="20.6640625" style="2" bestFit="1" customWidth="1"/>
    <col min="3" max="3" width="12.5" style="2" customWidth="1"/>
    <col min="4" max="4" width="8.1640625" style="2" customWidth="1"/>
    <col min="5" max="5" width="9.1640625" style="2" customWidth="1"/>
    <col min="6" max="16384" width="9.1640625" style="2"/>
  </cols>
  <sheetData>
    <row r="1" spans="1:6" ht="26.25" customHeight="1" x14ac:dyDescent="0.3">
      <c r="A1" s="97" t="s">
        <v>0</v>
      </c>
      <c r="B1" s="98"/>
      <c r="C1" s="98"/>
      <c r="D1" s="98"/>
      <c r="E1" s="99"/>
      <c r="F1" s="59"/>
    </row>
    <row r="2" spans="1:6" ht="26.25" customHeight="1" x14ac:dyDescent="0.3">
      <c r="A2" s="100" t="s">
        <v>42</v>
      </c>
      <c r="B2" s="101"/>
      <c r="C2" s="101"/>
      <c r="D2" s="101"/>
      <c r="E2" s="102"/>
      <c r="F2" s="17"/>
    </row>
    <row r="3" spans="1:6" x14ac:dyDescent="0.2">
      <c r="A3" s="1"/>
      <c r="B3" s="2" t="s">
        <v>18</v>
      </c>
      <c r="C3" s="3"/>
      <c r="D3" s="35" t="s">
        <v>86</v>
      </c>
      <c r="E3" s="10"/>
    </row>
    <row r="4" spans="1:6" x14ac:dyDescent="0.2">
      <c r="A4" s="1"/>
      <c r="B4" s="2" t="s">
        <v>35</v>
      </c>
      <c r="C4" s="18">
        <f>('General Information'!B10*(1+'Dividend Discount Model'!C3))/('General Information'!B14-'Dividend Discount Model'!C3)</f>
        <v>25.479452054794525</v>
      </c>
      <c r="E4" s="10"/>
    </row>
    <row r="5" spans="1:6" x14ac:dyDescent="0.2">
      <c r="A5" s="13"/>
      <c r="B5" s="14" t="s">
        <v>36</v>
      </c>
      <c r="C5" s="19">
        <f>(C4-'General Information'!B6)/(C4)</f>
        <v>-2.7053387096774189</v>
      </c>
      <c r="D5" s="14"/>
      <c r="E5" s="15"/>
    </row>
  </sheetData>
  <mergeCells count="2">
    <mergeCell ref="A1:E1"/>
    <mergeCell ref="A2:E2"/>
  </mergeCells>
  <conditionalFormatting sqref="C4">
    <cfRule type="cellIs" dxfId="15" priority="3" operator="lessThan">
      <formula>#REF!</formula>
    </cfRule>
    <cfRule type="cellIs" dxfId="14" priority="4" operator="greaterThan">
      <formula>#REF!</formula>
    </cfRule>
  </conditionalFormatting>
  <conditionalFormatting sqref="C5">
    <cfRule type="cellIs" dxfId="13" priority="1" operator="lessThan">
      <formula>0</formula>
    </cfRule>
    <cfRule type="cellIs" dxfId="12" priority="2"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
  <sheetViews>
    <sheetView workbookViewId="0">
      <selection activeCell="H6" sqref="H6"/>
    </sheetView>
  </sheetViews>
  <sheetFormatPr baseColWidth="10" defaultColWidth="8.83203125" defaultRowHeight="15" x14ac:dyDescent="0.2"/>
  <cols>
    <col min="2" max="2" width="20.33203125" bestFit="1" customWidth="1"/>
    <col min="3" max="3" width="1.6640625" style="31" customWidth="1"/>
    <col min="4" max="4" width="23.83203125" bestFit="1" customWidth="1"/>
    <col min="5" max="5" width="15.5" customWidth="1"/>
    <col min="6" max="6" width="1.6640625" style="31" customWidth="1"/>
    <col min="7" max="7" width="21.5" bestFit="1" customWidth="1"/>
    <col min="8" max="8" width="21.5" customWidth="1"/>
    <col min="9" max="9" width="1.6640625" style="31" customWidth="1"/>
    <col min="10" max="10" width="26.1640625" bestFit="1" customWidth="1"/>
    <col min="11" max="11" width="12.5" bestFit="1" customWidth="1"/>
    <col min="12" max="12" width="1.6640625" style="34" customWidth="1"/>
    <col min="13" max="13" width="17.5" bestFit="1" customWidth="1"/>
  </cols>
  <sheetData>
    <row r="1" spans="1:14" ht="30" customHeight="1" x14ac:dyDescent="0.2">
      <c r="A1" s="62" t="s">
        <v>0</v>
      </c>
      <c r="B1" s="63"/>
      <c r="C1" s="63"/>
      <c r="D1" s="63"/>
      <c r="E1" s="63"/>
      <c r="F1" s="63"/>
      <c r="G1" s="63"/>
      <c r="H1" s="63"/>
      <c r="I1" s="63"/>
      <c r="J1" s="63"/>
      <c r="K1" s="63"/>
      <c r="L1" s="63"/>
      <c r="M1" s="63"/>
      <c r="N1" s="64"/>
    </row>
    <row r="2" spans="1:14" ht="30" customHeight="1" x14ac:dyDescent="0.2">
      <c r="A2" s="65" t="s">
        <v>1</v>
      </c>
      <c r="B2" s="66"/>
      <c r="C2" s="66"/>
      <c r="D2" s="66"/>
      <c r="E2" s="66"/>
      <c r="F2" s="66"/>
      <c r="G2" s="66"/>
      <c r="H2" s="66"/>
      <c r="I2" s="66"/>
      <c r="J2" s="66"/>
      <c r="K2" s="66"/>
      <c r="L2" s="66"/>
      <c r="M2" s="66"/>
      <c r="N2" s="67"/>
    </row>
    <row r="3" spans="1:14" x14ac:dyDescent="0.2">
      <c r="A3" s="1" t="s">
        <v>2</v>
      </c>
      <c r="B3" s="2" t="s">
        <v>79</v>
      </c>
      <c r="C3" s="34"/>
      <c r="D3" s="2" t="s">
        <v>9</v>
      </c>
      <c r="E3" s="3"/>
      <c r="F3" s="34"/>
      <c r="G3" s="2" t="s">
        <v>14</v>
      </c>
      <c r="H3" s="37"/>
      <c r="I3" s="34"/>
      <c r="J3" s="95" t="s">
        <v>23</v>
      </c>
      <c r="K3" s="95"/>
      <c r="M3" s="95" t="s">
        <v>49</v>
      </c>
      <c r="N3" s="96"/>
    </row>
    <row r="4" spans="1:14" x14ac:dyDescent="0.2">
      <c r="A4" s="1" t="s">
        <v>7</v>
      </c>
      <c r="B4" s="5"/>
      <c r="C4" s="34"/>
      <c r="D4" s="2"/>
      <c r="E4" s="2"/>
      <c r="F4" s="34"/>
      <c r="G4" s="2" t="s">
        <v>13</v>
      </c>
      <c r="H4" s="37"/>
      <c r="I4" s="34"/>
      <c r="J4" s="2" t="s">
        <v>16</v>
      </c>
      <c r="K4" s="4"/>
      <c r="M4" s="2" t="s">
        <v>20</v>
      </c>
      <c r="N4" s="6"/>
    </row>
    <row r="5" spans="1:14" x14ac:dyDescent="0.2">
      <c r="A5" s="1" t="s">
        <v>6</v>
      </c>
      <c r="B5" s="5"/>
      <c r="C5" s="34"/>
      <c r="D5" s="2" t="s">
        <v>8</v>
      </c>
      <c r="E5" s="3"/>
      <c r="F5" s="34"/>
      <c r="G5" s="2" t="s">
        <v>40</v>
      </c>
      <c r="H5" s="9">
        <f>SUM(H3:H4)</f>
        <v>0</v>
      </c>
      <c r="I5" s="34"/>
      <c r="J5" s="2" t="s">
        <v>17</v>
      </c>
      <c r="K5" s="4"/>
      <c r="M5" s="2" t="s">
        <v>21</v>
      </c>
      <c r="N5" s="6"/>
    </row>
    <row r="6" spans="1:14" x14ac:dyDescent="0.2">
      <c r="A6" s="1" t="s">
        <v>5</v>
      </c>
      <c r="B6" s="5"/>
      <c r="C6" s="34"/>
      <c r="D6" s="2"/>
      <c r="E6" s="2"/>
      <c r="F6" s="34"/>
      <c r="G6" s="2" t="s">
        <v>15</v>
      </c>
      <c r="H6" s="3"/>
      <c r="I6" s="34"/>
      <c r="J6" s="2" t="s">
        <v>18</v>
      </c>
      <c r="K6" s="3"/>
      <c r="M6" s="2" t="s">
        <v>22</v>
      </c>
      <c r="N6" s="8"/>
    </row>
    <row r="7" spans="1:14" x14ac:dyDescent="0.2">
      <c r="A7" s="1" t="s">
        <v>4</v>
      </c>
      <c r="B7" s="5"/>
      <c r="C7" s="34"/>
      <c r="D7" s="2" t="s">
        <v>10</v>
      </c>
      <c r="E7" s="3"/>
      <c r="F7" s="34"/>
      <c r="G7" s="2"/>
      <c r="H7" s="2"/>
      <c r="I7" s="34"/>
      <c r="J7" s="2" t="s">
        <v>19</v>
      </c>
      <c r="K7" s="11" t="e">
        <f>(K4/K5)+K6</f>
        <v>#DIV/0!</v>
      </c>
      <c r="M7" s="2" t="s">
        <v>19</v>
      </c>
      <c r="N7" s="7">
        <f>N4+N6*(N5-N4)</f>
        <v>0</v>
      </c>
    </row>
    <row r="8" spans="1:14" x14ac:dyDescent="0.2">
      <c r="A8" s="1" t="s">
        <v>3</v>
      </c>
      <c r="B8" s="4"/>
      <c r="C8" s="34"/>
      <c r="D8" s="2" t="s">
        <v>11</v>
      </c>
      <c r="E8" s="9">
        <f>H5+K9</f>
        <v>0</v>
      </c>
      <c r="F8" s="34"/>
      <c r="G8" s="2"/>
      <c r="H8" s="2"/>
      <c r="I8" s="34"/>
      <c r="J8" s="2"/>
      <c r="K8" s="2"/>
      <c r="M8" s="2"/>
      <c r="N8" s="10"/>
    </row>
    <row r="9" spans="1:14" x14ac:dyDescent="0.2">
      <c r="A9" s="1"/>
      <c r="B9" s="2"/>
      <c r="C9" s="34"/>
      <c r="D9" s="2" t="s">
        <v>12</v>
      </c>
      <c r="E9" s="60" t="e">
        <f>K10*(K9/E8)+H6*(H5/E8)*(1-E7)</f>
        <v>#DIV/0!</v>
      </c>
      <c r="F9" s="34"/>
      <c r="G9" s="2"/>
      <c r="H9" s="2"/>
      <c r="I9" s="34"/>
      <c r="J9" s="2" t="s">
        <v>39</v>
      </c>
      <c r="K9" s="4"/>
      <c r="M9" s="2"/>
      <c r="N9" s="10"/>
    </row>
    <row r="10" spans="1:14" x14ac:dyDescent="0.2">
      <c r="A10" s="1"/>
      <c r="B10" s="2"/>
      <c r="C10" s="34"/>
      <c r="D10" s="2"/>
      <c r="E10" s="2"/>
      <c r="F10" s="34"/>
      <c r="G10" s="2"/>
      <c r="H10" s="2"/>
      <c r="I10" s="34"/>
      <c r="J10" s="2" t="s">
        <v>24</v>
      </c>
      <c r="K10" s="20" t="e">
        <f>IF(K7=0,IF(N7=0,ERROR.TYPE(#REF!),N7),IF(N7=0,K7,(K7+N7)/2))</f>
        <v>#DIV/0!</v>
      </c>
      <c r="M10" s="2"/>
      <c r="N10" s="10"/>
    </row>
    <row r="11" spans="1:14" x14ac:dyDescent="0.2">
      <c r="A11" s="1"/>
      <c r="B11" s="2"/>
      <c r="C11" s="34"/>
      <c r="D11" s="75" t="s">
        <v>25</v>
      </c>
      <c r="E11" s="75"/>
      <c r="F11" s="34"/>
      <c r="G11" s="75" t="s">
        <v>1</v>
      </c>
      <c r="H11" s="75"/>
      <c r="I11" s="34"/>
      <c r="J11" s="2"/>
      <c r="K11" s="2"/>
      <c r="M11" s="2"/>
      <c r="N11" s="10"/>
    </row>
    <row r="12" spans="1:14" x14ac:dyDescent="0.2">
      <c r="A12" s="1"/>
      <c r="B12" s="2"/>
      <c r="C12" s="34"/>
      <c r="D12" s="95" t="s">
        <v>37</v>
      </c>
      <c r="E12" s="95"/>
      <c r="F12" s="34"/>
      <c r="G12" s="95" t="s">
        <v>38</v>
      </c>
      <c r="H12" s="95"/>
      <c r="I12" s="34"/>
      <c r="J12" s="2"/>
      <c r="K12" s="2"/>
      <c r="M12" s="2"/>
      <c r="N12" s="10"/>
    </row>
    <row r="13" spans="1:14" x14ac:dyDescent="0.2">
      <c r="A13" s="1"/>
      <c r="B13" s="2"/>
      <c r="C13" s="34"/>
      <c r="D13" s="2" t="s">
        <v>26</v>
      </c>
      <c r="E13" s="9">
        <f>B8*(1+E3)</f>
        <v>0</v>
      </c>
      <c r="F13" s="34"/>
      <c r="G13" s="2" t="s">
        <v>7</v>
      </c>
      <c r="H13" s="9" t="e">
        <f>E13/((1+$E$9)^1)</f>
        <v>#DIV/0!</v>
      </c>
      <c r="I13" s="34"/>
      <c r="J13" s="2"/>
      <c r="K13" s="2"/>
      <c r="M13" s="2"/>
      <c r="N13" s="10"/>
    </row>
    <row r="14" spans="1:14" x14ac:dyDescent="0.2">
      <c r="A14" s="1"/>
      <c r="B14" s="2"/>
      <c r="C14" s="34"/>
      <c r="D14" s="2" t="s">
        <v>27</v>
      </c>
      <c r="E14" s="9">
        <f>E13*(1+$E$3)</f>
        <v>0</v>
      </c>
      <c r="F14" s="34"/>
      <c r="G14" s="2" t="s">
        <v>6</v>
      </c>
      <c r="H14" s="9" t="e">
        <f>E14/((1+$E$9)^2)</f>
        <v>#DIV/0!</v>
      </c>
      <c r="I14" s="34"/>
      <c r="J14" s="2"/>
      <c r="K14" s="2"/>
      <c r="M14" s="2"/>
      <c r="N14" s="10"/>
    </row>
    <row r="15" spans="1:14" x14ac:dyDescent="0.2">
      <c r="A15" s="1"/>
      <c r="B15" s="2"/>
      <c r="C15" s="34"/>
      <c r="D15" s="2" t="s">
        <v>28</v>
      </c>
      <c r="E15" s="9">
        <f>E14*(1+$E$3)</f>
        <v>0</v>
      </c>
      <c r="F15" s="34"/>
      <c r="G15" s="2" t="s">
        <v>5</v>
      </c>
      <c r="H15" s="9" t="e">
        <f>E15/((1+$E$9)^3)</f>
        <v>#DIV/0!</v>
      </c>
      <c r="I15" s="34"/>
      <c r="J15" s="2"/>
      <c r="K15" s="2"/>
      <c r="M15" s="2"/>
      <c r="N15" s="10"/>
    </row>
    <row r="16" spans="1:14" x14ac:dyDescent="0.2">
      <c r="A16" s="1"/>
      <c r="B16" s="2"/>
      <c r="C16" s="34"/>
      <c r="D16" s="2" t="s">
        <v>29</v>
      </c>
      <c r="E16" s="9">
        <f>E15*(1+$E$3)</f>
        <v>0</v>
      </c>
      <c r="F16" s="34"/>
      <c r="G16" s="2" t="s">
        <v>4</v>
      </c>
      <c r="H16" s="9" t="e">
        <f>E16/((1+$E$9)^4)</f>
        <v>#DIV/0!</v>
      </c>
      <c r="I16" s="34"/>
      <c r="J16" s="2"/>
      <c r="K16" s="2"/>
      <c r="M16" s="2"/>
      <c r="N16" s="10"/>
    </row>
    <row r="17" spans="1:14" x14ac:dyDescent="0.2">
      <c r="A17" s="1"/>
      <c r="B17" s="2"/>
      <c r="C17" s="34"/>
      <c r="D17" s="2" t="s">
        <v>30</v>
      </c>
      <c r="E17" s="9">
        <f>E16*(1+$E$3)</f>
        <v>0</v>
      </c>
      <c r="F17" s="34"/>
      <c r="G17" s="2" t="s">
        <v>32</v>
      </c>
      <c r="H17" s="9" t="e">
        <f>E17/((1+$E$9)^5)</f>
        <v>#DIV/0!</v>
      </c>
      <c r="I17" s="34"/>
      <c r="J17" s="2"/>
      <c r="K17" s="2"/>
      <c r="M17" s="2"/>
      <c r="N17" s="10"/>
    </row>
    <row r="18" spans="1:14" x14ac:dyDescent="0.2">
      <c r="A18" s="1"/>
      <c r="B18" s="2"/>
      <c r="C18" s="34"/>
      <c r="D18" s="2" t="s">
        <v>31</v>
      </c>
      <c r="E18" s="9" t="e">
        <f>E17*(1+$E$5)/($E$9-$E$5)</f>
        <v>#DIV/0!</v>
      </c>
      <c r="F18" s="34"/>
      <c r="G18" s="2" t="s">
        <v>33</v>
      </c>
      <c r="H18" s="9" t="e">
        <f>E18/((1+$E$9)^5)</f>
        <v>#DIV/0!</v>
      </c>
      <c r="I18" s="34"/>
      <c r="J18" s="2"/>
      <c r="K18" s="2"/>
      <c r="M18" s="2"/>
      <c r="N18" s="10"/>
    </row>
    <row r="19" spans="1:14" x14ac:dyDescent="0.2">
      <c r="A19" s="1"/>
      <c r="B19" s="2"/>
      <c r="C19" s="34"/>
      <c r="D19" s="2"/>
      <c r="E19" s="2"/>
      <c r="F19" s="34"/>
      <c r="G19" s="2" t="s">
        <v>11</v>
      </c>
      <c r="H19" s="9" t="e">
        <f>SUM(H13:H18)</f>
        <v>#DIV/0!</v>
      </c>
      <c r="I19" s="34"/>
      <c r="J19" s="2"/>
      <c r="K19" s="2"/>
      <c r="M19" s="2"/>
      <c r="N19" s="10"/>
    </row>
    <row r="20" spans="1:14" x14ac:dyDescent="0.2">
      <c r="A20" s="1"/>
      <c r="B20" s="2"/>
      <c r="C20" s="34"/>
      <c r="D20" s="2"/>
      <c r="E20" s="2"/>
      <c r="F20" s="34"/>
      <c r="G20" s="2" t="s">
        <v>41</v>
      </c>
      <c r="H20" s="9" t="e">
        <f>H19-H5</f>
        <v>#DIV/0!</v>
      </c>
      <c r="I20" s="34"/>
      <c r="J20" s="2"/>
      <c r="K20" s="2"/>
      <c r="M20" s="2"/>
      <c r="N20" s="10"/>
    </row>
    <row r="21" spans="1:14" x14ac:dyDescent="0.2">
      <c r="A21" s="1"/>
      <c r="B21" s="2"/>
      <c r="C21" s="34"/>
      <c r="D21" s="2"/>
      <c r="E21" s="2"/>
      <c r="F21" s="34"/>
      <c r="G21" s="2" t="s">
        <v>34</v>
      </c>
      <c r="H21" s="16" t="e">
        <f>(K9*1000000)/K5</f>
        <v>#DIV/0!</v>
      </c>
      <c r="I21" s="34"/>
      <c r="J21" s="2"/>
      <c r="K21" s="2"/>
      <c r="M21" s="2"/>
      <c r="N21" s="10"/>
    </row>
    <row r="22" spans="1:14" x14ac:dyDescent="0.2">
      <c r="A22" s="1"/>
      <c r="B22" s="2"/>
      <c r="C22" s="34"/>
      <c r="D22" s="2"/>
      <c r="E22" s="2"/>
      <c r="F22" s="34"/>
      <c r="G22" s="2" t="s">
        <v>35</v>
      </c>
      <c r="H22" s="9" t="e">
        <f>(H20*1000000)/H21</f>
        <v>#DIV/0!</v>
      </c>
      <c r="I22" s="34"/>
      <c r="J22" s="2"/>
      <c r="K22" s="2"/>
      <c r="M22" s="2"/>
      <c r="N22" s="10"/>
    </row>
    <row r="23" spans="1:14" x14ac:dyDescent="0.2">
      <c r="A23" s="13"/>
      <c r="B23" s="14"/>
      <c r="C23" s="36"/>
      <c r="D23" s="14"/>
      <c r="E23" s="14"/>
      <c r="F23" s="36"/>
      <c r="G23" s="14" t="s">
        <v>36</v>
      </c>
      <c r="H23" s="19" t="e">
        <f>(H22-K5)/H22</f>
        <v>#DIV/0!</v>
      </c>
      <c r="I23" s="36"/>
      <c r="J23" s="14"/>
      <c r="K23" s="14"/>
      <c r="L23" s="36"/>
      <c r="M23" s="14"/>
      <c r="N23" s="15"/>
    </row>
    <row r="26" spans="1:14" ht="15" customHeight="1" x14ac:dyDescent="0.2">
      <c r="A26" s="95" t="s">
        <v>45</v>
      </c>
      <c r="B26" s="95"/>
      <c r="D26" s="71" t="s">
        <v>50</v>
      </c>
      <c r="E26" s="71"/>
    </row>
    <row r="27" spans="1:14" ht="15" customHeight="1" x14ac:dyDescent="0.2">
      <c r="A27" s="103" t="s">
        <v>46</v>
      </c>
      <c r="B27" s="103"/>
      <c r="D27" s="71"/>
      <c r="E27" s="71"/>
    </row>
    <row r="28" spans="1:14" x14ac:dyDescent="0.2">
      <c r="A28" s="104" t="s">
        <v>47</v>
      </c>
      <c r="B28" s="104"/>
      <c r="D28" s="71"/>
      <c r="E28" s="71"/>
    </row>
    <row r="29" spans="1:14" x14ac:dyDescent="0.2">
      <c r="A29" s="105" t="s">
        <v>48</v>
      </c>
      <c r="B29" s="105"/>
      <c r="D29" s="71"/>
      <c r="E29" s="71"/>
    </row>
    <row r="30" spans="1:14" x14ac:dyDescent="0.2">
      <c r="D30" s="71"/>
      <c r="E30" s="71"/>
    </row>
    <row r="31" spans="1:14" x14ac:dyDescent="0.2">
      <c r="D31" s="21"/>
      <c r="E31" s="21"/>
    </row>
  </sheetData>
  <mergeCells count="13">
    <mergeCell ref="A1:N1"/>
    <mergeCell ref="J3:K3"/>
    <mergeCell ref="M3:N3"/>
    <mergeCell ref="D11:E11"/>
    <mergeCell ref="D12:E12"/>
    <mergeCell ref="G11:H11"/>
    <mergeCell ref="G12:H12"/>
    <mergeCell ref="A2:N2"/>
    <mergeCell ref="D26:E30"/>
    <mergeCell ref="A26:B26"/>
    <mergeCell ref="A27:B27"/>
    <mergeCell ref="A28:B28"/>
    <mergeCell ref="A29:B29"/>
  </mergeCells>
  <conditionalFormatting sqref="H22">
    <cfRule type="cellIs" dxfId="11" priority="7" operator="lessThan">
      <formula>$K$5</formula>
    </cfRule>
    <cfRule type="cellIs" dxfId="10" priority="8" operator="greaterThan">
      <formula>$K$5</formula>
    </cfRule>
  </conditionalFormatting>
  <conditionalFormatting sqref="H23">
    <cfRule type="cellIs" dxfId="9" priority="5" operator="lessThan">
      <formula>0</formula>
    </cfRule>
    <cfRule type="cellIs" dxfId="8" priority="6" operator="greaterThan">
      <formula>0</formula>
    </cfRule>
  </conditionalFormatting>
  <conditionalFormatting sqref="E9">
    <cfRule type="cellIs" dxfId="7" priority="1" operator="lessThan">
      <formula>0.1</formula>
    </cfRule>
    <cfRule type="cellIs" dxfId="6" priority="2" operator="greaterThan">
      <formula>0.1</formula>
    </cfRule>
    <cfRule type="cellIs" dxfId="5" priority="3" operator="lessThan">
      <formula>0.1</formula>
    </cfRule>
    <cfRule type="cellIs" dxfId="4" priority="4" operator="greaterThan">
      <formula>0.1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
  <sheetViews>
    <sheetView workbookViewId="0">
      <selection activeCell="E10" sqref="E10"/>
    </sheetView>
  </sheetViews>
  <sheetFormatPr baseColWidth="10" defaultColWidth="8.83203125" defaultRowHeight="15" x14ac:dyDescent="0.2"/>
  <cols>
    <col min="1" max="1" width="20.6640625" customWidth="1"/>
    <col min="3" max="3" width="9.1640625" customWidth="1"/>
    <col min="4" max="4" width="15.83203125" customWidth="1"/>
    <col min="5" max="5" width="11.5" customWidth="1"/>
  </cols>
  <sheetData>
    <row r="1" spans="1:5" ht="30" customHeight="1" x14ac:dyDescent="0.3">
      <c r="A1" s="97" t="s">
        <v>0</v>
      </c>
      <c r="B1" s="98"/>
      <c r="C1" s="98"/>
      <c r="D1" s="98"/>
      <c r="E1" s="99"/>
    </row>
    <row r="2" spans="1:5" ht="30" customHeight="1" x14ac:dyDescent="0.3">
      <c r="A2" s="100" t="s">
        <v>42</v>
      </c>
      <c r="B2" s="101"/>
      <c r="C2" s="101"/>
      <c r="D2" s="101"/>
      <c r="E2" s="102"/>
    </row>
    <row r="3" spans="1:5" x14ac:dyDescent="0.2">
      <c r="A3" s="1" t="s">
        <v>17</v>
      </c>
      <c r="B3" s="4"/>
      <c r="C3" s="2"/>
      <c r="D3" s="75" t="s">
        <v>90</v>
      </c>
      <c r="E3" s="76"/>
    </row>
    <row r="4" spans="1:5" x14ac:dyDescent="0.2">
      <c r="A4" s="1" t="s">
        <v>43</v>
      </c>
      <c r="B4" s="3"/>
      <c r="C4" s="2"/>
      <c r="D4" s="2" t="s">
        <v>20</v>
      </c>
      <c r="E4" s="6"/>
    </row>
    <row r="5" spans="1:5" x14ac:dyDescent="0.2">
      <c r="A5" s="1" t="s">
        <v>87</v>
      </c>
      <c r="B5" s="61">
        <f>E7</f>
        <v>0</v>
      </c>
      <c r="C5" s="2"/>
      <c r="D5" s="2" t="s">
        <v>21</v>
      </c>
      <c r="E5" s="6"/>
    </row>
    <row r="6" spans="1:5" x14ac:dyDescent="0.2">
      <c r="A6" s="1" t="s">
        <v>18</v>
      </c>
      <c r="B6" s="3"/>
      <c r="C6" s="2"/>
      <c r="D6" s="2" t="s">
        <v>22</v>
      </c>
      <c r="E6" s="8"/>
    </row>
    <row r="7" spans="1:5" x14ac:dyDescent="0.2">
      <c r="A7" s="1" t="s">
        <v>35</v>
      </c>
      <c r="B7" s="18" t="e">
        <f>(B3*B4)/(B5-B6)</f>
        <v>#DIV/0!</v>
      </c>
      <c r="C7" s="2"/>
      <c r="D7" s="2" t="s">
        <v>44</v>
      </c>
      <c r="E7" s="7">
        <f>E4+E6*(E5-E4)</f>
        <v>0</v>
      </c>
    </row>
    <row r="8" spans="1:5" x14ac:dyDescent="0.2">
      <c r="A8" s="13" t="s">
        <v>36</v>
      </c>
      <c r="B8" s="19" t="e">
        <f>1-(B3/B7)</f>
        <v>#DIV/0!</v>
      </c>
      <c r="C8" s="14"/>
      <c r="D8" s="14"/>
      <c r="E8" s="15"/>
    </row>
  </sheetData>
  <mergeCells count="3">
    <mergeCell ref="A1:E1"/>
    <mergeCell ref="A2:E2"/>
    <mergeCell ref="D3:E3"/>
  </mergeCells>
  <conditionalFormatting sqref="B7">
    <cfRule type="cellIs" dxfId="3" priority="3" operator="lessThan">
      <formula>#REF!</formula>
    </cfRule>
    <cfRule type="cellIs" dxfId="2" priority="4" operator="greaterThan">
      <formula>#REF!</formula>
    </cfRule>
  </conditionalFormatting>
  <conditionalFormatting sqref="B8">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General Information</vt:lpstr>
      <vt:lpstr>Discounted Cash Flow Model</vt:lpstr>
      <vt:lpstr>Dividend Discount Model</vt:lpstr>
      <vt:lpstr>Discounted Cash Flow Model(Old)</vt:lpstr>
      <vt:lpstr>Dividend Discount Model(Old)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Sabo</dc:creator>
  <cp:lastModifiedBy>Microsoft Office User</cp:lastModifiedBy>
  <dcterms:created xsi:type="dcterms:W3CDTF">2018-11-08T01:45:53Z</dcterms:created>
  <dcterms:modified xsi:type="dcterms:W3CDTF">2019-02-27T15:16:54Z</dcterms:modified>
</cp:coreProperties>
</file>