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E7EEAFFD-B707-436D-B2B8-D21341DBEADD}" xr6:coauthVersionLast="28" xr6:coauthVersionMax="28" xr10:uidLastSave="{00000000-0000-0000-0000-000000000000}"/>
  <bookViews>
    <workbookView xWindow="0" yWindow="0" windowWidth="23040" windowHeight="9045" activeTab="5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Reactor Dim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5" l="1"/>
  <c r="T6" i="5"/>
  <c r="T3" i="5"/>
  <c r="T4" i="5"/>
  <c r="T5" i="5"/>
  <c r="T2" i="5"/>
  <c r="L3" i="5"/>
  <c r="L4" i="5"/>
  <c r="L5" i="5"/>
  <c r="L6" i="5"/>
  <c r="L7" i="5"/>
  <c r="L8" i="5"/>
  <c r="L2" i="5"/>
  <c r="K3" i="5"/>
  <c r="K4" i="5"/>
  <c r="K5" i="5"/>
  <c r="K6" i="5"/>
  <c r="K7" i="5"/>
  <c r="K8" i="5"/>
  <c r="J2" i="5"/>
  <c r="K2" i="5"/>
  <c r="O6" i="5"/>
  <c r="Q6" i="5" s="1"/>
  <c r="R6" i="5" s="1"/>
  <c r="O5" i="5"/>
  <c r="Q5" i="5" s="1"/>
  <c r="R5" i="5" s="1"/>
  <c r="O3" i="5"/>
  <c r="Q3" i="5" s="1"/>
  <c r="R3" i="5" s="1"/>
  <c r="O2" i="5"/>
  <c r="Q2" i="5" s="1"/>
  <c r="R2" i="5" s="1"/>
  <c r="M5" i="5"/>
  <c r="M8" i="5"/>
  <c r="N3" i="5"/>
  <c r="N4" i="5"/>
  <c r="N5" i="5"/>
  <c r="N6" i="5"/>
  <c r="N7" i="5"/>
  <c r="N8" i="5"/>
  <c r="N2" i="5"/>
  <c r="J3" i="5"/>
  <c r="J4" i="5"/>
  <c r="J5" i="5"/>
  <c r="J6" i="5"/>
  <c r="J7" i="5"/>
  <c r="J8" i="5"/>
  <c r="G2" i="5"/>
  <c r="M2" i="5" s="1"/>
  <c r="G3" i="5"/>
  <c r="M3" i="5" s="1"/>
  <c r="G7" i="5"/>
  <c r="M7" i="5" s="1"/>
  <c r="G8" i="5"/>
  <c r="G6" i="5"/>
  <c r="G5" i="5"/>
  <c r="G4" i="5"/>
  <c r="M4" i="5" s="1"/>
  <c r="H3" i="5"/>
  <c r="H4" i="5"/>
  <c r="H5" i="5"/>
  <c r="H6" i="5"/>
  <c r="H7" i="5"/>
  <c r="H8" i="5"/>
  <c r="H2" i="5"/>
  <c r="F3" i="5"/>
  <c r="F4" i="5"/>
  <c r="F5" i="5"/>
  <c r="F6" i="5"/>
  <c r="F7" i="5"/>
  <c r="F8" i="5"/>
  <c r="F2" i="5"/>
  <c r="O8" i="5" l="1"/>
  <c r="Q8" i="5" s="1"/>
  <c r="R8" i="5" s="1"/>
  <c r="Q7" i="5"/>
  <c r="R7" i="5" s="1"/>
  <c r="O4" i="5"/>
  <c r="Q4" i="5" s="1"/>
  <c r="R4" i="5" s="1"/>
  <c r="S4" i="5" s="1"/>
  <c r="S6" i="5"/>
  <c r="S5" i="5"/>
  <c r="S3" i="5"/>
  <c r="S2" i="5"/>
  <c r="C5" i="5"/>
  <c r="D5" i="5" s="1"/>
  <c r="C3" i="5"/>
  <c r="D3" i="5" s="1"/>
  <c r="C2" i="5"/>
  <c r="D2" i="5" s="1"/>
  <c r="E2" i="5" s="1"/>
  <c r="C8" i="5"/>
  <c r="D8" i="5" s="1"/>
  <c r="E8" i="5" s="1"/>
  <c r="C7" i="5"/>
  <c r="D7" i="5" s="1"/>
  <c r="E7" i="5" s="1"/>
  <c r="C6" i="5"/>
  <c r="D6" i="5" s="1"/>
  <c r="E6" i="5" s="1"/>
  <c r="S7" i="5" l="1"/>
  <c r="T7" i="5" s="1"/>
  <c r="S8" i="5"/>
  <c r="T8" i="5" s="1"/>
  <c r="C4" i="5"/>
  <c r="D4" i="5" s="1"/>
  <c r="E4" i="5" s="1"/>
  <c r="E3" i="5"/>
  <c r="E5" i="5"/>
  <c r="D6" i="3"/>
</calcChain>
</file>

<file path=xl/sharedStrings.xml><?xml version="1.0" encoding="utf-8"?>
<sst xmlns="http://schemas.openxmlformats.org/spreadsheetml/2006/main" count="150" uniqueCount="125">
  <si>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</si>
  <si>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</si>
  <si>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</si>
  <si>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</si>
  <si>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</si>
  <si>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</si>
  <si>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</si>
  <si>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</si>
  <si>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</si>
  <si>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</si>
  <si>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</si>
  <si>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</si>
  <si>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</si>
  <si>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</si>
  <si>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</si>
  <si>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</si>
  <si>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</si>
  <si>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</si>
  <si>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</si>
  <si>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</si>
  <si>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</si>
  <si>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</si>
  <si>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</si>
  <si>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</si>
  <si>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</si>
  <si>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</si>
  <si>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</si>
  <si>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</si>
  <si>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</si>
  <si>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</si>
  <si>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</si>
  <si>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</si>
  <si>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</si>
  <si>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</si>
  <si>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</si>
  <si>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</si>
  <si>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</si>
  <si>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</si>
  <si>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</si>
  <si>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</si>
  <si>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</si>
  <si>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</si>
  <si>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</si>
  <si>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</si>
  <si>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</si>
  <si>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</si>
  <si>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</si>
  <si>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</si>
  <si>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MinBubble</t>
  </si>
  <si>
    <t>MaxBubble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</si>
  <si>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</si>
  <si>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</si>
  <si>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</si>
  <si>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</si>
  <si>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</si>
  <si>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</si>
  <si>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</si>
  <si>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</si>
  <si>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</si>
  <si>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</si>
  <si>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</si>
  <si>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</si>
  <si>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Flow_O2</t>
  </si>
  <si>
    <t>Flow_CO2</t>
  </si>
  <si>
    <t>Flow_air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</si>
  <si>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</si>
  <si>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</si>
  <si>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</si>
  <si>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</si>
  <si>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</si>
  <si>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</si>
  <si>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</si>
  <si>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</si>
  <si>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</si>
  <si>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</si>
  <si>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</si>
  <si>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</si>
  <si>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</si>
  <si>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</si>
  <si>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</si>
  <si>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max flow CO2</t>
  </si>
  <si>
    <t>max flow air</t>
  </si>
  <si>
    <t>max Flow O2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</si>
  <si>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</si>
  <si>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</si>
  <si>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</si>
  <si>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</si>
  <si>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</si>
  <si>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</si>
  <si>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</si>
  <si>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</si>
  <si>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</si>
  <si>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</si>
  <si>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</si>
  <si>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</si>
  <si>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</si>
  <si>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</si>
  <si>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</si>
  <si>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</si>
  <si>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</si>
  <si>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</si>
  <si>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</si>
  <si>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</si>
  <si>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</si>
  <si>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</si>
  <si>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</si>
  <si>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</si>
  <si>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</si>
  <si>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</si>
  <si>
    <t>min Flow O2</t>
  </si>
  <si>
    <t>min flow CO2</t>
  </si>
  <si>
    <t>min flow air</t>
  </si>
  <si>
    <t>average flow air</t>
  </si>
  <si>
    <t>esimate density (g/L)</t>
  </si>
  <si>
    <t>specific density</t>
  </si>
  <si>
    <t>Cv</t>
  </si>
  <si>
    <t>hydrostatic drop (psi)</t>
  </si>
  <si>
    <t>valve drop</t>
  </si>
  <si>
    <t>filter drop</t>
  </si>
  <si>
    <t>total drop</t>
  </si>
  <si>
    <t>av flow (SCFS)</t>
  </si>
  <si>
    <t>Pre Pressure</t>
  </si>
  <si>
    <t>post pressure</t>
  </si>
  <si>
    <t>xT</t>
  </si>
  <si>
    <t>standard density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</si>
</sst>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B8" sqref="B8:B10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88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89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90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91</v>
      </c>
    </row>
    <row r="6" spans="1:4" x14ac:dyDescent="0.25">
      <c r="A6" s="3" t="s">
        <v>8</v>
      </c>
      <c r="B6">
        <v>2.125</v>
      </c>
      <c r="C6">
        <v>0.4163</v>
      </c>
      <c r="D6" t="s">
        <v>92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93</v>
      </c>
    </row>
    <row r="8" spans="1:4" x14ac:dyDescent="0.25">
      <c r="A8" s="3" t="s">
        <v>97</v>
      </c>
      <c r="B8">
        <v>2.4550000000000001</v>
      </c>
      <c r="C8">
        <v>0.44030000000000002</v>
      </c>
      <c r="D8" t="s">
        <v>94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95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96</v>
      </c>
    </row>
    <row r="11" spans="1:4" x14ac:dyDescent="0.25">
      <c r="A11" s="36" t="s">
        <v>98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51" t="s">
        <v>11</v>
      </c>
      <c r="B14" s="51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A38" sqref="A37:A38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66</v>
      </c>
      <c r="D1" s="22" t="s">
        <v>67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AB35"/>
  <sheetViews>
    <sheetView workbookViewId="0">
      <selection activeCell="A4" sqref="A4:A10"/>
    </sheetView>
  </sheetViews>
  <sheetFormatPr defaultRowHeight="15" x14ac:dyDescent="0.25"/>
  <cols>
    <col min="1" max="1" width="13.7109375" bestFit="1" customWidth="1"/>
    <col min="2" max="2" width="12.140625" bestFit="1" customWidth="1"/>
    <col min="3" max="3" width="9.7109375" bestFit="1" customWidth="1"/>
    <col min="4" max="4" width="10.140625" bestFit="1" customWidth="1"/>
    <col min="5" max="5" width="12" bestFit="1" customWidth="1"/>
    <col min="6" max="6" width="6.42578125" bestFit="1" customWidth="1"/>
    <col min="7" max="7" width="5.28515625" bestFit="1" customWidth="1"/>
    <col min="8" max="8" width="9.42578125" bestFit="1" customWidth="1"/>
    <col min="9" max="9" width="5.7109375" bestFit="1" customWidth="1"/>
    <col min="10" max="10" width="5.28515625" bestFit="1" customWidth="1"/>
    <col min="11" max="11" width="5.7109375" bestFit="1" customWidth="1"/>
    <col min="12" max="12" width="6.85546875" bestFit="1" customWidth="1"/>
    <col min="13" max="13" width="6.28515625" bestFit="1" customWidth="1"/>
    <col min="14" max="14" width="6.85546875" bestFit="1" customWidth="1"/>
    <col min="15" max="15" width="7.28515625" bestFit="1" customWidth="1"/>
    <col min="16" max="16" width="6.7109375" bestFit="1" customWidth="1"/>
    <col min="17" max="17" width="7.28515625" bestFit="1" customWidth="1"/>
    <col min="18" max="18" width="8.7109375" bestFit="1" customWidth="1"/>
    <col min="19" max="19" width="9.85546875" bestFit="1" customWidth="1"/>
    <col min="20" max="20" width="8.5703125" bestFit="1" customWidth="1"/>
    <col min="21" max="21" width="12" bestFit="1" customWidth="1"/>
    <col min="22" max="22" width="12.85546875" bestFit="1" customWidth="1"/>
    <col min="23" max="23" width="11.5703125" bestFit="1" customWidth="1"/>
    <col min="24" max="24" width="12.28515625" bestFit="1" customWidth="1"/>
    <col min="25" max="25" width="13.28515625" bestFit="1" customWidth="1"/>
    <col min="26" max="26" width="11.85546875" bestFit="1" customWidth="1"/>
    <col min="27" max="27" width="12" bestFit="1" customWidth="1"/>
    <col min="28" max="28" width="22.42578125" bestFit="1" customWidth="1"/>
  </cols>
  <sheetData>
    <row r="1" spans="1:28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8" s="23" customFormat="1" x14ac:dyDescent="0.25">
      <c r="I2" s="52" t="s">
        <v>43</v>
      </c>
      <c r="J2" s="53"/>
      <c r="K2" s="53"/>
      <c r="L2" s="52" t="s">
        <v>44</v>
      </c>
      <c r="M2" s="53"/>
      <c r="N2" s="53"/>
      <c r="O2" s="52" t="s">
        <v>45</v>
      </c>
      <c r="P2" s="53"/>
      <c r="Q2" s="53"/>
      <c r="R2" s="54" t="s">
        <v>46</v>
      </c>
      <c r="S2" s="55"/>
      <c r="T2" s="55"/>
      <c r="U2" s="55"/>
      <c r="V2" s="55"/>
      <c r="W2" s="55"/>
      <c r="X2" s="55"/>
      <c r="Y2" s="55"/>
      <c r="Z2" s="55"/>
      <c r="AA2" s="55"/>
      <c r="AB2" s="56"/>
    </row>
    <row r="3" spans="1:28" s="23" customFormat="1" x14ac:dyDescent="0.25">
      <c r="A3" s="8" t="s">
        <v>17</v>
      </c>
      <c r="B3" s="9" t="s">
        <v>47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79</v>
      </c>
      <c r="I3" s="8" t="s">
        <v>53</v>
      </c>
      <c r="J3" s="10" t="s">
        <v>54</v>
      </c>
      <c r="K3" s="10" t="s">
        <v>55</v>
      </c>
      <c r="L3" s="8" t="s">
        <v>56</v>
      </c>
      <c r="M3" s="10" t="s">
        <v>57</v>
      </c>
      <c r="N3" s="10" t="s">
        <v>58</v>
      </c>
      <c r="O3" s="8" t="s">
        <v>59</v>
      </c>
      <c r="P3" s="10" t="s">
        <v>60</v>
      </c>
      <c r="Q3" s="10" t="s">
        <v>61</v>
      </c>
      <c r="R3" s="12" t="s">
        <v>62</v>
      </c>
      <c r="S3" s="9" t="s">
        <v>63</v>
      </c>
      <c r="T3" s="9" t="s">
        <v>64</v>
      </c>
      <c r="U3" s="10" t="s">
        <v>109</v>
      </c>
      <c r="V3" s="10" t="s">
        <v>110</v>
      </c>
      <c r="W3" s="10" t="s">
        <v>111</v>
      </c>
      <c r="X3" s="10" t="s">
        <v>82</v>
      </c>
      <c r="Y3" s="10" t="s">
        <v>80</v>
      </c>
      <c r="Z3" s="10" t="s">
        <v>81</v>
      </c>
      <c r="AA3" s="10" t="s">
        <v>65</v>
      </c>
      <c r="AB3" s="11" t="s">
        <v>99</v>
      </c>
    </row>
    <row r="4" spans="1:28" s="23" customFormat="1" x14ac:dyDescent="0.25">
      <c r="A4" s="34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4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2289.5093864493401</v>
      </c>
      <c r="S4" s="26">
        <v>326.38210442599001</v>
      </c>
      <c r="T4" s="26">
        <v>3467.55272819728</v>
      </c>
      <c r="U4" s="26">
        <v>1.3034382223609899E-3</v>
      </c>
      <c r="V4" s="26">
        <v>3.11599928943583E-4</v>
      </c>
      <c r="W4" s="26">
        <v>2.1061736989799401E-3</v>
      </c>
      <c r="X4" s="26">
        <v>4.6200570038971199E-3</v>
      </c>
      <c r="Y4" s="26">
        <v>4.2550085526043299E-4</v>
      </c>
      <c r="Z4" s="26">
        <v>5.3139903719532904E-3</v>
      </c>
      <c r="AA4" s="37">
        <v>91.127393678000701</v>
      </c>
      <c r="AB4" s="3">
        <v>43.261320828720699</v>
      </c>
    </row>
    <row r="5" spans="1:28" s="23" customFormat="1" x14ac:dyDescent="0.25">
      <c r="A5" s="34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4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2364.7815935950098</v>
      </c>
      <c r="S5" s="26">
        <v>748.10818100301594</v>
      </c>
      <c r="T5" s="26">
        <v>8445.7684366207504</v>
      </c>
      <c r="U5" s="26">
        <v>5.1132970210149102E-4</v>
      </c>
      <c r="V5" s="26">
        <v>1.91342629246065E-4</v>
      </c>
      <c r="W5" s="26">
        <v>6.8620111084161499E-5</v>
      </c>
      <c r="X5" s="26">
        <v>7.2247962803913997E-3</v>
      </c>
      <c r="Y5" s="26">
        <v>3.5666642379847098E-4</v>
      </c>
      <c r="Z5" s="26">
        <v>3.6299908924129301E-3</v>
      </c>
      <c r="AA5" s="37">
        <v>135.67627158359201</v>
      </c>
      <c r="AB5" s="3">
        <v>47.171691300973698</v>
      </c>
    </row>
    <row r="6" spans="1:28" s="23" customFormat="1" x14ac:dyDescent="0.25">
      <c r="A6" s="34" t="s">
        <v>83</v>
      </c>
      <c r="B6" s="23">
        <v>0</v>
      </c>
      <c r="C6" s="23">
        <v>8.5000000000000006E-3</v>
      </c>
      <c r="D6" s="23">
        <v>8.9999999999999993E-3</v>
      </c>
      <c r="E6" s="23">
        <v>0.36</v>
      </c>
      <c r="F6" s="23">
        <v>7.4999999999999997E-2</v>
      </c>
      <c r="G6" s="23">
        <v>0.45</v>
      </c>
      <c r="H6" s="2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231.027168398382</v>
      </c>
      <c r="S6" s="26">
        <v>18.562111227642902</v>
      </c>
      <c r="T6" s="26">
        <v>71.517110254851801</v>
      </c>
      <c r="U6" s="26">
        <v>4.39050630768603E-4</v>
      </c>
      <c r="V6" s="26">
        <v>7.7179326839200602E-5</v>
      </c>
      <c r="W6" s="26">
        <v>1.43282608221107E-4</v>
      </c>
      <c r="X6" s="26">
        <v>1.29648057193552E-3</v>
      </c>
      <c r="Y6" s="26">
        <v>1.13209194699769E-4</v>
      </c>
      <c r="Z6" s="26">
        <v>9.6507230400850303E-4</v>
      </c>
      <c r="AA6" s="37">
        <v>114.561989290461</v>
      </c>
      <c r="AB6" s="3">
        <v>59.550522390457303</v>
      </c>
    </row>
    <row r="7" spans="1:28" s="23" customFormat="1" x14ac:dyDescent="0.25">
      <c r="A7" s="34" t="s">
        <v>84</v>
      </c>
      <c r="B7" s="23">
        <v>0</v>
      </c>
      <c r="C7" s="23">
        <v>8.0000000000000002E-3</v>
      </c>
      <c r="D7" s="29">
        <v>8.5000000000000006E-3</v>
      </c>
      <c r="E7" s="23">
        <v>0.36</v>
      </c>
      <c r="F7" s="23">
        <v>7.0000000000000007E-2</v>
      </c>
      <c r="G7" s="23">
        <v>0.45</v>
      </c>
      <c r="H7" s="2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206.98110265419101</v>
      </c>
      <c r="S7" s="26">
        <v>18.941672151772899</v>
      </c>
      <c r="T7" s="26">
        <v>94.455482671555203</v>
      </c>
      <c r="U7" s="26">
        <v>4.3598173807550398E-4</v>
      </c>
      <c r="V7" s="26">
        <v>8.0731159677504505E-5</v>
      </c>
      <c r="W7" s="26">
        <v>2.8072312163671299E-4</v>
      </c>
      <c r="X7" s="26">
        <v>1.15548822568161E-3</v>
      </c>
      <c r="Y7" s="26">
        <v>1.05720529760361E-4</v>
      </c>
      <c r="Z7" s="26">
        <v>9.7531859873896301E-4</v>
      </c>
      <c r="AA7" s="37">
        <v>126.547708101365</v>
      </c>
      <c r="AB7" s="3">
        <v>55.2681938511654</v>
      </c>
    </row>
    <row r="8" spans="1:28" s="23" customFormat="1" x14ac:dyDescent="0.25">
      <c r="A8" s="34" t="s">
        <v>85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2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56.595457845619002</v>
      </c>
      <c r="S8" s="26">
        <v>7.4111384019514297</v>
      </c>
      <c r="T8" s="26">
        <v>5.5585254582608501</v>
      </c>
      <c r="U8" s="26">
        <v>1.7180629264130099E-4</v>
      </c>
      <c r="V8" s="26">
        <v>3.3294606441974197E-5</v>
      </c>
      <c r="W8" s="26">
        <v>3.6123153872598101E-6</v>
      </c>
      <c r="X8" s="26">
        <v>3.2326829091540899E-4</v>
      </c>
      <c r="Y8" s="26">
        <v>3.9102757678946303E-5</v>
      </c>
      <c r="Z8" s="26">
        <v>1.1611381670112299E-4</v>
      </c>
      <c r="AA8" s="37">
        <v>149.87101148453499</v>
      </c>
      <c r="AB8" s="3">
        <v>41.630397373854798</v>
      </c>
    </row>
    <row r="9" spans="1:28" s="23" customFormat="1" x14ac:dyDescent="0.25">
      <c r="A9" s="34" t="s">
        <v>86</v>
      </c>
      <c r="B9" s="57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4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81.108840781181698</v>
      </c>
      <c r="S9" s="26">
        <v>11.0640495696386</v>
      </c>
      <c r="T9" s="26">
        <v>58.284778716569598</v>
      </c>
      <c r="U9" s="26">
        <v>3.0865755229728998E-4</v>
      </c>
      <c r="V9" s="26">
        <v>5.8318507985541198E-5</v>
      </c>
      <c r="W9" s="26">
        <v>2.7738531734872098E-4</v>
      </c>
      <c r="X9" s="26">
        <v>4.8767018199222001E-4</v>
      </c>
      <c r="Y9" s="26">
        <v>6.55786696603339E-5</v>
      </c>
      <c r="Z9" s="26">
        <v>4.4930211738727498E-4</v>
      </c>
      <c r="AA9" s="37">
        <v>118.033332127951</v>
      </c>
      <c r="AB9" s="3">
        <v>43.3637076844864</v>
      </c>
    </row>
    <row r="10" spans="1:28" s="23" customFormat="1" x14ac:dyDescent="0.25">
      <c r="A10" s="35" t="s">
        <v>87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9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152.93776307011899</v>
      </c>
      <c r="S10" s="28">
        <v>32.431468898795202</v>
      </c>
      <c r="T10" s="28">
        <v>324.35538912170102</v>
      </c>
      <c r="U10" s="28">
        <v>4.2164027955509699E-4</v>
      </c>
      <c r="V10" s="28">
        <v>1.4939739392426301E-4</v>
      </c>
      <c r="W10" s="28">
        <v>1.4599157214174199E-3</v>
      </c>
      <c r="X10" s="28">
        <v>7.9868301603877503E-4</v>
      </c>
      <c r="Y10" s="28">
        <v>1.5977092882234E-4</v>
      </c>
      <c r="Z10" s="28">
        <v>1.829851947594E-3</v>
      </c>
      <c r="AA10" s="38">
        <v>90.225142255446201</v>
      </c>
      <c r="AB10" s="2">
        <v>39.515087305645999</v>
      </c>
    </row>
    <row r="12" spans="1:28" x14ac:dyDescent="0.25">
      <c r="X12" s="31"/>
      <c r="Z12" s="31"/>
    </row>
    <row r="13" spans="1:28" x14ac:dyDescent="0.25">
      <c r="X13" s="31"/>
    </row>
    <row r="14" spans="1:28" x14ac:dyDescent="0.25">
      <c r="X14" s="31"/>
      <c r="Y14" s="31"/>
    </row>
    <row r="15" spans="1:28" x14ac:dyDescent="0.25"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8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2:24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2:24" x14ac:dyDescent="0.25"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2:24" x14ac:dyDescent="0.25"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2:24" x14ac:dyDescent="0.25"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2:24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2:24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2:24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2:24" x14ac:dyDescent="0.25"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3"/>
      <c r="X24" s="23"/>
    </row>
    <row r="25" spans="12:24" x14ac:dyDescent="0.25">
      <c r="L25" s="23"/>
      <c r="M25" s="16"/>
      <c r="N25" s="16"/>
      <c r="O25" s="16"/>
      <c r="P25" s="23"/>
      <c r="Q25" s="23"/>
      <c r="R25" s="23"/>
      <c r="S25" s="23"/>
      <c r="T25" s="23"/>
      <c r="U25" s="23"/>
      <c r="V25" s="23"/>
      <c r="W25" s="23"/>
      <c r="X25" s="23"/>
    </row>
    <row r="26" spans="12:24" x14ac:dyDescent="0.25">
      <c r="L26" s="23"/>
      <c r="M26" s="23"/>
      <c r="N26" s="23"/>
      <c r="O26" s="26"/>
      <c r="P26" s="23"/>
      <c r="Q26" s="26"/>
      <c r="R26" s="23"/>
      <c r="S26" s="26"/>
      <c r="T26" s="23"/>
      <c r="U26" s="23"/>
      <c r="V26" s="23"/>
      <c r="W26" s="23"/>
      <c r="X26" s="23"/>
    </row>
    <row r="27" spans="12:24" x14ac:dyDescent="0.25">
      <c r="L27" s="23"/>
      <c r="M27" s="23"/>
      <c r="N27" s="23"/>
      <c r="O27" s="26"/>
      <c r="P27" s="23"/>
      <c r="Q27" s="26"/>
      <c r="R27" s="23"/>
      <c r="S27" s="26"/>
      <c r="T27" s="23"/>
      <c r="U27" s="23"/>
      <c r="V27" s="23"/>
      <c r="W27" s="23"/>
      <c r="X27" s="23"/>
    </row>
    <row r="28" spans="12:24" x14ac:dyDescent="0.25">
      <c r="L28" s="23"/>
      <c r="M28" s="23"/>
      <c r="N28" s="23"/>
      <c r="O28" s="26"/>
      <c r="P28" s="23"/>
      <c r="Q28" s="26"/>
      <c r="R28" s="23"/>
      <c r="S28" s="26"/>
      <c r="T28" s="23"/>
      <c r="U28" s="23"/>
      <c r="V28" s="23"/>
      <c r="W28" s="23"/>
      <c r="X28" s="23"/>
    </row>
    <row r="29" spans="12:24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2:24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2:24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2:24" x14ac:dyDescent="0.25"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2:24" x14ac:dyDescent="0.25"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2:24" x14ac:dyDescent="0.25"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2:24" x14ac:dyDescent="0.25"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</sheetData>
  <mergeCells count="4">
    <mergeCell ref="I2:K2"/>
    <mergeCell ref="L2:N2"/>
    <mergeCell ref="O2:Q2"/>
    <mergeCell ref="R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J10"/>
  <sheetViews>
    <sheetView workbookViewId="0">
      <selection activeCell="I10" sqref="I10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20.28515625" customWidth="1"/>
    <col min="6" max="9" width="17.28515625" customWidth="1"/>
    <col min="10" max="10" width="13.7109375" customWidth="1"/>
  </cols>
  <sheetData>
    <row r="1" spans="1:10" x14ac:dyDescent="0.25">
      <c r="A1" s="23" t="s">
        <v>42</v>
      </c>
    </row>
    <row r="2" spans="1:10" x14ac:dyDescent="0.25">
      <c r="A2" s="23"/>
      <c r="F2" s="54" t="s">
        <v>46</v>
      </c>
      <c r="G2" s="55"/>
      <c r="H2" s="55"/>
      <c r="I2" s="55"/>
      <c r="J2" s="56"/>
    </row>
    <row r="3" spans="1:10" ht="30" x14ac:dyDescent="0.25">
      <c r="A3" s="46" t="s">
        <v>17</v>
      </c>
      <c r="B3" s="42" t="s">
        <v>100</v>
      </c>
      <c r="C3" s="42" t="s">
        <v>101</v>
      </c>
      <c r="D3" s="40" t="s">
        <v>103</v>
      </c>
      <c r="E3" s="42" t="s">
        <v>102</v>
      </c>
      <c r="F3" s="39" t="s">
        <v>104</v>
      </c>
      <c r="G3" s="40" t="s">
        <v>105</v>
      </c>
      <c r="H3" s="40" t="s">
        <v>106</v>
      </c>
      <c r="I3" s="40" t="s">
        <v>107</v>
      </c>
      <c r="J3" s="41" t="s">
        <v>108</v>
      </c>
    </row>
    <row r="4" spans="1:10" x14ac:dyDescent="0.25">
      <c r="A4" s="47" t="s">
        <v>18</v>
      </c>
      <c r="B4" s="23">
        <v>36.5</v>
      </c>
      <c r="C4" s="23">
        <v>30.5</v>
      </c>
      <c r="D4" s="23">
        <v>2</v>
      </c>
      <c r="E4" s="23">
        <v>22</v>
      </c>
      <c r="F4" s="24">
        <v>36.592567572438803</v>
      </c>
      <c r="G4" s="23">
        <v>37.2312696208365</v>
      </c>
      <c r="H4" s="23">
        <v>31.1437958420656</v>
      </c>
      <c r="I4" s="23">
        <v>31.445205735232399</v>
      </c>
      <c r="J4" s="3">
        <v>1167229732.08617</v>
      </c>
    </row>
    <row r="5" spans="1:10" x14ac:dyDescent="0.25">
      <c r="A5" s="47" t="s">
        <v>19</v>
      </c>
      <c r="B5" s="23">
        <v>36.5</v>
      </c>
      <c r="C5" s="23">
        <v>29.5</v>
      </c>
      <c r="D5" s="23">
        <v>2</v>
      </c>
      <c r="E5" s="23">
        <v>18</v>
      </c>
      <c r="F5" s="24">
        <v>36.494147107463299</v>
      </c>
      <c r="G5" s="23">
        <v>37.485239175019402</v>
      </c>
      <c r="H5" s="23">
        <v>30.829038979634799</v>
      </c>
      <c r="I5" s="23">
        <v>31.352023482288899</v>
      </c>
      <c r="J5" s="3">
        <v>3653682032.5007401</v>
      </c>
    </row>
    <row r="6" spans="1:10" x14ac:dyDescent="0.25">
      <c r="A6" s="47" t="s">
        <v>83</v>
      </c>
      <c r="B6" s="23">
        <v>37.200000000000003</v>
      </c>
      <c r="C6" s="43"/>
      <c r="D6" s="23">
        <v>0.1</v>
      </c>
      <c r="E6" s="23">
        <v>10</v>
      </c>
      <c r="F6" s="24">
        <v>36.806747602328201</v>
      </c>
      <c r="G6" s="23">
        <v>37</v>
      </c>
      <c r="H6" s="43"/>
      <c r="I6" s="43"/>
      <c r="J6" s="49">
        <v>-4338596.2089324398</v>
      </c>
    </row>
    <row r="7" spans="1:10" x14ac:dyDescent="0.25">
      <c r="A7" s="47" t="s">
        <v>84</v>
      </c>
      <c r="B7" s="23">
        <v>37</v>
      </c>
      <c r="C7" s="43"/>
      <c r="D7" s="23">
        <v>1</v>
      </c>
      <c r="E7" s="23">
        <v>15</v>
      </c>
      <c r="F7" s="24">
        <v>36.949941360231399</v>
      </c>
      <c r="G7" s="23">
        <v>37.037509595048903</v>
      </c>
      <c r="H7" s="43"/>
      <c r="I7" s="43"/>
      <c r="J7" s="49">
        <v>-683094.04759064899</v>
      </c>
    </row>
    <row r="8" spans="1:10" x14ac:dyDescent="0.25">
      <c r="A8" s="47" t="s">
        <v>85</v>
      </c>
      <c r="B8" s="23">
        <v>37</v>
      </c>
      <c r="C8" s="43"/>
      <c r="D8" s="23">
        <v>0.1</v>
      </c>
      <c r="E8" s="23">
        <v>10</v>
      </c>
      <c r="F8" s="24">
        <v>36.972840967377103</v>
      </c>
      <c r="G8" s="23">
        <v>37.015757009276101</v>
      </c>
      <c r="H8" s="43"/>
      <c r="I8" s="43"/>
      <c r="J8" s="49">
        <v>-149925.81911568</v>
      </c>
    </row>
    <row r="9" spans="1:10" x14ac:dyDescent="0.25">
      <c r="A9" s="47" t="s">
        <v>86</v>
      </c>
      <c r="B9" s="23">
        <v>37</v>
      </c>
      <c r="C9" s="43"/>
      <c r="D9" s="23">
        <v>1</v>
      </c>
      <c r="E9" s="23">
        <v>15</v>
      </c>
      <c r="F9" s="24">
        <v>36.983424155856198</v>
      </c>
      <c r="G9" s="23">
        <v>37.049588238855002</v>
      </c>
      <c r="H9" s="43"/>
      <c r="I9" s="43"/>
      <c r="J9" s="49">
        <v>967802.336210376</v>
      </c>
    </row>
    <row r="10" spans="1:10" x14ac:dyDescent="0.25">
      <c r="A10" s="48" t="s">
        <v>87</v>
      </c>
      <c r="B10" s="1">
        <v>37</v>
      </c>
      <c r="C10" s="44"/>
      <c r="D10" s="1">
        <v>1</v>
      </c>
      <c r="E10" s="1">
        <v>18</v>
      </c>
      <c r="F10" s="45">
        <v>36.991359445650701</v>
      </c>
      <c r="G10" s="1">
        <v>37.124308429397701</v>
      </c>
      <c r="H10" s="44"/>
      <c r="I10" s="44"/>
      <c r="J10" s="50">
        <v>9557874.4047890399</v>
      </c>
    </row>
  </sheetData>
  <mergeCells count="1"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T17"/>
  <sheetViews>
    <sheetView tabSelected="1" topLeftCell="E1" workbookViewId="0">
      <selection activeCell="K18" sqref="K18"/>
    </sheetView>
  </sheetViews>
  <sheetFormatPr defaultRowHeight="15" x14ac:dyDescent="0.25"/>
  <cols>
    <col min="1" max="1" width="14" bestFit="1" customWidth="1"/>
    <col min="2" max="2" width="19" bestFit="1" customWidth="1"/>
    <col min="3" max="3" width="10.28515625" customWidth="1"/>
    <col min="4" max="4" width="11.7109375" customWidth="1"/>
    <col min="5" max="5" width="20.85546875" bestFit="1" customWidth="1"/>
    <col min="6" max="7" width="15.28515625" bestFit="1" customWidth="1"/>
    <col min="8" max="8" width="11.85546875" bestFit="1" customWidth="1"/>
    <col min="10" max="10" width="20" bestFit="1" customWidth="1"/>
    <col min="11" max="11" width="20" customWidth="1"/>
    <col min="12" max="12" width="14.85546875" bestFit="1" customWidth="1"/>
    <col min="13" max="13" width="16.28515625" bestFit="1" customWidth="1"/>
    <col min="14" max="14" width="20.140625" bestFit="1" customWidth="1"/>
    <col min="15" max="15" width="12" bestFit="1" customWidth="1"/>
    <col min="16" max="16" width="10" bestFit="1" customWidth="1"/>
    <col min="17" max="17" width="9.7109375" bestFit="1" customWidth="1"/>
    <col min="18" max="18" width="12.140625" bestFit="1" customWidth="1"/>
    <col min="19" max="19" width="13.140625" bestFit="1" customWidth="1"/>
  </cols>
  <sheetData>
    <row r="1" spans="1:20" x14ac:dyDescent="0.25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111</v>
      </c>
      <c r="G1" t="s">
        <v>112</v>
      </c>
      <c r="H1" t="s">
        <v>81</v>
      </c>
      <c r="J1" t="s">
        <v>113</v>
      </c>
      <c r="K1" t="s">
        <v>124</v>
      </c>
      <c r="L1" t="s">
        <v>114</v>
      </c>
      <c r="M1" t="s">
        <v>120</v>
      </c>
      <c r="N1" t="s">
        <v>116</v>
      </c>
      <c r="O1" t="s">
        <v>117</v>
      </c>
      <c r="P1" t="s">
        <v>118</v>
      </c>
      <c r="Q1" t="s">
        <v>119</v>
      </c>
      <c r="R1" t="s">
        <v>121</v>
      </c>
      <c r="S1" t="s">
        <v>122</v>
      </c>
      <c r="T1" t="s">
        <v>115</v>
      </c>
    </row>
    <row r="2" spans="1:20" x14ac:dyDescent="0.25">
      <c r="A2" t="s">
        <v>78</v>
      </c>
      <c r="B2" s="31">
        <v>2000000</v>
      </c>
      <c r="C2" s="32">
        <f>(B2*4/(3*PI()))^(1/3)/100</f>
        <v>0.94683205640999235</v>
      </c>
      <c r="D2" s="32">
        <f>C2*3</f>
        <v>2.8404961692299771</v>
      </c>
      <c r="E2" s="33">
        <f>D2*9.8</f>
        <v>27.836862458453776</v>
      </c>
      <c r="F2" s="31">
        <f>'PID &amp; Gas Output'!W4</f>
        <v>2.1061736989799401E-3</v>
      </c>
      <c r="G2" s="31">
        <f>'PID &amp; Gas Output'!T4/10/24/3600</f>
        <v>4.0133712131912962E-3</v>
      </c>
      <c r="H2" s="31">
        <f>'PID &amp; Gas Output'!Z4</f>
        <v>5.3139903719532904E-3</v>
      </c>
      <c r="J2">
        <f>29*(100000+E2*1000)/(8.314*298)/1000</f>
        <v>1.4963314936135699</v>
      </c>
      <c r="K2">
        <f>29*(100000)/(8.314*288)/1000</f>
        <v>1.2111431855237487</v>
      </c>
      <c r="L2">
        <f>J2/K2</f>
        <v>1.2354703485917677</v>
      </c>
      <c r="M2" s="31">
        <f>G2*127133</f>
        <v>510.23192244664904</v>
      </c>
      <c r="N2">
        <f>E2*0.145</f>
        <v>4.0363450564757972</v>
      </c>
      <c r="O2">
        <f>R11</f>
        <v>5</v>
      </c>
      <c r="P2">
        <v>10</v>
      </c>
      <c r="Q2">
        <f>P2+O2</f>
        <v>15</v>
      </c>
      <c r="R2">
        <f>Q2+14.7+N2-O2/2</f>
        <v>31.236345056475798</v>
      </c>
      <c r="S2">
        <f>R2-O2</f>
        <v>26.236345056475798</v>
      </c>
      <c r="T2">
        <f>M2/963*SQRT(1*537/(R2^2-S2^2))</f>
        <v>0.72429038067673757</v>
      </c>
    </row>
    <row r="3" spans="1:20" x14ac:dyDescent="0.25">
      <c r="A3" t="s">
        <v>74</v>
      </c>
      <c r="B3" s="31">
        <v>500000</v>
      </c>
      <c r="C3" s="32">
        <f>(B3*4/(1.5*PI()))^(1/3)/100</f>
        <v>0.75150110119121716</v>
      </c>
      <c r="D3" s="32">
        <f>C3*1.5</f>
        <v>1.1272516517868256</v>
      </c>
      <c r="E3" s="33">
        <f>D3*9.8</f>
        <v>11.047066187510891</v>
      </c>
      <c r="F3" s="31">
        <f>'PID &amp; Gas Output'!W5</f>
        <v>6.8620111084161499E-5</v>
      </c>
      <c r="G3" s="31">
        <f>'PID &amp; Gas Output'!T5/30/24/3600</f>
        <v>3.2583983165975121E-3</v>
      </c>
      <c r="H3" s="31">
        <f>'PID &amp; Gas Output'!Z5</f>
        <v>3.6299908924129301E-3</v>
      </c>
      <c r="J3">
        <f t="shared" ref="J3:J8" si="0">29*(100000+E3*1000+E704)/(8.314*298)/1000</f>
        <v>1.2998067944898537</v>
      </c>
      <c r="K3">
        <f t="shared" ref="K3:K8" si="1">29*(100000)/(8.314*288)/1000</f>
        <v>1.2111431855237487</v>
      </c>
      <c r="L3">
        <f t="shared" ref="L3:L8" si="2">J3/K3</f>
        <v>1.073206545704803</v>
      </c>
      <c r="M3" s="31">
        <f t="shared" ref="M3:M8" si="3">G3*127133</f>
        <v>414.24995318399152</v>
      </c>
      <c r="N3">
        <f t="shared" ref="N3:N8" si="4">E3*0.145</f>
        <v>1.6018245971890792</v>
      </c>
      <c r="O3">
        <f>R11</f>
        <v>5</v>
      </c>
      <c r="P3">
        <v>10</v>
      </c>
      <c r="Q3">
        <f t="shared" ref="Q3:Q8" si="5">P3+O3</f>
        <v>15</v>
      </c>
      <c r="R3">
        <f t="shared" ref="R3:R8" si="6">Q3+14.7+N3-O3/2</f>
        <v>28.801824597189079</v>
      </c>
      <c r="S3">
        <f t="shared" ref="S3:S8" si="7">R3-O3</f>
        <v>23.801824597189079</v>
      </c>
      <c r="T3">
        <f t="shared" ref="T3:T8" si="8">M3/963*SQRT(1*537/(R3^2-S3^2))</f>
        <v>0.61465353705828785</v>
      </c>
    </row>
    <row r="4" spans="1:20" x14ac:dyDescent="0.25">
      <c r="A4" t="s">
        <v>72</v>
      </c>
      <c r="B4" s="31">
        <v>20000</v>
      </c>
      <c r="C4" s="32">
        <f>C5</f>
        <v>0.43948051003392441</v>
      </c>
      <c r="D4" s="32">
        <f>B4/1000000/(C4^2*PI()/4)</f>
        <v>0.13184415301017743</v>
      </c>
      <c r="E4" s="33">
        <f>D4*9.8</f>
        <v>1.2920726994997389</v>
      </c>
      <c r="F4" s="31">
        <f>'PID &amp; Gas Output'!W6</f>
        <v>1.43282608221107E-4</v>
      </c>
      <c r="G4" s="31">
        <f>'PID &amp; Gas Output'!T6/'Seed Train'!B11/24/3600</f>
        <v>3.3716673387102939E-4</v>
      </c>
      <c r="H4" s="31">
        <f>'PID &amp; Gas Output'!Z6</f>
        <v>9.6507230400850303E-4</v>
      </c>
      <c r="J4">
        <f t="shared" si="0"/>
        <v>1.1856245179899887</v>
      </c>
      <c r="K4">
        <f t="shared" si="1"/>
        <v>1.2111431855237487</v>
      </c>
      <c r="L4">
        <f t="shared" si="2"/>
        <v>0.97893009857234625</v>
      </c>
      <c r="M4" s="31">
        <f t="shared" si="3"/>
        <v>42.865018377225582</v>
      </c>
      <c r="N4">
        <f t="shared" si="4"/>
        <v>0.18735054142746213</v>
      </c>
      <c r="O4">
        <f>O5+N5-N4</f>
        <v>5.7494021657098475</v>
      </c>
      <c r="P4">
        <v>10</v>
      </c>
      <c r="Q4">
        <f t="shared" si="5"/>
        <v>15.749402165709848</v>
      </c>
      <c r="R4">
        <f t="shared" si="6"/>
        <v>27.762051624282389</v>
      </c>
      <c r="S4">
        <f t="shared" si="7"/>
        <v>22.01264945857254</v>
      </c>
      <c r="T4">
        <f t="shared" si="8"/>
        <v>6.0974492677692234E-2</v>
      </c>
    </row>
    <row r="5" spans="1:20" x14ac:dyDescent="0.25">
      <c r="A5" t="s">
        <v>73</v>
      </c>
      <c r="B5" s="31">
        <v>100000</v>
      </c>
      <c r="C5" s="32">
        <f>(B5*4/(1.5*PI()))^(1/3)/100</f>
        <v>0.43948051003392441</v>
      </c>
      <c r="D5" s="32">
        <f>C5*1.5</f>
        <v>0.65922076505088656</v>
      </c>
      <c r="E5" s="33">
        <f>D5*9.8</f>
        <v>6.4603634974986885</v>
      </c>
      <c r="F5" s="31">
        <f>'PID &amp; Gas Output'!W7</f>
        <v>2.8072312163671299E-4</v>
      </c>
      <c r="G5" s="31">
        <f>'PID &amp; Gas Output'!T7/'Seed Train'!B12/24/3600</f>
        <v>4.4621826658897953E-4</v>
      </c>
      <c r="H5" s="31">
        <f>'PID &amp; Gas Output'!Z7</f>
        <v>9.7531859873896301E-4</v>
      </c>
      <c r="J5">
        <f t="shared" si="0"/>
        <v>1.2461194029588087</v>
      </c>
      <c r="K5">
        <f t="shared" si="1"/>
        <v>1.2111431855237487</v>
      </c>
      <c r="L5">
        <f t="shared" si="2"/>
        <v>1.0288786807811952</v>
      </c>
      <c r="M5" s="31">
        <f t="shared" si="3"/>
        <v>56.729066886256732</v>
      </c>
      <c r="N5">
        <f t="shared" si="4"/>
        <v>0.93675270713730974</v>
      </c>
      <c r="O5">
        <f>R11</f>
        <v>5</v>
      </c>
      <c r="P5">
        <v>10</v>
      </c>
      <c r="Q5">
        <f t="shared" si="5"/>
        <v>15</v>
      </c>
      <c r="R5">
        <f t="shared" si="6"/>
        <v>28.136752707137308</v>
      </c>
      <c r="S5">
        <f t="shared" si="7"/>
        <v>23.136752707137308</v>
      </c>
      <c r="T5">
        <f t="shared" si="8"/>
        <v>8.5257970171630115E-2</v>
      </c>
    </row>
    <row r="6" spans="1:20" x14ac:dyDescent="0.25">
      <c r="A6" t="s">
        <v>75</v>
      </c>
      <c r="B6" s="31">
        <v>20000</v>
      </c>
      <c r="C6" s="32">
        <f>(B6*4/(3*PI()))^(1/3)/100</f>
        <v>0.20398878279639124</v>
      </c>
      <c r="D6" s="32">
        <f>C6*3</f>
        <v>0.61196634838917374</v>
      </c>
      <c r="E6" s="33">
        <f>D6*9.8</f>
        <v>5.9972702142139029</v>
      </c>
      <c r="F6" s="31">
        <f>'PID &amp; Gas Output'!W8</f>
        <v>3.6123153872598101E-6</v>
      </c>
      <c r="G6" s="31">
        <f>'PID &amp; Gas Output'!T8/'Seed Train'!B8/24/3600</f>
        <v>2.6205615232805545E-5</v>
      </c>
      <c r="H6" s="31">
        <f>'PID &amp; Gas Output'!Z8</f>
        <v>1.1611381670112299E-4</v>
      </c>
      <c r="J6">
        <f t="shared" si="0"/>
        <v>1.2406988923882749</v>
      </c>
      <c r="K6">
        <f t="shared" si="1"/>
        <v>1.2111431855237487</v>
      </c>
      <c r="L6">
        <f t="shared" si="2"/>
        <v>1.0244031483789797</v>
      </c>
      <c r="M6" s="31">
        <f>G6*127133</f>
        <v>3.3315984813922674</v>
      </c>
      <c r="N6">
        <f t="shared" si="4"/>
        <v>0.86960418106101589</v>
      </c>
      <c r="O6">
        <f>O7+N7-N6</f>
        <v>2.5108064107511856</v>
      </c>
      <c r="P6">
        <v>10</v>
      </c>
      <c r="Q6">
        <f t="shared" si="5"/>
        <v>12.510806410751186</v>
      </c>
      <c r="R6">
        <f t="shared" si="6"/>
        <v>26.82500738643661</v>
      </c>
      <c r="S6">
        <f t="shared" si="7"/>
        <v>24.314200975685424</v>
      </c>
      <c r="T6">
        <f>M6/963*SQRT(1*537/(R6^2-S6^2))</f>
        <v>7.0750562382794037E-3</v>
      </c>
    </row>
    <row r="7" spans="1:20" x14ac:dyDescent="0.25">
      <c r="A7" t="s">
        <v>76</v>
      </c>
      <c r="B7" s="31">
        <v>80000</v>
      </c>
      <c r="C7" s="32">
        <f>(B7*4/(3*PI()))^(1/3)/100</f>
        <v>0.32381200840070401</v>
      </c>
      <c r="D7" s="32">
        <f>C7*3</f>
        <v>0.97143602520211203</v>
      </c>
      <c r="E7" s="33">
        <f>D7*9.8</f>
        <v>9.5200730469806985</v>
      </c>
      <c r="F7" s="31">
        <f>'PID &amp; Gas Output'!W9</f>
        <v>2.7738531734872098E-4</v>
      </c>
      <c r="G7" s="31">
        <f>'PID &amp; Gas Output'!T9/'Seed Train'!B9/24/3600</f>
        <v>3.1820393691348704E-4</v>
      </c>
      <c r="H7" s="31">
        <f>'PID &amp; Gas Output'!Z9</f>
        <v>4.4930211738727498E-4</v>
      </c>
      <c r="J7">
        <f t="shared" si="0"/>
        <v>1.2819333276136637</v>
      </c>
      <c r="K7">
        <f t="shared" si="1"/>
        <v>1.2111431855237487</v>
      </c>
      <c r="L7">
        <f t="shared" si="2"/>
        <v>1.058449028105048</v>
      </c>
      <c r="M7" s="31">
        <f t="shared" si="3"/>
        <v>40.454221111622346</v>
      </c>
      <c r="N7">
        <f t="shared" si="4"/>
        <v>1.3804105918122012</v>
      </c>
      <c r="O7">
        <v>2</v>
      </c>
      <c r="P7">
        <v>10</v>
      </c>
      <c r="Q7">
        <f t="shared" si="5"/>
        <v>12</v>
      </c>
      <c r="R7">
        <f t="shared" si="6"/>
        <v>27.0804105918122</v>
      </c>
      <c r="S7">
        <f t="shared" si="7"/>
        <v>25.0804105918122</v>
      </c>
      <c r="T7">
        <f t="shared" si="8"/>
        <v>9.5309785415149742E-2</v>
      </c>
    </row>
    <row r="8" spans="1:20" x14ac:dyDescent="0.25">
      <c r="A8" t="s">
        <v>77</v>
      </c>
      <c r="B8" s="31">
        <v>400000</v>
      </c>
      <c r="C8" s="32">
        <f>(B8*4/(3*PI()))^(1/3)/100</f>
        <v>0.55371074561027633</v>
      </c>
      <c r="D8" s="32">
        <f>C8*3</f>
        <v>1.661132236830829</v>
      </c>
      <c r="E8" s="33">
        <f>D8*9.8</f>
        <v>16.279095920942126</v>
      </c>
      <c r="F8" s="31">
        <f>'PID &amp; Gas Output'!W10</f>
        <v>1.4599157214174199E-3</v>
      </c>
      <c r="G8" s="31">
        <f>'PID &amp; Gas Output'!T10/'Seed Train'!B10/24/3600</f>
        <v>1.5291703869733961E-3</v>
      </c>
      <c r="H8" s="31">
        <f>'PID &amp; Gas Output'!Z10</f>
        <v>1.829851947594E-3</v>
      </c>
      <c r="J8">
        <f t="shared" si="0"/>
        <v>1.3610477442057471</v>
      </c>
      <c r="K8">
        <f t="shared" si="1"/>
        <v>1.2111431855237487</v>
      </c>
      <c r="L8">
        <f t="shared" si="2"/>
        <v>1.1237711283634673</v>
      </c>
      <c r="M8" s="31">
        <f t="shared" si="3"/>
        <v>194.40801880708875</v>
      </c>
      <c r="N8">
        <f t="shared" si="4"/>
        <v>2.3604689085366082</v>
      </c>
      <c r="O8">
        <f>O7+N7-N8</f>
        <v>1.0199416832755932</v>
      </c>
      <c r="P8">
        <v>10</v>
      </c>
      <c r="Q8">
        <f t="shared" si="5"/>
        <v>11.019941683275594</v>
      </c>
      <c r="R8">
        <f t="shared" si="6"/>
        <v>27.570439750174405</v>
      </c>
      <c r="S8">
        <f t="shared" si="7"/>
        <v>26.550498066898811</v>
      </c>
      <c r="T8">
        <f t="shared" si="8"/>
        <v>0.62965796710934518</v>
      </c>
    </row>
    <row r="11" spans="1:20" x14ac:dyDescent="0.25">
      <c r="A11" s="34" t="s">
        <v>18</v>
      </c>
      <c r="Q11" t="s">
        <v>117</v>
      </c>
      <c r="R11">
        <v>5</v>
      </c>
    </row>
    <row r="12" spans="1:20" x14ac:dyDescent="0.25">
      <c r="A12" s="34" t="s">
        <v>19</v>
      </c>
      <c r="Q12" t="s">
        <v>123</v>
      </c>
      <c r="R12">
        <v>0.7</v>
      </c>
    </row>
    <row r="13" spans="1:20" x14ac:dyDescent="0.25">
      <c r="A13" s="34" t="s">
        <v>83</v>
      </c>
    </row>
    <row r="14" spans="1:20" x14ac:dyDescent="0.25">
      <c r="A14" s="34" t="s">
        <v>84</v>
      </c>
    </row>
    <row r="15" spans="1:20" x14ac:dyDescent="0.25">
      <c r="A15" s="34" t="s">
        <v>85</v>
      </c>
    </row>
    <row r="16" spans="1:20" x14ac:dyDescent="0.25">
      <c r="A16" s="34" t="s">
        <v>86</v>
      </c>
    </row>
    <row r="17" spans="1:1" x14ac:dyDescent="0.25">
      <c r="A17" s="3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Reactor 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2018-03-27T20:41:13Z</dcterms:modified>
</cp:coreProperties>
</file>