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Thomson\Documents\School Docs\College\Senior Year\Second Semester\Design\DesignCode\K1\FinalCodeV1\"/>
    </mc:Choice>
  </mc:AlternateContent>
  <xr:revisionPtr revIDLastSave="0" documentId="13_ncr:1_{3AA50FD2-F45E-4225-884C-08F92D27B8FF}" xr6:coauthVersionLast="28" xr6:coauthVersionMax="28" xr10:uidLastSave="{00000000-0000-0000-0000-000000000000}"/>
  <bookViews>
    <workbookView xWindow="0" yWindow="0" windowWidth="23040" windowHeight="9045" firstSheet="1" activeTab="3" xr2:uid="{246BD7EC-0C2E-4070-B711-658E9931285D}"/>
  </bookViews>
  <sheets>
    <sheet name="Seed Train" sheetId="1" r:id="rId1"/>
    <sheet name="Reactors" sheetId="2" r:id="rId2"/>
    <sheet name="Feed &amp; Media Composition" sheetId="3" r:id="rId3"/>
    <sheet name="PID &amp; Gas Output" sheetId="4" r:id="rId4"/>
    <sheet name="Reactor Heating" sheetId="6" r:id="rId5"/>
    <sheet name="Valves and Pressure Drop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" i="4" l="1"/>
  <c r="AE5" i="4"/>
  <c r="AF5" i="4"/>
  <c r="AG5" i="4"/>
  <c r="AH5" i="4"/>
  <c r="AI5" i="4"/>
  <c r="AJ5" i="4"/>
  <c r="AK5" i="4"/>
  <c r="AL5" i="4"/>
  <c r="AD6" i="4"/>
  <c r="AE6" i="4"/>
  <c r="AF6" i="4"/>
  <c r="AG6" i="4"/>
  <c r="AH6" i="4"/>
  <c r="AI6" i="4"/>
  <c r="AJ6" i="4"/>
  <c r="AK6" i="4"/>
  <c r="AL6" i="4"/>
  <c r="AD7" i="4"/>
  <c r="AE7" i="4"/>
  <c r="AF7" i="4"/>
  <c r="AG7" i="4"/>
  <c r="AH7" i="4"/>
  <c r="AI7" i="4"/>
  <c r="AJ7" i="4"/>
  <c r="AK7" i="4"/>
  <c r="AL7" i="4"/>
  <c r="AD8" i="4"/>
  <c r="AE8" i="4"/>
  <c r="AF8" i="4"/>
  <c r="AG8" i="4"/>
  <c r="AH8" i="4"/>
  <c r="AI8" i="4"/>
  <c r="AJ8" i="4"/>
  <c r="AK8" i="4"/>
  <c r="AL8" i="4"/>
  <c r="AD9" i="4"/>
  <c r="AE9" i="4"/>
  <c r="AF9" i="4"/>
  <c r="AG9" i="4"/>
  <c r="AH9" i="4"/>
  <c r="AI9" i="4"/>
  <c r="AJ9" i="4"/>
  <c r="AK9" i="4"/>
  <c r="AL9" i="4"/>
  <c r="AD10" i="4"/>
  <c r="AE10" i="4"/>
  <c r="AF10" i="4"/>
  <c r="AG10" i="4"/>
  <c r="AH10" i="4"/>
  <c r="AI10" i="4"/>
  <c r="AJ10" i="4"/>
  <c r="AK10" i="4"/>
  <c r="AL10" i="4"/>
  <c r="AL4" i="4"/>
  <c r="AE4" i="4"/>
  <c r="AF4" i="4"/>
  <c r="AG4" i="4"/>
  <c r="AH4" i="4"/>
  <c r="AI4" i="4"/>
  <c r="AJ4" i="4"/>
  <c r="AK4" i="4"/>
  <c r="AD4" i="4"/>
  <c r="H6" i="5" l="1"/>
  <c r="Q3" i="5"/>
  <c r="Q4" i="5"/>
  <c r="R4" i="5" s="1"/>
  <c r="T4" i="5" s="1"/>
  <c r="Q5" i="5"/>
  <c r="Q6" i="5"/>
  <c r="R6" i="5" s="1"/>
  <c r="Q7" i="5"/>
  <c r="R7" i="5" s="1"/>
  <c r="Q8" i="5"/>
  <c r="R8" i="5" s="1"/>
  <c r="T8" i="5" s="1"/>
  <c r="T2" i="5"/>
  <c r="AA2" i="5"/>
  <c r="R3" i="5"/>
  <c r="T3" i="5" s="1"/>
  <c r="R5" i="5"/>
  <c r="T5" i="5" s="1"/>
  <c r="R2" i="5"/>
  <c r="S2" i="5" s="1"/>
  <c r="S5" i="5"/>
  <c r="AA8" i="5"/>
  <c r="O6" i="5"/>
  <c r="O8" i="5"/>
  <c r="L3" i="5"/>
  <c r="L4" i="5"/>
  <c r="L5" i="5"/>
  <c r="L6" i="5"/>
  <c r="L7" i="5"/>
  <c r="L8" i="5"/>
  <c r="L2" i="5"/>
  <c r="K3" i="5"/>
  <c r="K4" i="5"/>
  <c r="K5" i="5"/>
  <c r="K6" i="5"/>
  <c r="K7" i="5"/>
  <c r="K8" i="5"/>
  <c r="J2" i="5"/>
  <c r="K2" i="5"/>
  <c r="Q2" i="5"/>
  <c r="N3" i="5"/>
  <c r="N4" i="5"/>
  <c r="N5" i="5"/>
  <c r="N6" i="5"/>
  <c r="N7" i="5"/>
  <c r="N8" i="5"/>
  <c r="N2" i="5"/>
  <c r="J3" i="5"/>
  <c r="J4" i="5"/>
  <c r="J5" i="5"/>
  <c r="J6" i="5"/>
  <c r="J7" i="5"/>
  <c r="J8" i="5"/>
  <c r="G2" i="5"/>
  <c r="M2" i="5" s="1"/>
  <c r="V2" i="5" s="1"/>
  <c r="G3" i="5"/>
  <c r="M3" i="5" s="1"/>
  <c r="G7" i="5"/>
  <c r="M7" i="5" s="1"/>
  <c r="G8" i="5"/>
  <c r="M8" i="5" s="1"/>
  <c r="G6" i="5"/>
  <c r="M6" i="5" s="1"/>
  <c r="G5" i="5"/>
  <c r="M5" i="5" s="1"/>
  <c r="G4" i="5"/>
  <c r="M4" i="5" s="1"/>
  <c r="H3" i="5"/>
  <c r="H4" i="5"/>
  <c r="H5" i="5"/>
  <c r="H7" i="5"/>
  <c r="H8" i="5"/>
  <c r="H2" i="5"/>
  <c r="F3" i="5"/>
  <c r="F4" i="5"/>
  <c r="F5" i="5"/>
  <c r="F6" i="5"/>
  <c r="F7" i="5"/>
  <c r="F8" i="5"/>
  <c r="F2" i="5"/>
  <c r="S7" i="5" l="1"/>
  <c r="T7" i="5"/>
  <c r="T6" i="5"/>
  <c r="S6" i="5"/>
  <c r="X6" i="5" s="1"/>
  <c r="S8" i="5"/>
  <c r="W8" i="5" s="1"/>
  <c r="S3" i="5"/>
  <c r="W3" i="5" s="1"/>
  <c r="X7" i="5"/>
  <c r="W7" i="5"/>
  <c r="W5" i="5"/>
  <c r="X5" i="5"/>
  <c r="W6" i="5"/>
  <c r="S4" i="5"/>
  <c r="W4" i="5" s="1"/>
  <c r="O4" i="5"/>
  <c r="C5" i="5"/>
  <c r="D5" i="5" s="1"/>
  <c r="C3" i="5"/>
  <c r="D3" i="5" s="1"/>
  <c r="C2" i="5"/>
  <c r="D2" i="5" s="1"/>
  <c r="E2" i="5" s="1"/>
  <c r="C8" i="5"/>
  <c r="D8" i="5" s="1"/>
  <c r="E8" i="5" s="1"/>
  <c r="C7" i="5"/>
  <c r="D7" i="5" s="1"/>
  <c r="E7" i="5" s="1"/>
  <c r="C6" i="5"/>
  <c r="D6" i="5" s="1"/>
  <c r="E6" i="5" s="1"/>
  <c r="X3" i="5" l="1"/>
  <c r="Y3" i="5" s="1"/>
  <c r="X8" i="5"/>
  <c r="X4" i="5"/>
  <c r="X2" i="5"/>
  <c r="W2" i="5"/>
  <c r="V5" i="5"/>
  <c r="Y5" i="5"/>
  <c r="V6" i="5"/>
  <c r="V4" i="5"/>
  <c r="V3" i="5"/>
  <c r="V7" i="5"/>
  <c r="V8" i="5"/>
  <c r="C4" i="5"/>
  <c r="D4" i="5" s="1"/>
  <c r="E4" i="5" s="1"/>
  <c r="E3" i="5"/>
  <c r="E5" i="5"/>
  <c r="D6" i="3"/>
  <c r="Y2" i="5" l="1"/>
  <c r="Y6" i="5" l="1"/>
  <c r="Y8" i="5"/>
  <c r="Y7" i="5"/>
  <c r="Y4" i="5"/>
</calcChain>
</file>

<file path=xl/sharedStrings.xml><?xml version="1.0" encoding="utf-8"?>
<sst xmlns="http://schemas.openxmlformats.org/spreadsheetml/2006/main" count="165" uniqueCount="139">
  <si>
    <t>Vessel</t>
  </si>
  <si>
    <t>80 L</t>
  </si>
  <si>
    <t>400 L</t>
  </si>
  <si>
    <t>100 L</t>
  </si>
  <si>
    <t>4 mL</t>
  </si>
  <si>
    <t>15 mL</t>
  </si>
  <si>
    <t>60 mL</t>
  </si>
  <si>
    <t>250 mL</t>
  </si>
  <si>
    <t>1 L</t>
  </si>
  <si>
    <t>4 L</t>
  </si>
  <si>
    <t>Time (day)</t>
  </si>
  <si>
    <t>average doubling time</t>
  </si>
  <si>
    <t>hours</t>
  </si>
  <si>
    <t>extent</t>
  </si>
  <si>
    <t>0.14976 ASN + 0.013544 C_C + 1 GLC + 0.082288 GLN + 0.23308 O2 + 0.058009 SER --&gt; 0.047775 ALA + 0.098059 ANTI + 0.01121 ASP + 0.54856 BIOM + 0.49974 CO2 + 0.068901 GLU + 0.0065587 GLY + 0.54516 LAC + 0.0061431 NH3 + 0.29542 H2O</t>
  </si>
  <si>
    <t>rxn</t>
  </si>
  <si>
    <t>0.14992 ASN + 0.013576 C_C + 1 GLC + 0.082614 GLN + 0.23378 O2 + 0.058145 SER --&gt; 0.047709 ALA + 0.098018 ANTI + 0.011178 ASP + 0.55013 BIOM + 0.50119 CO2 + 0.06907 GLU + 0.0065865 GLY + 0.54406 LAC + 0.0061759 NH3 + 0.29608 H2O</t>
  </si>
  <si>
    <t>System</t>
  </si>
  <si>
    <t>Batch</t>
  </si>
  <si>
    <t>Perfusion</t>
  </si>
  <si>
    <t>Extent</t>
  </si>
  <si>
    <t>Reaction</t>
  </si>
  <si>
    <t>MAB produced (kg)</t>
  </si>
  <si>
    <t>0.27086 ASN + 0.015303 C_C + 1 GLC + 0.035179 GLN + 0.50637 O2 + 0.082806 SER --&gt; 0.097229 ALA + 0.49765 ANTI + 4.1217 ASP + 4.42 BIOM + 0.78026 CO2 + 0.064103 GLU + 0.016749 GLY + 0.3353 LAC + 0.0076339 NH3 + 8.4301 H2O</t>
  </si>
  <si>
    <t>0.16913 ASN + 0.017734 ASP + 0.021302 C_C + 1 GLC + 0.030878 GLN + 0.010327 GLY + 6.2652e-05 NH3 + 0.83165 O2 + 0.080898 SER --&gt; 0.016391 ALA + 0.30253 ANTI + 0.69824 BIOM + 1.4067 CO2 + 0.015242 GLU + 0.022625 LAC + 0.29969 H2O</t>
  </si>
  <si>
    <t>ALA   =  1</t>
  </si>
  <si>
    <t>ANTI  =  2</t>
  </si>
  <si>
    <t>ASN   =  3</t>
  </si>
  <si>
    <t>ASP   =  4</t>
  </si>
  <si>
    <t>BIOM  =  5</t>
  </si>
  <si>
    <t>C_C   =  6</t>
  </si>
  <si>
    <t>CO2   =  7</t>
  </si>
  <si>
    <t>GLC   =  8</t>
  </si>
  <si>
    <t>GLN   =  9</t>
  </si>
  <si>
    <t>GLU   =  10</t>
  </si>
  <si>
    <t>GLY   =  11</t>
  </si>
  <si>
    <t>LAC   =  12</t>
  </si>
  <si>
    <t>NH3   =  13</t>
  </si>
  <si>
    <t>O2    =  14</t>
  </si>
  <si>
    <t>SER   =  15</t>
  </si>
  <si>
    <t>Component</t>
  </si>
  <si>
    <t>Concentration in Media (mM)</t>
  </si>
  <si>
    <t>PID Parameters</t>
  </si>
  <si>
    <t>O2</t>
  </si>
  <si>
    <t>CO2</t>
  </si>
  <si>
    <t>Flow</t>
  </si>
  <si>
    <t>Output</t>
  </si>
  <si>
    <t>BatchReactor</t>
  </si>
  <si>
    <t>ImpellerRatio</t>
  </si>
  <si>
    <t>CO2_0</t>
  </si>
  <si>
    <t>O2_0</t>
  </si>
  <si>
    <t>Kp O2</t>
  </si>
  <si>
    <t>Ki O2</t>
  </si>
  <si>
    <t>Kd O2</t>
  </si>
  <si>
    <t>Kp CO2</t>
  </si>
  <si>
    <t>Ki CO2</t>
  </si>
  <si>
    <t>Kd CO2</t>
  </si>
  <si>
    <t>Kp Flow</t>
  </si>
  <si>
    <t>Ki Flow</t>
  </si>
  <si>
    <t>Kd Flow</t>
  </si>
  <si>
    <t>Max N (rpm)</t>
  </si>
  <si>
    <t>Concentration in Batch Feed (mM) (3% vv)</t>
  </si>
  <si>
    <t>Concentration in CryoVial</t>
  </si>
  <si>
    <t>Vessel Volume (mL)</t>
  </si>
  <si>
    <t>D (m)</t>
  </si>
  <si>
    <t>H (m)</t>
  </si>
  <si>
    <t>Hydrostatic drop (kPa)</t>
  </si>
  <si>
    <t>Perfusion 20 L</t>
  </si>
  <si>
    <t>Perfusion 100L</t>
  </si>
  <si>
    <t>Perfusion 500L</t>
  </si>
  <si>
    <t>Batch 20L</t>
  </si>
  <si>
    <t>Batch 80L</t>
  </si>
  <si>
    <t>Batch 400L</t>
  </si>
  <si>
    <t>Batch 2000L</t>
  </si>
  <si>
    <t>N Impeller</t>
  </si>
  <si>
    <t>ST Perf 20</t>
  </si>
  <si>
    <t>ST Perf 100</t>
  </si>
  <si>
    <t>ST Batch 20</t>
  </si>
  <si>
    <t>ST Batch 80</t>
  </si>
  <si>
    <t>ST Batch 400</t>
  </si>
  <si>
    <t>'0.1483 ASN + 0.011884 C_C + 1 GLC + 0.067854 GLN + 0.19627 O2 + 0.051883 SER --&gt; 0.045686 ALA + 0.10715 ANTI + 0.018108 ASP + 0.45788 BIOM + 0.42109 CO2 + 0.065638 GLU + 0.0063276 GLY + 0.60986 LAC + 0.0065008 NH3 + 0.26204 H2O'</t>
  </si>
  <si>
    <t>'0.15132 ASN + 0.013801 C_C + 1 GLC + 0.084315 GLN + 0.23876 O2 + 0.059343 SER --&gt; 0.046833 ALA + 0.099362 ANTI + 0.011453 ASP + 0.55955 BIOM + 0.51067 CO2 + 0.06998 GLU + 0.0070431 GLY + 0.5368 LAC + 0.0063685 NH3 + 0.30052 H2O'</t>
  </si>
  <si>
    <t>'0.15018 ASN + 0.013709 C_C + 1 GLC + 0.083829 GLN + 0.23672 O2 + 0.058693 SER --&gt; 0.04739 ALA + 0.098307 ANTI + 0.011062 ASP + 0.55629 BIOM + 0.50706 CO2 + 0.069139 GLU + 0.0066442 GLY + 0.53977 LAC + 0.0062615 NH3 + 0.2988 H2O'</t>
  </si>
  <si>
    <t>'0.1501 ASN + 0.013679 C_C + 1 GLC + 0.083519 GLN + 0.23606 O2 + 0.058535 SER --&gt; 0.047505 ALA + 0.098095 ANTI + 0.011085 ASP + 0.55506 BIOM + 0.50581 CO2 + 0.069002 GLU + 0.0065882 GLY + 0.54071 LAC + 0.0062397 NH3 + 0.2982 H2O'</t>
  </si>
  <si>
    <t>'0.1502 ASN + 0.013723 C_C + 1 GLC + 0.083978 GLN + 0.23702 O2 + 0.058702 SER --&gt; 0.047424 ALA + 0.098008 ANTI + 0.011041 ASP + 0.55725 BIOM + 0.5078 CO2 + 0.06905 GLU + 0.0065994 GLY + 0.53928 LAC + 0.0062798 NH3 + 0.29912 H2O'</t>
  </si>
  <si>
    <t>'0.15013 ASN + 0.013714 C_C + 1 GLC + 0.08394 GLN + 0.23682 O2 + 0.058665 SER --&gt; 0.047444 ALA + 0.097999 ANTI + 0.011035 ASP + 0.55683 BIOM + 0.5074 CO2 + 0.069023 GLU + 0.0065943 GLY + 0.5396 LAC + 0.0062739 NH3 + 0.29894 H2O'</t>
  </si>
  <si>
    <t>'0.14976 ASN + 0.013544 C_C + 1 GLC + 0.082288 GLN + 0.23308 O2 + 0.058009 SER --&gt; 0.047775 ALA + 0.098059 ANTI + 0.01121 ASP + 0.54856 BIOM + 0.49974 CO2 + 0.068901 GLU + 0.0065587 GLY + 0.54516 LAC + 0.0061431 NH3 + 0.29542 H2O'</t>
  </si>
  <si>
    <t>'0.15035 ASN + 0.013755 C_C + 1 GLC + 0.08435 GLN + 0.23773 O2 + 0.058842 SER --&gt; 0.047359 ALA + 0.097938 ANTI + 0.011007 ASP + 0.55889 BIOM + 0.50928 CO2 + 0.069234 GLU + 0.0066307 GLY + 0.53817 LAC + 0.0063173 NH3 + 0.2998 H2O'</t>
  </si>
  <si>
    <t>'0.14973 ASN + 0.013545 C_C + 1 GLC + 0.082319 GLN + 0.2331 O2 + 0.058012 SER --&gt; 0.047771 ALA + 0.098049 ANTI + 0.011196 ASP + 0.5486 BIOM + 0.49977 CO2 + 0.068909 GLU + 0.0065596 GLY + 0.54515 LAC + 0.006144 NH3 + 0.29544 H2O'</t>
  </si>
  <si>
    <t>20L (batch)</t>
  </si>
  <si>
    <t>20 L</t>
  </si>
  <si>
    <t>Min Eddy size (micro m)</t>
  </si>
  <si>
    <t>Pre Shift Jacket Feed Temp</t>
  </si>
  <si>
    <t>Post Shift Jacket Feed Temp</t>
  </si>
  <si>
    <t>Jacket Volume (L)</t>
  </si>
  <si>
    <t>Jacket Flow Rate (L/s)</t>
  </si>
  <si>
    <t>Min T Before Shift</t>
  </si>
  <si>
    <t>Max T Before Shift</t>
  </si>
  <si>
    <t>Min T After Shift</t>
  </si>
  <si>
    <t>Max T After Shift</t>
  </si>
  <si>
    <t>Total Duty (J)</t>
  </si>
  <si>
    <t>esimate density (g/L)</t>
  </si>
  <si>
    <t>specific density</t>
  </si>
  <si>
    <t>hydrostatic drop (psi)</t>
  </si>
  <si>
    <t>Max Cv</t>
  </si>
  <si>
    <t>Min Cv</t>
  </si>
  <si>
    <t>CV ratio</t>
  </si>
  <si>
    <t>Valve</t>
  </si>
  <si>
    <t>av flow (SCFH)</t>
  </si>
  <si>
    <t>min Flow O2 (m^3/s)</t>
  </si>
  <si>
    <t>min flow CO2 (m^3/s)</t>
  </si>
  <si>
    <t>min flow air (m^3/s)</t>
  </si>
  <si>
    <t>max Flow O2 (m^3/s)</t>
  </si>
  <si>
    <t>max flow CO2 (m^3/s)</t>
  </si>
  <si>
    <t>max flow air (m^3/s)</t>
  </si>
  <si>
    <t>MinBubble (m)</t>
  </si>
  <si>
    <t>MaxBubble (m)</t>
  </si>
  <si>
    <t>Total Flow O2 (m^3)</t>
  </si>
  <si>
    <t>Total Flow CO2  (m^3)</t>
  </si>
  <si>
    <t>Total Flow air (m^3)</t>
  </si>
  <si>
    <t>average flow air (m^3/s)</t>
  </si>
  <si>
    <t>range expanded 10%</t>
  </si>
  <si>
    <t>equal % 9000/9100 1", size 6 trim</t>
  </si>
  <si>
    <t>linear 0.5-1", C trim</t>
  </si>
  <si>
    <t>linear 0.25-1", F trim</t>
  </si>
  <si>
    <t>equal % 9000/9100 1", size 2 trim</t>
  </si>
  <si>
    <t>half Cv</t>
  </si>
  <si>
    <t>linear 0.25-1", G trim</t>
  </si>
  <si>
    <t>standard density air (g/L)</t>
  </si>
  <si>
    <t>valve drop (psi)</t>
  </si>
  <si>
    <t>line drop (psi)</t>
  </si>
  <si>
    <t>total drop (psi)</t>
  </si>
  <si>
    <t>Pre Pressure (psi)</t>
  </si>
  <si>
    <t>Post pressure (psi)</t>
  </si>
  <si>
    <t>Middle Cv</t>
  </si>
  <si>
    <t>Blower Duty (psi)</t>
  </si>
  <si>
    <t>cgproducts.johnsoncontrols.com/met_pdf/347vb.pdf</t>
  </si>
  <si>
    <t>source</t>
  </si>
  <si>
    <t>page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</si>
</sst>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"/>
    <numFmt numFmtId="166" formatCode="0.0000"/>
    <numFmt numFmtId="167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46" fontId="0" fillId="0" borderId="2" xfId="0" applyNumberForma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0" fontId="0" fillId="0" borderId="5" xfId="0" applyBorder="1"/>
    <xf numFmtId="1" fontId="0" fillId="0" borderId="0" xfId="0" applyNumberFormat="1" applyBorder="1"/>
    <xf numFmtId="2" fontId="0" fillId="0" borderId="0" xfId="0" applyNumberFormat="1" applyBorder="1"/>
    <xf numFmtId="1" fontId="0" fillId="0" borderId="8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" fontId="0" fillId="0" borderId="9" xfId="0" applyNumberFormat="1" applyBorder="1"/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0" fillId="0" borderId="8" xfId="0" applyBorder="1"/>
    <xf numFmtId="11" fontId="0" fillId="0" borderId="8" xfId="0" applyNumberFormat="1" applyBorder="1"/>
    <xf numFmtId="11" fontId="0" fillId="0" borderId="0" xfId="0" applyNumberFormat="1" applyBorder="1"/>
    <xf numFmtId="11" fontId="0" fillId="0" borderId="9" xfId="0" applyNumberFormat="1" applyBorder="1"/>
    <xf numFmtId="11" fontId="0" fillId="0" borderId="1" xfId="0" applyNumberFormat="1" applyBorder="1"/>
    <xf numFmtId="166" fontId="0" fillId="0" borderId="0" xfId="0" applyNumberFormat="1" applyBorder="1"/>
    <xf numFmtId="166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8" xfId="0" applyFill="1" applyBorder="1"/>
    <xf numFmtId="0" fontId="0" fillId="0" borderId="9" xfId="0" applyFill="1" applyBorder="1"/>
    <xf numFmtId="0" fontId="0" fillId="0" borderId="2" xfId="0" applyFill="1" applyBorder="1"/>
    <xf numFmtId="167" fontId="0" fillId="0" borderId="0" xfId="0" applyNumberFormat="1" applyBorder="1"/>
    <xf numFmtId="167" fontId="0" fillId="0" borderId="1" xfId="0" applyNumberFormat="1" applyBorder="1"/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2" borderId="0" xfId="0" applyFill="1" applyBorder="1"/>
    <xf numFmtId="0" fontId="0" fillId="2" borderId="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1" fontId="0" fillId="0" borderId="2" xfId="0" applyNumberFormat="1" applyBorder="1"/>
    <xf numFmtId="1" fontId="0" fillId="0" borderId="3" xfId="0" applyNumberFormat="1" applyBorder="1"/>
    <xf numFmtId="1" fontId="1" fillId="0" borderId="0" xfId="0" applyNumberFormat="1" applyFont="1" applyBorder="1"/>
    <xf numFmtId="0" fontId="0" fillId="0" borderId="6" xfId="0" applyFill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167" fontId="0" fillId="0" borderId="8" xfId="0" applyNumberFormat="1" applyBorder="1"/>
    <xf numFmtId="167" fontId="0" fillId="2" borderId="0" xfId="0" applyNumberFormat="1" applyFill="1" applyBorder="1"/>
    <xf numFmtId="167" fontId="0" fillId="0" borderId="9" xfId="0" applyNumberFormat="1" applyBorder="1"/>
    <xf numFmtId="167" fontId="0" fillId="2" borderId="1" xfId="0" applyNumberFormat="1" applyFill="1" applyBorder="1"/>
    <xf numFmtId="0" fontId="0" fillId="0" borderId="15" xfId="0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D7ED-5FE1-4A26-8155-C2FD3E504F3F}">
  <dimension ref="A1:D15"/>
  <sheetViews>
    <sheetView workbookViewId="0">
      <selection activeCell="B8" sqref="B8:B10"/>
    </sheetView>
  </sheetViews>
  <sheetFormatPr defaultRowHeight="15" x14ac:dyDescent="0.25"/>
  <cols>
    <col min="1" max="1" width="10.140625" bestFit="1" customWidth="1"/>
    <col min="2" max="2" width="9.42578125" bestFit="1" customWidth="1"/>
  </cols>
  <sheetData>
    <row r="1" spans="1:4" x14ac:dyDescent="0.25">
      <c r="A1" s="2" t="s">
        <v>0</v>
      </c>
      <c r="B1" s="1" t="s">
        <v>10</v>
      </c>
      <c r="C1" s="1" t="s">
        <v>13</v>
      </c>
      <c r="D1" s="1" t="s">
        <v>15</v>
      </c>
    </row>
    <row r="2" spans="1:4" x14ac:dyDescent="0.25">
      <c r="A2" s="3" t="s">
        <v>4</v>
      </c>
      <c r="B2">
        <v>2.6</v>
      </c>
      <c r="C2">
        <v>0.59709999999999996</v>
      </c>
      <c r="D2" t="s">
        <v>80</v>
      </c>
    </row>
    <row r="3" spans="1:4" x14ac:dyDescent="0.25">
      <c r="A3" s="3" t="s">
        <v>5</v>
      </c>
      <c r="B3">
        <v>2.0699999999999998</v>
      </c>
      <c r="C3">
        <v>0.43630000000000002</v>
      </c>
      <c r="D3" t="s">
        <v>81</v>
      </c>
    </row>
    <row r="4" spans="1:4" x14ac:dyDescent="0.25">
      <c r="A4" s="3" t="s">
        <v>6</v>
      </c>
      <c r="B4">
        <v>2.1349999999999998</v>
      </c>
      <c r="C4">
        <v>0.4229</v>
      </c>
      <c r="D4" t="s">
        <v>82</v>
      </c>
    </row>
    <row r="5" spans="1:4" x14ac:dyDescent="0.25">
      <c r="A5" s="3" t="s">
        <v>7</v>
      </c>
      <c r="B5">
        <v>2.19</v>
      </c>
      <c r="C5">
        <v>0.42280000000000001</v>
      </c>
      <c r="D5" t="s">
        <v>83</v>
      </c>
    </row>
    <row r="6" spans="1:4" x14ac:dyDescent="0.25">
      <c r="A6" s="3" t="s">
        <v>8</v>
      </c>
      <c r="B6">
        <v>2.125</v>
      </c>
      <c r="C6">
        <v>0.4163</v>
      </c>
      <c r="D6" t="s">
        <v>84</v>
      </c>
    </row>
    <row r="7" spans="1:4" x14ac:dyDescent="0.25">
      <c r="A7" s="3" t="s">
        <v>9</v>
      </c>
      <c r="B7">
        <v>2.125</v>
      </c>
      <c r="C7">
        <v>0.41599999999999998</v>
      </c>
      <c r="D7" t="s">
        <v>85</v>
      </c>
    </row>
    <row r="8" spans="1:4" x14ac:dyDescent="0.25">
      <c r="A8" s="3" t="s">
        <v>89</v>
      </c>
      <c r="B8">
        <v>2.4550000000000001</v>
      </c>
      <c r="C8">
        <v>0.44030000000000002</v>
      </c>
      <c r="D8" t="s">
        <v>86</v>
      </c>
    </row>
    <row r="9" spans="1:4" x14ac:dyDescent="0.25">
      <c r="A9" s="3" t="s">
        <v>1</v>
      </c>
      <c r="B9">
        <v>2.12</v>
      </c>
      <c r="C9">
        <v>0.41470000000000001</v>
      </c>
      <c r="D9" t="s">
        <v>87</v>
      </c>
    </row>
    <row r="10" spans="1:4" x14ac:dyDescent="0.25">
      <c r="A10" s="4" t="s">
        <v>2</v>
      </c>
      <c r="B10">
        <v>2.4550000000000001</v>
      </c>
      <c r="C10">
        <v>0.44019999999999998</v>
      </c>
      <c r="D10" t="s">
        <v>88</v>
      </c>
    </row>
    <row r="11" spans="1:4" x14ac:dyDescent="0.25">
      <c r="A11" s="36" t="s">
        <v>90</v>
      </c>
      <c r="B11">
        <v>2.4550000000000001</v>
      </c>
      <c r="C11">
        <v>0.44030000000000002</v>
      </c>
      <c r="D11" t="s">
        <v>14</v>
      </c>
    </row>
    <row r="12" spans="1:4" x14ac:dyDescent="0.25">
      <c r="A12" s="4" t="s">
        <v>3</v>
      </c>
      <c r="B12">
        <v>2.4500000000000002</v>
      </c>
      <c r="C12">
        <v>0.43930000000000002</v>
      </c>
      <c r="D12" t="s">
        <v>16</v>
      </c>
    </row>
    <row r="14" spans="1:4" x14ac:dyDescent="0.25">
      <c r="A14" s="62" t="s">
        <v>11</v>
      </c>
      <c r="B14" s="62"/>
    </row>
    <row r="15" spans="1:4" x14ac:dyDescent="0.25">
      <c r="A15">
        <v>25.799999999999997</v>
      </c>
      <c r="B15" t="s">
        <v>12</v>
      </c>
    </row>
  </sheetData>
  <mergeCells count="1">
    <mergeCell ref="A14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2CE3-3D89-4AB3-BA7A-E3A4CFD9BA85}">
  <dimension ref="A1:E3"/>
  <sheetViews>
    <sheetView workbookViewId="0">
      <selection activeCell="A38" sqref="A37:A38"/>
    </sheetView>
  </sheetViews>
  <sheetFormatPr defaultRowHeight="15" x14ac:dyDescent="0.25"/>
  <cols>
    <col min="3" max="3" width="13.140625" bestFit="1" customWidth="1"/>
  </cols>
  <sheetData>
    <row r="1" spans="1:5" x14ac:dyDescent="0.25">
      <c r="A1" s="2" t="s">
        <v>17</v>
      </c>
      <c r="B1" s="1" t="s">
        <v>10</v>
      </c>
      <c r="C1" s="1" t="s">
        <v>22</v>
      </c>
      <c r="D1" s="1" t="s">
        <v>20</v>
      </c>
      <c r="E1" s="1" t="s">
        <v>21</v>
      </c>
    </row>
    <row r="2" spans="1:5" x14ac:dyDescent="0.25">
      <c r="A2" s="3" t="s">
        <v>18</v>
      </c>
      <c r="B2">
        <v>10</v>
      </c>
      <c r="C2">
        <v>13.0412</v>
      </c>
      <c r="D2">
        <v>0.81659999999999999</v>
      </c>
      <c r="E2" t="s">
        <v>24</v>
      </c>
    </row>
    <row r="3" spans="1:5" x14ac:dyDescent="0.25">
      <c r="A3" s="3" t="s">
        <v>19</v>
      </c>
      <c r="B3">
        <v>30</v>
      </c>
      <c r="C3">
        <v>42.8979</v>
      </c>
      <c r="D3">
        <v>0.44290000000000002</v>
      </c>
      <c r="E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C4CF-17D8-4E52-9851-96DCFE1539CF}">
  <dimension ref="A1:D16"/>
  <sheetViews>
    <sheetView workbookViewId="0">
      <selection activeCell="E27" sqref="E27"/>
    </sheetView>
  </sheetViews>
  <sheetFormatPr defaultRowHeight="15" x14ac:dyDescent="0.25"/>
  <cols>
    <col min="1" max="1" width="12.140625" customWidth="1"/>
    <col min="2" max="2" width="13.7109375" customWidth="1"/>
    <col min="3" max="3" width="24.42578125" customWidth="1"/>
    <col min="4" max="4" width="22.140625" bestFit="1" customWidth="1"/>
  </cols>
  <sheetData>
    <row r="1" spans="1:4" s="5" customFormat="1" ht="45" x14ac:dyDescent="0.25">
      <c r="A1" s="6" t="s">
        <v>40</v>
      </c>
      <c r="B1" s="6" t="s">
        <v>41</v>
      </c>
      <c r="C1" s="6" t="s">
        <v>61</v>
      </c>
      <c r="D1" s="22" t="s">
        <v>62</v>
      </c>
    </row>
    <row r="2" spans="1:4" x14ac:dyDescent="0.25">
      <c r="A2" s="7" t="s">
        <v>25</v>
      </c>
      <c r="B2">
        <v>0.67</v>
      </c>
      <c r="C2">
        <v>6</v>
      </c>
      <c r="D2">
        <v>0</v>
      </c>
    </row>
    <row r="3" spans="1:4" x14ac:dyDescent="0.25">
      <c r="A3" s="3" t="s">
        <v>26</v>
      </c>
      <c r="B3">
        <v>0</v>
      </c>
      <c r="C3">
        <v>0</v>
      </c>
      <c r="D3">
        <v>0</v>
      </c>
    </row>
    <row r="4" spans="1:4" x14ac:dyDescent="0.25">
      <c r="A4" s="3" t="s">
        <v>27</v>
      </c>
      <c r="B4">
        <v>20.27</v>
      </c>
      <c r="C4">
        <v>60</v>
      </c>
      <c r="D4">
        <v>0</v>
      </c>
    </row>
    <row r="5" spans="1:4" x14ac:dyDescent="0.25">
      <c r="A5" s="3" t="s">
        <v>28</v>
      </c>
      <c r="B5">
        <v>2.0499999999999998</v>
      </c>
      <c r="C5">
        <v>15.04</v>
      </c>
      <c r="D5">
        <v>0</v>
      </c>
    </row>
    <row r="6" spans="1:4" x14ac:dyDescent="0.25">
      <c r="A6" s="3" t="s">
        <v>29</v>
      </c>
      <c r="B6">
        <v>0</v>
      </c>
      <c r="C6">
        <v>0</v>
      </c>
      <c r="D6">
        <f>2.31*10</f>
        <v>23.1</v>
      </c>
    </row>
    <row r="7" spans="1:4" x14ac:dyDescent="0.25">
      <c r="A7" s="3" t="s">
        <v>30</v>
      </c>
      <c r="B7">
        <v>1.5</v>
      </c>
      <c r="C7">
        <v>4.68</v>
      </c>
      <c r="D7">
        <v>0</v>
      </c>
    </row>
    <row r="8" spans="1:4" x14ac:dyDescent="0.25">
      <c r="A8" s="3" t="s">
        <v>31</v>
      </c>
      <c r="B8">
        <v>1.7481</v>
      </c>
      <c r="C8">
        <v>0</v>
      </c>
      <c r="D8">
        <v>0</v>
      </c>
    </row>
    <row r="9" spans="1:4" x14ac:dyDescent="0.25">
      <c r="A9" s="3" t="s">
        <v>32</v>
      </c>
      <c r="B9">
        <v>73</v>
      </c>
      <c r="C9">
        <v>444.4</v>
      </c>
      <c r="D9">
        <v>0</v>
      </c>
    </row>
    <row r="10" spans="1:4" x14ac:dyDescent="0.25">
      <c r="A10" s="3" t="s">
        <v>33</v>
      </c>
      <c r="B10">
        <v>3.9</v>
      </c>
      <c r="C10">
        <v>14</v>
      </c>
      <c r="D10">
        <v>0</v>
      </c>
    </row>
    <row r="11" spans="1:4" x14ac:dyDescent="0.25">
      <c r="A11" s="3" t="s">
        <v>34</v>
      </c>
      <c r="B11">
        <v>0.62</v>
      </c>
      <c r="C11">
        <v>6</v>
      </c>
      <c r="D11">
        <v>0</v>
      </c>
    </row>
    <row r="12" spans="1:4" x14ac:dyDescent="0.25">
      <c r="A12" s="3" t="s">
        <v>35</v>
      </c>
      <c r="B12">
        <v>3.3</v>
      </c>
      <c r="C12">
        <v>6</v>
      </c>
      <c r="D12">
        <v>0</v>
      </c>
    </row>
    <row r="13" spans="1:4" x14ac:dyDescent="0.25">
      <c r="A13" s="3" t="s">
        <v>36</v>
      </c>
      <c r="B13">
        <v>0</v>
      </c>
      <c r="C13">
        <v>0</v>
      </c>
      <c r="D13">
        <v>0</v>
      </c>
    </row>
    <row r="14" spans="1:4" x14ac:dyDescent="0.25">
      <c r="A14" s="3" t="s">
        <v>37</v>
      </c>
      <c r="B14">
        <v>0</v>
      </c>
      <c r="C14">
        <v>0</v>
      </c>
      <c r="D14">
        <v>0</v>
      </c>
    </row>
    <row r="15" spans="1:4" x14ac:dyDescent="0.25">
      <c r="A15" s="3" t="s">
        <v>38</v>
      </c>
      <c r="B15">
        <v>0.41889999999999999</v>
      </c>
      <c r="C15">
        <v>0</v>
      </c>
      <c r="D15">
        <v>0</v>
      </c>
    </row>
    <row r="16" spans="1:4" x14ac:dyDescent="0.25">
      <c r="A16" s="3" t="s">
        <v>39</v>
      </c>
      <c r="B16">
        <v>11.06</v>
      </c>
      <c r="C16">
        <v>45.16</v>
      </c>
      <c r="D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B371-BB26-4257-BB8E-9B4539DEEA9A}">
  <dimension ref="A1:AQ35"/>
  <sheetViews>
    <sheetView tabSelected="1" topLeftCell="K1" workbookViewId="0">
      <selection activeCell="AB10" sqref="AB10"/>
    </sheetView>
  </sheetViews>
  <sheetFormatPr defaultRowHeight="15" x14ac:dyDescent="0.25"/>
  <cols>
    <col min="1" max="1" width="14.7109375" bestFit="1" customWidth="1"/>
    <col min="2" max="2" width="12.5703125" bestFit="1" customWidth="1"/>
    <col min="3" max="3" width="14.42578125" bestFit="1" customWidth="1"/>
    <col min="4" max="4" width="14.7109375" bestFit="1" customWidth="1"/>
    <col min="5" max="5" width="13.28515625" bestFit="1" customWidth="1"/>
    <col min="6" max="6" width="6.5703125" bestFit="1" customWidth="1"/>
    <col min="7" max="7" width="5.42578125" bestFit="1" customWidth="1"/>
    <col min="8" max="8" width="10.42578125" bestFit="1" customWidth="1"/>
    <col min="9" max="9" width="6.140625" bestFit="1" customWidth="1"/>
    <col min="10" max="10" width="5.5703125" bestFit="1" customWidth="1"/>
    <col min="11" max="11" width="6.140625" bestFit="1" customWidth="1"/>
    <col min="12" max="12" width="7.28515625" bestFit="1" customWidth="1"/>
    <col min="13" max="13" width="6.7109375" bestFit="1" customWidth="1"/>
    <col min="14" max="14" width="7.28515625" bestFit="1" customWidth="1"/>
    <col min="15" max="15" width="8" bestFit="1" customWidth="1"/>
    <col min="16" max="16" width="7.42578125" bestFit="1" customWidth="1"/>
    <col min="17" max="17" width="8" bestFit="1" customWidth="1"/>
    <col min="18" max="18" width="18.85546875" bestFit="1" customWidth="1"/>
    <col min="19" max="19" width="20.42578125" bestFit="1" customWidth="1"/>
    <col min="20" max="20" width="18.7109375" bestFit="1" customWidth="1"/>
    <col min="21" max="21" width="19.5703125" bestFit="1" customWidth="1"/>
    <col min="22" max="22" width="20.42578125" bestFit="1" customWidth="1"/>
    <col min="23" max="23" width="19.140625" bestFit="1" customWidth="1"/>
    <col min="24" max="24" width="19.85546875" bestFit="1" customWidth="1"/>
    <col min="25" max="25" width="20.7109375" bestFit="1" customWidth="1"/>
    <col min="26" max="26" width="19.42578125" bestFit="1" customWidth="1"/>
    <col min="27" max="27" width="12" bestFit="1" customWidth="1"/>
    <col min="28" max="28" width="22.42578125" bestFit="1" customWidth="1"/>
  </cols>
  <sheetData>
    <row r="1" spans="1:43" x14ac:dyDescent="0.25">
      <c r="A1" s="23" t="s">
        <v>42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43" s="23" customFormat="1" x14ac:dyDescent="0.25">
      <c r="I2" s="63" t="s">
        <v>43</v>
      </c>
      <c r="J2" s="64"/>
      <c r="K2" s="64"/>
      <c r="L2" s="63" t="s">
        <v>44</v>
      </c>
      <c r="M2" s="64"/>
      <c r="N2" s="64"/>
      <c r="O2" s="63" t="s">
        <v>45</v>
      </c>
      <c r="P2" s="64"/>
      <c r="Q2" s="64"/>
      <c r="R2" s="65" t="s">
        <v>46</v>
      </c>
      <c r="S2" s="66"/>
      <c r="T2" s="66"/>
      <c r="U2" s="66"/>
      <c r="V2" s="66"/>
      <c r="W2" s="66"/>
      <c r="X2" s="66"/>
      <c r="Y2" s="66"/>
      <c r="Z2" s="66"/>
      <c r="AA2" s="66"/>
      <c r="AB2" s="67"/>
    </row>
    <row r="3" spans="1:43" s="23" customFormat="1" x14ac:dyDescent="0.25">
      <c r="A3" s="45" t="s">
        <v>17</v>
      </c>
      <c r="B3" s="9" t="s">
        <v>47</v>
      </c>
      <c r="C3" s="9" t="s">
        <v>115</v>
      </c>
      <c r="D3" s="9" t="s">
        <v>116</v>
      </c>
      <c r="E3" s="9" t="s">
        <v>48</v>
      </c>
      <c r="F3" s="9" t="s">
        <v>49</v>
      </c>
      <c r="G3" s="9" t="s">
        <v>50</v>
      </c>
      <c r="H3" s="9" t="s">
        <v>74</v>
      </c>
      <c r="I3" s="8" t="s">
        <v>51</v>
      </c>
      <c r="J3" s="10" t="s">
        <v>52</v>
      </c>
      <c r="K3" s="10" t="s">
        <v>53</v>
      </c>
      <c r="L3" s="8" t="s">
        <v>54</v>
      </c>
      <c r="M3" s="10" t="s">
        <v>55</v>
      </c>
      <c r="N3" s="10" t="s">
        <v>56</v>
      </c>
      <c r="O3" s="8" t="s">
        <v>57</v>
      </c>
      <c r="P3" s="10" t="s">
        <v>58</v>
      </c>
      <c r="Q3" s="10" t="s">
        <v>59</v>
      </c>
      <c r="R3" s="12" t="s">
        <v>117</v>
      </c>
      <c r="S3" s="9" t="s">
        <v>118</v>
      </c>
      <c r="T3" s="9" t="s">
        <v>119</v>
      </c>
      <c r="U3" s="10" t="s">
        <v>109</v>
      </c>
      <c r="V3" s="10" t="s">
        <v>110</v>
      </c>
      <c r="W3" s="10" t="s">
        <v>111</v>
      </c>
      <c r="X3" s="10" t="s">
        <v>112</v>
      </c>
      <c r="Y3" s="51" t="s">
        <v>113</v>
      </c>
      <c r="Z3" s="10" t="s">
        <v>114</v>
      </c>
      <c r="AA3" s="10" t="s">
        <v>60</v>
      </c>
      <c r="AB3" s="11" t="s">
        <v>91</v>
      </c>
    </row>
    <row r="4" spans="1:43" s="23" customFormat="1" x14ac:dyDescent="0.25">
      <c r="A4" s="46" t="s">
        <v>18</v>
      </c>
      <c r="B4" s="13">
        <v>1</v>
      </c>
      <c r="C4" s="17">
        <v>6.0000000000000001E-3</v>
      </c>
      <c r="D4" s="29">
        <v>7.0000000000000001E-3</v>
      </c>
      <c r="E4" s="14">
        <v>0.33333333333333298</v>
      </c>
      <c r="F4" s="14">
        <v>0.06</v>
      </c>
      <c r="G4" s="14">
        <v>0.39</v>
      </c>
      <c r="H4" s="13">
        <v>2</v>
      </c>
      <c r="I4" s="15">
        <v>1</v>
      </c>
      <c r="J4" s="13">
        <v>300</v>
      </c>
      <c r="K4" s="13">
        <v>0</v>
      </c>
      <c r="L4" s="15">
        <v>10</v>
      </c>
      <c r="M4" s="13">
        <v>1000</v>
      </c>
      <c r="N4" s="13">
        <v>0</v>
      </c>
      <c r="O4" s="15">
        <v>0</v>
      </c>
      <c r="P4" s="13">
        <v>0</v>
      </c>
      <c r="Q4" s="13">
        <v>0</v>
      </c>
      <c r="R4" s="25">
        <v>2608.173175888986</v>
      </c>
      <c r="S4" s="26">
        <v>371.80937317502492</v>
      </c>
      <c r="T4" s="26">
        <v>3950.1816700085992</v>
      </c>
      <c r="U4" s="26">
        <v>1.4848563749557619E-3</v>
      </c>
      <c r="V4" s="26">
        <v>3.5496975076391545E-4</v>
      </c>
      <c r="W4" s="26">
        <v>2.3993200368405275E-3</v>
      </c>
      <c r="X4" s="26">
        <v>5.2630964607356208E-3</v>
      </c>
      <c r="Y4" s="26">
        <v>4.847238991796286E-4</v>
      </c>
      <c r="Z4" s="26">
        <v>6.0536144674013474E-3</v>
      </c>
      <c r="AA4" s="37">
        <v>91.127393678000701</v>
      </c>
      <c r="AB4" s="52">
        <v>43.261320828720699</v>
      </c>
      <c r="AD4" s="26">
        <f>('Valves and Pressure Drop'!$E2/2+100)/100*R4</f>
        <v>2971.1899657142376</v>
      </c>
      <c r="AE4" s="26">
        <f>('Valves and Pressure Drop'!$E2/2+100)/100*S4</f>
        <v>423.55940508421031</v>
      </c>
      <c r="AF4" s="26">
        <f>('Valves and Pressure Drop'!$E2/2+100)/100*T4</f>
        <v>4499.9849891782724</v>
      </c>
      <c r="AG4" s="26">
        <f>('Valves and Pressure Drop'!$E2/2+100)/100*U4</f>
        <v>1.691525088356771E-3</v>
      </c>
      <c r="AH4" s="26">
        <f>('Valves and Pressure Drop'!$E2/2+100)/100*V4</f>
        <v>4.0437597140854914E-4</v>
      </c>
      <c r="AI4" s="26">
        <f>('Valves and Pressure Drop'!$E2/2+100)/100*W4</f>
        <v>2.7332677461372377E-3</v>
      </c>
      <c r="AJ4" s="26">
        <f>('Valves and Pressure Drop'!$E2/2+100)/100*X4</f>
        <v>5.9956369221509827E-3</v>
      </c>
      <c r="AK4" s="26">
        <f>('Valves and Pressure Drop'!$E2/2+100)/100*Y4</f>
        <v>5.5218986173857234E-4</v>
      </c>
      <c r="AL4" s="26">
        <f>('Valves and Pressure Drop'!$E2/2+100)/100*Z4</f>
        <v>6.8961826339291338E-3</v>
      </c>
      <c r="AM4" s="26"/>
      <c r="AN4" s="26"/>
      <c r="AO4" s="26"/>
      <c r="AP4" s="26"/>
      <c r="AQ4" s="26"/>
    </row>
    <row r="5" spans="1:43" s="23" customFormat="1" x14ac:dyDescent="0.25">
      <c r="A5" s="46" t="s">
        <v>19</v>
      </c>
      <c r="B5" s="13">
        <v>0</v>
      </c>
      <c r="C5" s="17">
        <v>7.0000000000000001E-3</v>
      </c>
      <c r="D5" s="29">
        <v>7.4999999999999997E-3</v>
      </c>
      <c r="E5" s="14">
        <v>0.33</v>
      </c>
      <c r="F5" s="14">
        <v>6.5000000000000002E-2</v>
      </c>
      <c r="G5" s="14">
        <v>0.35</v>
      </c>
      <c r="H5" s="13">
        <v>1</v>
      </c>
      <c r="I5" s="15">
        <v>1</v>
      </c>
      <c r="J5" s="13">
        <v>500</v>
      </c>
      <c r="K5" s="13">
        <v>0</v>
      </c>
      <c r="L5" s="15">
        <v>10</v>
      </c>
      <c r="M5" s="13">
        <v>1000</v>
      </c>
      <c r="N5" s="13">
        <v>0</v>
      </c>
      <c r="O5" s="15">
        <v>0</v>
      </c>
      <c r="P5" s="13">
        <v>0</v>
      </c>
      <c r="Q5" s="13">
        <v>0</v>
      </c>
      <c r="R5" s="25">
        <v>2495.4010875122676</v>
      </c>
      <c r="S5" s="26">
        <v>789.43018395780939</v>
      </c>
      <c r="T5" s="26">
        <v>8912.2732512394487</v>
      </c>
      <c r="U5" s="26">
        <v>5.3957316741526796E-4</v>
      </c>
      <c r="V5" s="26">
        <v>2.0191150269493316E-4</v>
      </c>
      <c r="W5" s="26">
        <v>7.2410365628866897E-5</v>
      </c>
      <c r="X5" s="26">
        <v>7.6238602938952307E-3</v>
      </c>
      <c r="Y5" s="26">
        <v>3.7636701175129358E-4</v>
      </c>
      <c r="Z5" s="26">
        <v>3.8304946406556668E-3</v>
      </c>
      <c r="AA5" s="37">
        <v>135.67627158359201</v>
      </c>
      <c r="AB5" s="52">
        <v>47.171691300973698</v>
      </c>
      <c r="AD5" s="26">
        <f>('Valves and Pressure Drop'!$E3/2+100)/100*R5</f>
        <v>2633.2353924029408</v>
      </c>
      <c r="AE5" s="26">
        <f>('Valves and Pressure Drop'!$E3/2+100)/100*S5</f>
        <v>833.03462142081344</v>
      </c>
      <c r="AF5" s="26">
        <f>('Valves and Pressure Drop'!$E3/2+100)/100*T5</f>
        <v>9404.5456136775738</v>
      </c>
      <c r="AG5" s="26">
        <f>('Valves and Pressure Drop'!$E3/2+100)/100*U5</f>
        <v>5.693766698824747E-4</v>
      </c>
      <c r="AH5" s="26">
        <f>('Valves and Pressure Drop'!$E3/2+100)/100*V5</f>
        <v>2.1306415136638672E-4</v>
      </c>
      <c r="AI5" s="26">
        <f>('Valves and Pressure Drop'!$E3/2+100)/100*W5</f>
        <v>7.6409976137686679E-5</v>
      </c>
      <c r="AJ5" s="26">
        <f>('Valves and Pressure Drop'!$E3/2+100)/100*X5</f>
        <v>8.0449667402502142E-3</v>
      </c>
      <c r="AK5" s="26">
        <f>('Valves and Pressure Drop'!$E3/2+100)/100*Y5</f>
        <v>3.9715576819935472E-4</v>
      </c>
      <c r="AL5" s="26">
        <f>('Valves and Pressure Drop'!$E3/2+100)/100*Z5</f>
        <v>4.0420732797868111E-3</v>
      </c>
    </row>
    <row r="6" spans="1:43" s="23" customFormat="1" x14ac:dyDescent="0.25">
      <c r="A6" s="46" t="s">
        <v>75</v>
      </c>
      <c r="B6" s="23">
        <v>0</v>
      </c>
      <c r="C6" s="23">
        <v>8.5000000000000006E-3</v>
      </c>
      <c r="D6" s="23">
        <v>8.9999999999999993E-3</v>
      </c>
      <c r="E6" s="23">
        <v>0.33</v>
      </c>
      <c r="F6" s="23">
        <v>7.4999999999999997E-2</v>
      </c>
      <c r="G6" s="23">
        <v>0.45</v>
      </c>
      <c r="H6" s="13">
        <v>1</v>
      </c>
      <c r="I6" s="24">
        <v>1</v>
      </c>
      <c r="J6" s="23">
        <v>500</v>
      </c>
      <c r="K6" s="23">
        <v>0</v>
      </c>
      <c r="L6" s="24">
        <v>10</v>
      </c>
      <c r="M6" s="23">
        <v>1000</v>
      </c>
      <c r="N6" s="23">
        <v>0</v>
      </c>
      <c r="O6" s="24">
        <v>0</v>
      </c>
      <c r="P6" s="23">
        <v>0</v>
      </c>
      <c r="Q6" s="23">
        <v>0</v>
      </c>
      <c r="R6" s="25">
        <v>233.13552749652655</v>
      </c>
      <c r="S6" s="26">
        <v>18.670493857979821</v>
      </c>
      <c r="T6" s="26">
        <v>71.374832526370398</v>
      </c>
      <c r="U6" s="26">
        <v>4.4191434245411992E-4</v>
      </c>
      <c r="V6" s="26">
        <v>7.7585831749582413E-5</v>
      </c>
      <c r="W6" s="26">
        <v>1.4065570750165701E-4</v>
      </c>
      <c r="X6" s="26">
        <v>1.3085009677445917E-3</v>
      </c>
      <c r="Y6" s="26">
        <v>1.139405672487886E-4</v>
      </c>
      <c r="Z6" s="26">
        <v>9.71277623601476E-4</v>
      </c>
      <c r="AA6" s="37">
        <v>133.00291303165599</v>
      </c>
      <c r="AB6" s="52">
        <v>59.6570893210219</v>
      </c>
      <c r="AD6" s="26">
        <f>('Valves and Pressure Drop'!$E4/2+100)/100*R6</f>
        <v>234.64166774833521</v>
      </c>
      <c r="AE6" s="26">
        <f>('Valves and Pressure Drop'!$E4/2+100)/100*S6</f>
        <v>18.791112034980188</v>
      </c>
      <c r="AF6" s="26">
        <f>('Valves and Pressure Drop'!$E4/2+100)/100*T6</f>
        <v>71.835939889063837</v>
      </c>
      <c r="AG6" s="26">
        <f>('Valves and Pressure Drop'!$E4/2+100)/100*U6</f>
        <v>4.4476926974113164E-4</v>
      </c>
      <c r="AH6" s="26">
        <f>('Valves and Pressure Drop'!$E4/2+100)/100*V6</f>
        <v>7.8087064424940493E-5</v>
      </c>
      <c r="AI6" s="26">
        <f>('Valves and Pressure Drop'!$E4/2+100)/100*W6</f>
        <v>1.4156439450011557E-4</v>
      </c>
      <c r="AJ6" s="26">
        <f>('Valves and Pressure Drop'!$E4/2+100)/100*X6</f>
        <v>1.3169543596330505E-3</v>
      </c>
      <c r="AK6" s="26">
        <f>('Valves and Pressure Drop'!$E4/2+100)/100*Y6</f>
        <v>1.1467666473032697E-4</v>
      </c>
      <c r="AL6" s="26">
        <f>('Valves and Pressure Drop'!$E4/2+100)/100*Z6</f>
        <v>9.7755243010692818E-4</v>
      </c>
    </row>
    <row r="7" spans="1:43" s="23" customFormat="1" x14ac:dyDescent="0.25">
      <c r="A7" s="46" t="s">
        <v>76</v>
      </c>
      <c r="B7" s="23">
        <v>0</v>
      </c>
      <c r="C7" s="23">
        <v>8.0000000000000002E-3</v>
      </c>
      <c r="D7" s="29">
        <v>8.5000000000000006E-3</v>
      </c>
      <c r="E7" s="23">
        <v>0.33</v>
      </c>
      <c r="F7" s="23">
        <v>7.0000000000000007E-2</v>
      </c>
      <c r="G7" s="23">
        <v>0.45</v>
      </c>
      <c r="H7" s="13">
        <v>1</v>
      </c>
      <c r="I7" s="24">
        <v>1</v>
      </c>
      <c r="J7" s="23">
        <v>500</v>
      </c>
      <c r="K7" s="23">
        <v>0</v>
      </c>
      <c r="L7" s="24">
        <v>10</v>
      </c>
      <c r="M7" s="23">
        <v>1000</v>
      </c>
      <c r="N7" s="23">
        <v>0</v>
      </c>
      <c r="O7" s="24">
        <v>0</v>
      </c>
      <c r="P7" s="23">
        <v>0</v>
      </c>
      <c r="Q7" s="23">
        <v>0</v>
      </c>
      <c r="R7" s="25">
        <v>214.21131751150483</v>
      </c>
      <c r="S7" s="26">
        <v>19.543639851407782</v>
      </c>
      <c r="T7" s="26">
        <v>96.972100114606164</v>
      </c>
      <c r="U7" s="26">
        <v>4.5009674924383704E-4</v>
      </c>
      <c r="V7" s="26">
        <v>8.325914783063693E-5</v>
      </c>
      <c r="W7" s="26">
        <v>2.8664817646080698E-4</v>
      </c>
      <c r="X7" s="26">
        <v>1.1960351827043822E-3</v>
      </c>
      <c r="Y7" s="26">
        <v>1.0914183521929252E-4</v>
      </c>
      <c r="Z7" s="26">
        <v>1.006790413860145E-3</v>
      </c>
      <c r="AA7" s="37">
        <v>146.91796047890901</v>
      </c>
      <c r="AB7" s="52">
        <v>55.367097463428401</v>
      </c>
      <c r="AD7" s="26">
        <f>('Valves and Pressure Drop'!$E5/2+100)/100*R7</f>
        <v>221.13073239351695</v>
      </c>
      <c r="AE7" s="26">
        <f>('Valves and Pressure Drop'!$E5/2+100)/100*S7</f>
        <v>20.174934938929258</v>
      </c>
      <c r="AF7" s="26">
        <f>('Valves and Pressure Drop'!$E5/2+100)/100*T7</f>
        <v>100.10447519388711</v>
      </c>
      <c r="AG7" s="26">
        <f>('Valves and Pressure Drop'!$E5/2+100)/100*U7</f>
        <v>4.6463569228962555E-4</v>
      </c>
      <c r="AH7" s="26">
        <f>('Valves and Pressure Drop'!$E5/2+100)/100*V7</f>
        <v>8.59485696280264E-5</v>
      </c>
      <c r="AI7" s="26">
        <f>('Valves and Pressure Drop'!$E5/2+100)/100*W7</f>
        <v>2.9590743353996677E-4</v>
      </c>
      <c r="AJ7" s="26">
        <f>('Valves and Pressure Drop'!$E5/2+100)/100*X7</f>
        <v>1.23466929288472E-3</v>
      </c>
      <c r="AK7" s="26">
        <f>('Valves and Pressure Drop'!$E5/2+100)/100*Y7</f>
        <v>1.1266731486079619E-4</v>
      </c>
      <c r="AL7" s="26">
        <f>('Valves and Pressure Drop'!$E5/2+100)/100*Z7</f>
        <v>1.0393115740568134E-3</v>
      </c>
    </row>
    <row r="8" spans="1:43" s="23" customFormat="1" x14ac:dyDescent="0.25">
      <c r="A8" s="46" t="s">
        <v>77</v>
      </c>
      <c r="B8" s="23">
        <v>0</v>
      </c>
      <c r="C8" s="23">
        <v>6.0000000000000001E-3</v>
      </c>
      <c r="D8" s="23">
        <v>6.7999999999999996E-3</v>
      </c>
      <c r="E8" s="23">
        <v>0.5</v>
      </c>
      <c r="F8" s="23">
        <v>0.12</v>
      </c>
      <c r="G8" s="23">
        <v>0.7</v>
      </c>
      <c r="H8" s="13">
        <v>2</v>
      </c>
      <c r="I8" s="24">
        <v>1</v>
      </c>
      <c r="J8" s="23">
        <v>500</v>
      </c>
      <c r="K8" s="23">
        <v>0</v>
      </c>
      <c r="L8" s="24">
        <v>10</v>
      </c>
      <c r="M8" s="23">
        <v>1000</v>
      </c>
      <c r="N8" s="23">
        <v>0</v>
      </c>
      <c r="O8" s="24">
        <v>0</v>
      </c>
      <c r="P8" s="23">
        <v>0</v>
      </c>
      <c r="Q8" s="23">
        <v>0</v>
      </c>
      <c r="R8" s="25">
        <v>58.292549113605645</v>
      </c>
      <c r="S8" s="26">
        <v>7.6333713999086292</v>
      </c>
      <c r="T8" s="26">
        <v>5.725205354089737</v>
      </c>
      <c r="U8" s="26">
        <v>1.7695813644866192E-4</v>
      </c>
      <c r="V8" s="26">
        <v>3.4292990199516325E-5</v>
      </c>
      <c r="W8" s="26">
        <v>3.7206355446416086E-6</v>
      </c>
      <c r="X8" s="26">
        <v>3.3296192737694303E-4</v>
      </c>
      <c r="Y8" s="26">
        <v>4.0275306698554143E-5</v>
      </c>
      <c r="Z8" s="26">
        <v>1.1959564637292466E-4</v>
      </c>
      <c r="AA8" s="37">
        <v>149.87101148453499</v>
      </c>
      <c r="AB8" s="52">
        <v>41.630397373854798</v>
      </c>
      <c r="AD8" s="26">
        <f>('Valves and Pressure Drop'!$E6/2+100)/100*R8</f>
        <v>60.040529956153776</v>
      </c>
      <c r="AE8" s="26">
        <f>('Valves and Pressure Drop'!$E6/2+100)/100*S8</f>
        <v>7.8622683545621497</v>
      </c>
      <c r="AF8" s="26">
        <f>('Valves and Pressure Drop'!$E6/2+100)/100*T8</f>
        <v>5.8968833717914384</v>
      </c>
      <c r="AG8" s="26">
        <f>('Valves and Pressure Drop'!$E6/2+100)/100*U8</f>
        <v>1.8226446525309369E-4</v>
      </c>
      <c r="AH8" s="26">
        <f>('Valves and Pressure Drop'!$E6/2+100)/100*V8</f>
        <v>3.5321311842915764E-5</v>
      </c>
      <c r="AI8" s="26">
        <f>('Valves and Pressure Drop'!$E6/2+100)/100*W8</f>
        <v>3.8322038282907316E-6</v>
      </c>
      <c r="AJ8" s="26">
        <f>('Valves and Pressure Drop'!$E6/2+100)/100*X8</f>
        <v>3.4294624062456797E-4</v>
      </c>
      <c r="AK8" s="26">
        <f>('Valves and Pressure Drop'!$E6/2+100)/100*Y8</f>
        <v>4.148301618471198E-5</v>
      </c>
      <c r="AL8" s="26">
        <f>('Valves and Pressure Drop'!$E6/2+100)/100*Z8</f>
        <v>1.2318188341163466E-4</v>
      </c>
    </row>
    <row r="9" spans="1:43" s="23" customFormat="1" x14ac:dyDescent="0.25">
      <c r="A9" s="46" t="s">
        <v>78</v>
      </c>
      <c r="B9" s="50">
        <v>0</v>
      </c>
      <c r="C9" s="17">
        <v>6.0000000000000001E-3</v>
      </c>
      <c r="D9" s="29">
        <v>7.0000000000000001E-3</v>
      </c>
      <c r="E9" s="14">
        <v>0.45</v>
      </c>
      <c r="F9" s="14">
        <v>0.08</v>
      </c>
      <c r="G9" s="14">
        <v>0.55000000000000004</v>
      </c>
      <c r="H9" s="13">
        <v>2</v>
      </c>
      <c r="I9" s="15">
        <v>2</v>
      </c>
      <c r="J9" s="13">
        <v>500</v>
      </c>
      <c r="K9" s="13">
        <v>0</v>
      </c>
      <c r="L9" s="15">
        <v>20</v>
      </c>
      <c r="M9" s="13">
        <v>500</v>
      </c>
      <c r="N9" s="13">
        <v>0</v>
      </c>
      <c r="O9" s="15">
        <v>0</v>
      </c>
      <c r="P9" s="13">
        <v>0</v>
      </c>
      <c r="Q9" s="13">
        <v>0</v>
      </c>
      <c r="R9" s="25">
        <v>84.969651226145587</v>
      </c>
      <c r="S9" s="26">
        <v>11.590702370130474</v>
      </c>
      <c r="T9" s="26">
        <v>61.05915547111384</v>
      </c>
      <c r="U9" s="26">
        <v>3.2334976451915231E-4</v>
      </c>
      <c r="V9" s="26">
        <v>6.1094490265607593E-5</v>
      </c>
      <c r="W9" s="26">
        <v>2.9058895976531973E-4</v>
      </c>
      <c r="X9" s="26">
        <v>5.1088346076922156E-4</v>
      </c>
      <c r="Y9" s="26">
        <v>6.8700238287784879E-5</v>
      </c>
      <c r="Z9" s="26">
        <v>4.7068906227572477E-4</v>
      </c>
      <c r="AA9" s="37">
        <v>118.033332127951</v>
      </c>
      <c r="AB9" s="52">
        <v>43.3637076844864</v>
      </c>
      <c r="AD9" s="26">
        <f>('Valves and Pressure Drop'!$E7/2+100)/100*R9</f>
        <v>89.014237658392489</v>
      </c>
      <c r="AE9" s="26">
        <f>('Valves and Pressure Drop'!$E7/2+100)/100*S9</f>
        <v>12.142424036277747</v>
      </c>
      <c r="AF9" s="26">
        <f>('Valves and Pressure Drop'!$E7/2+100)/100*T9</f>
        <v>63.965593572473615</v>
      </c>
      <c r="AG9" s="26">
        <f>('Valves and Pressure Drop'!$E7/2+100)/100*U9</f>
        <v>3.3874133140888399E-4</v>
      </c>
      <c r="AH9" s="26">
        <f>('Valves and Pressure Drop'!$E7/2+100)/100*V9</f>
        <v>6.4002610316090771E-5</v>
      </c>
      <c r="AI9" s="26">
        <f>('Valves and Pressure Drop'!$E7/2+100)/100*W9</f>
        <v>3.0442110038337965E-4</v>
      </c>
      <c r="AJ9" s="26">
        <f>('Valves and Pressure Drop'!$E7/2+100)/100*X9</f>
        <v>5.3520170009430806E-4</v>
      </c>
      <c r="AK9" s="26">
        <f>('Valves and Pressure Drop'!$E7/2+100)/100*Y9</f>
        <v>7.1970394722008338E-5</v>
      </c>
      <c r="AL9" s="26">
        <f>('Valves and Pressure Drop'!$E7/2+100)/100*Z9</f>
        <v>4.9309403355212356E-4</v>
      </c>
    </row>
    <row r="10" spans="1:43" s="23" customFormat="1" x14ac:dyDescent="0.25">
      <c r="A10" s="47" t="s">
        <v>79</v>
      </c>
      <c r="B10" s="18">
        <v>0</v>
      </c>
      <c r="C10" s="20">
        <v>6.0000000000000001E-3</v>
      </c>
      <c r="D10" s="30">
        <v>6.4999999999999997E-3</v>
      </c>
      <c r="E10" s="19">
        <v>0.45</v>
      </c>
      <c r="F10" s="19">
        <v>6.5000000000000002E-2</v>
      </c>
      <c r="G10" s="19">
        <v>0.35</v>
      </c>
      <c r="H10" s="18">
        <v>2</v>
      </c>
      <c r="I10" s="21">
        <v>1</v>
      </c>
      <c r="J10" s="18">
        <v>500</v>
      </c>
      <c r="K10" s="18">
        <v>0</v>
      </c>
      <c r="L10" s="21">
        <v>10</v>
      </c>
      <c r="M10" s="18">
        <v>1000</v>
      </c>
      <c r="N10" s="18">
        <v>0</v>
      </c>
      <c r="O10" s="21">
        <v>0</v>
      </c>
      <c r="P10" s="18">
        <v>0</v>
      </c>
      <c r="Q10" s="18">
        <v>0</v>
      </c>
      <c r="R10" s="27">
        <v>165.38620564488301</v>
      </c>
      <c r="S10" s="28">
        <v>35.071243864097902</v>
      </c>
      <c r="T10" s="28">
        <v>350.756451581634</v>
      </c>
      <c r="U10" s="28">
        <v>4.5595989233014801E-4</v>
      </c>
      <c r="V10" s="28">
        <v>1.61557666454422E-4</v>
      </c>
      <c r="W10" s="28">
        <v>1.5787462617446401E-3</v>
      </c>
      <c r="X10" s="28">
        <v>8.6369220318138805E-4</v>
      </c>
      <c r="Y10" s="28">
        <v>1.7277556020072501E-4</v>
      </c>
      <c r="Z10" s="28">
        <v>1.9787936244740202E-3</v>
      </c>
      <c r="AA10" s="38">
        <v>90.225142255446201</v>
      </c>
      <c r="AB10" s="53">
        <v>39.515087305645999</v>
      </c>
      <c r="AD10" s="26">
        <f>('Valves and Pressure Drop'!$E8/2+100)/100*R10</f>
        <v>178.84789517335156</v>
      </c>
      <c r="AE10" s="26">
        <f>('Valves and Pressure Drop'!$E8/2+100)/100*S10</f>
        <v>37.925884578749915</v>
      </c>
      <c r="AF10" s="26">
        <f>('Valves and Pressure Drop'!$E8/2+100)/100*T10</f>
        <v>379.3064411825676</v>
      </c>
      <c r="AG10" s="26">
        <f>('Valves and Pressure Drop'!$E8/2+100)/100*U10</f>
        <v>4.9307296644687261E-4</v>
      </c>
      <c r="AH10" s="26">
        <f>('Valves and Pressure Drop'!$E8/2+100)/100*V10</f>
        <v>1.7470773019929756E-4</v>
      </c>
      <c r="AI10" s="26">
        <f>('Valves and Pressure Drop'!$E8/2+100)/100*W10</f>
        <v>1.7072490708934893E-3</v>
      </c>
      <c r="AJ10" s="26">
        <f>('Valves and Pressure Drop'!$E8/2+100)/100*X10</f>
        <v>9.339928442901864E-4</v>
      </c>
      <c r="AK10" s="26">
        <f>('Valves and Pressure Drop'!$E8/2+100)/100*Y10</f>
        <v>1.8683870978723559E-4</v>
      </c>
      <c r="AL10" s="26">
        <f>('Valves and Pressure Drop'!$E8/2+100)/100*Z10</f>
        <v>2.1398584805768267E-3</v>
      </c>
    </row>
    <row r="12" spans="1:43" x14ac:dyDescent="0.25">
      <c r="X12" s="31"/>
      <c r="Z12" s="31"/>
    </row>
    <row r="13" spans="1:43" x14ac:dyDescent="0.25">
      <c r="X13" s="31"/>
    </row>
    <row r="14" spans="1:43" x14ac:dyDescent="0.25">
      <c r="X14" s="31"/>
      <c r="Y14" s="31"/>
    </row>
    <row r="15" spans="1:43" x14ac:dyDescent="0.25"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43" x14ac:dyDescent="0.25"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12:24" x14ac:dyDescent="0.25"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2:24" x14ac:dyDescent="0.25"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2:24" x14ac:dyDescent="0.25"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2:24" x14ac:dyDescent="0.25"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2:24" x14ac:dyDescent="0.25"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spans="12:24" x14ac:dyDescent="0.25"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2:24" x14ac:dyDescent="0.25"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2:24" x14ac:dyDescent="0.25">
      <c r="L24" s="23"/>
      <c r="M24" s="23"/>
      <c r="N24" s="23"/>
      <c r="O24" s="23"/>
      <c r="P24" s="23"/>
      <c r="Q24" s="26"/>
      <c r="R24" s="23"/>
      <c r="S24" s="23"/>
      <c r="T24" s="23"/>
      <c r="U24" s="23"/>
      <c r="V24" s="23"/>
      <c r="W24" s="23"/>
      <c r="X24" s="23"/>
    </row>
    <row r="25" spans="12:24" x14ac:dyDescent="0.25">
      <c r="L25" s="23"/>
      <c r="M25" s="16"/>
      <c r="N25" s="16"/>
      <c r="O25" s="16"/>
      <c r="P25" s="23"/>
      <c r="Q25" s="23"/>
      <c r="R25" s="23"/>
      <c r="S25" s="23"/>
      <c r="T25" s="23"/>
      <c r="U25" s="23"/>
      <c r="V25" s="23"/>
      <c r="W25" s="23"/>
      <c r="X25" s="23"/>
    </row>
    <row r="26" spans="12:24" x14ac:dyDescent="0.25">
      <c r="L26" s="23"/>
      <c r="M26" s="23"/>
      <c r="N26" s="23"/>
      <c r="O26" s="26"/>
      <c r="P26" s="23"/>
      <c r="Q26" s="26"/>
      <c r="R26" s="23"/>
      <c r="S26" s="26"/>
      <c r="T26" s="23"/>
      <c r="U26" s="23"/>
      <c r="V26" s="23"/>
      <c r="W26" s="23"/>
      <c r="X26" s="23"/>
    </row>
    <row r="27" spans="12:24" x14ac:dyDescent="0.25">
      <c r="L27" s="23"/>
      <c r="M27" s="23"/>
      <c r="N27" s="23"/>
      <c r="O27" s="26"/>
      <c r="P27" s="23"/>
      <c r="Q27" s="26"/>
      <c r="R27" s="23"/>
      <c r="S27" s="26"/>
      <c r="T27" s="23"/>
      <c r="U27" s="23"/>
      <c r="V27" s="23"/>
      <c r="W27" s="23"/>
      <c r="X27" s="23"/>
    </row>
    <row r="28" spans="12:24" x14ac:dyDescent="0.25">
      <c r="L28" s="23"/>
      <c r="M28" s="23"/>
      <c r="N28" s="23"/>
      <c r="O28" s="26"/>
      <c r="P28" s="23"/>
      <c r="Q28" s="26"/>
      <c r="R28" s="23"/>
      <c r="S28" s="26"/>
      <c r="T28" s="23"/>
      <c r="U28" s="23"/>
      <c r="V28" s="23"/>
      <c r="W28" s="23"/>
      <c r="X28" s="23"/>
    </row>
    <row r="29" spans="12:24" x14ac:dyDescent="0.25"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2:24" x14ac:dyDescent="0.25"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2:24" x14ac:dyDescent="0.25"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2:24" x14ac:dyDescent="0.25"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2:24" x14ac:dyDescent="0.25"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2:24" x14ac:dyDescent="0.25"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2:24" x14ac:dyDescent="0.25"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</sheetData>
  <mergeCells count="4">
    <mergeCell ref="I2:K2"/>
    <mergeCell ref="L2:N2"/>
    <mergeCell ref="O2:Q2"/>
    <mergeCell ref="R2:A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9691-B23A-4265-B676-8F187760D4B1}">
  <dimension ref="A1:J10"/>
  <sheetViews>
    <sheetView topLeftCell="C1" workbookViewId="0">
      <selection activeCell="D37" sqref="D37"/>
    </sheetView>
  </sheetViews>
  <sheetFormatPr defaultRowHeight="15" x14ac:dyDescent="0.25"/>
  <cols>
    <col min="1" max="1" width="14.7109375" bestFit="1" customWidth="1"/>
    <col min="2" max="2" width="17.42578125" customWidth="1"/>
    <col min="3" max="3" width="17.140625" customWidth="1"/>
    <col min="4" max="4" width="13.140625" customWidth="1"/>
    <col min="5" max="5" width="20.28515625" customWidth="1"/>
    <col min="6" max="9" width="17.28515625" customWidth="1"/>
    <col min="10" max="10" width="13.7109375" customWidth="1"/>
  </cols>
  <sheetData>
    <row r="1" spans="1:10" x14ac:dyDescent="0.25">
      <c r="A1" s="23" t="s">
        <v>42</v>
      </c>
    </row>
    <row r="2" spans="1:10" x14ac:dyDescent="0.25">
      <c r="A2" s="23"/>
      <c r="F2" s="65" t="s">
        <v>46</v>
      </c>
      <c r="G2" s="66"/>
      <c r="H2" s="66"/>
      <c r="I2" s="66"/>
      <c r="J2" s="67"/>
    </row>
    <row r="3" spans="1:10" ht="30" x14ac:dyDescent="0.25">
      <c r="A3" s="45" t="s">
        <v>17</v>
      </c>
      <c r="B3" s="42" t="s">
        <v>92</v>
      </c>
      <c r="C3" s="42" t="s">
        <v>93</v>
      </c>
      <c r="D3" s="40" t="s">
        <v>95</v>
      </c>
      <c r="E3" s="42" t="s">
        <v>94</v>
      </c>
      <c r="F3" s="39" t="s">
        <v>96</v>
      </c>
      <c r="G3" s="40" t="s">
        <v>97</v>
      </c>
      <c r="H3" s="40" t="s">
        <v>98</v>
      </c>
      <c r="I3" s="40" t="s">
        <v>99</v>
      </c>
      <c r="J3" s="41" t="s">
        <v>100</v>
      </c>
    </row>
    <row r="4" spans="1:10" x14ac:dyDescent="0.25">
      <c r="A4" s="46" t="s">
        <v>18</v>
      </c>
      <c r="B4" s="23">
        <v>36</v>
      </c>
      <c r="C4" s="23">
        <v>29</v>
      </c>
      <c r="D4" s="23">
        <v>2</v>
      </c>
      <c r="E4" s="23">
        <v>22</v>
      </c>
      <c r="F4" s="54">
        <v>36.230454732068402</v>
      </c>
      <c r="G4" s="37">
        <v>37.663516520014099</v>
      </c>
      <c r="H4" s="37">
        <v>30.449493161173301</v>
      </c>
      <c r="I4" s="37">
        <v>31.176307773105702</v>
      </c>
      <c r="J4" s="3">
        <v>2059965786.4955001</v>
      </c>
    </row>
    <row r="5" spans="1:10" x14ac:dyDescent="0.25">
      <c r="A5" s="46" t="s">
        <v>19</v>
      </c>
      <c r="B5" s="23">
        <v>36.5</v>
      </c>
      <c r="C5" s="23">
        <v>28.5</v>
      </c>
      <c r="D5" s="23">
        <v>2.2666666666666702</v>
      </c>
      <c r="E5" s="23">
        <v>15.2</v>
      </c>
      <c r="F5" s="54">
        <v>36.4833465919559</v>
      </c>
      <c r="G5" s="37">
        <v>37.938965531622401</v>
      </c>
      <c r="H5" s="37">
        <v>30.479320114784699</v>
      </c>
      <c r="I5" s="37">
        <v>31.250655093091101</v>
      </c>
      <c r="J5" s="3">
        <v>3660010478.5302801</v>
      </c>
    </row>
    <row r="6" spans="1:10" x14ac:dyDescent="0.25">
      <c r="A6" s="46" t="s">
        <v>75</v>
      </c>
      <c r="B6" s="23">
        <v>37.200000000000003</v>
      </c>
      <c r="C6" s="43"/>
      <c r="D6" s="23">
        <v>2.2666666666666702</v>
      </c>
      <c r="E6" s="23">
        <v>4.5</v>
      </c>
      <c r="F6" s="54">
        <v>36.815663352033397</v>
      </c>
      <c r="G6" s="37">
        <v>37</v>
      </c>
      <c r="H6" s="55"/>
      <c r="I6" s="55"/>
      <c r="J6" s="48">
        <v>-4337346.4320512097</v>
      </c>
    </row>
    <row r="7" spans="1:10" x14ac:dyDescent="0.25">
      <c r="A7" s="46" t="s">
        <v>76</v>
      </c>
      <c r="B7" s="23">
        <v>37</v>
      </c>
      <c r="C7" s="43"/>
      <c r="D7" s="23">
        <v>2.2666666666666702</v>
      </c>
      <c r="E7" s="23">
        <v>4.5</v>
      </c>
      <c r="F7" s="54">
        <v>36.926701130609899</v>
      </c>
      <c r="G7" s="37">
        <v>37.055635857325903</v>
      </c>
      <c r="H7" s="55"/>
      <c r="I7" s="55"/>
      <c r="J7" s="48">
        <v>-690249.94815891702</v>
      </c>
    </row>
    <row r="8" spans="1:10" x14ac:dyDescent="0.25">
      <c r="A8" s="46" t="s">
        <v>77</v>
      </c>
      <c r="B8" s="23">
        <v>37</v>
      </c>
      <c r="C8" s="43"/>
      <c r="D8" s="23">
        <v>0.1</v>
      </c>
      <c r="E8" s="23">
        <v>10</v>
      </c>
      <c r="F8" s="54">
        <v>36.959347505559599</v>
      </c>
      <c r="G8" s="37">
        <v>37.022325711577103</v>
      </c>
      <c r="H8" s="55"/>
      <c r="I8" s="55"/>
      <c r="J8" s="48">
        <v>-152096.762405338</v>
      </c>
    </row>
    <row r="9" spans="1:10" x14ac:dyDescent="0.25">
      <c r="A9" s="46" t="s">
        <v>78</v>
      </c>
      <c r="B9" s="23">
        <v>37</v>
      </c>
      <c r="C9" s="43"/>
      <c r="D9" s="23">
        <v>1</v>
      </c>
      <c r="E9" s="23">
        <v>15</v>
      </c>
      <c r="F9" s="54">
        <v>36.975144973660498</v>
      </c>
      <c r="G9" s="37">
        <v>37.075061182253897</v>
      </c>
      <c r="H9" s="55"/>
      <c r="I9" s="55"/>
      <c r="J9" s="48">
        <v>959642.12251960603</v>
      </c>
    </row>
    <row r="10" spans="1:10" x14ac:dyDescent="0.25">
      <c r="A10" s="47" t="s">
        <v>79</v>
      </c>
      <c r="B10" s="1">
        <v>37</v>
      </c>
      <c r="C10" s="44"/>
      <c r="D10" s="1">
        <v>1</v>
      </c>
      <c r="E10" s="1">
        <v>18</v>
      </c>
      <c r="F10" s="56">
        <v>36.987937254094902</v>
      </c>
      <c r="G10" s="38">
        <v>37.179911488939098</v>
      </c>
      <c r="H10" s="57"/>
      <c r="I10" s="57"/>
      <c r="J10" s="49">
        <v>9468855.4997045305</v>
      </c>
    </row>
  </sheetData>
  <mergeCells count="1">
    <mergeCell ref="F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2659-451F-4A9A-A90E-79F819C9DD82}">
  <dimension ref="A1:AA17"/>
  <sheetViews>
    <sheetView workbookViewId="0">
      <selection activeCell="AA20" sqref="AA20"/>
    </sheetView>
  </sheetViews>
  <sheetFormatPr defaultRowHeight="15" x14ac:dyDescent="0.25"/>
  <cols>
    <col min="1" max="1" width="14" bestFit="1" customWidth="1"/>
    <col min="2" max="2" width="19" bestFit="1" customWidth="1"/>
    <col min="3" max="3" width="10.28515625" customWidth="1"/>
    <col min="4" max="4" width="11.7109375" customWidth="1"/>
    <col min="5" max="5" width="20.85546875" bestFit="1" customWidth="1"/>
    <col min="6" max="6" width="19.140625" bestFit="1" customWidth="1"/>
    <col min="7" max="7" width="22.85546875" bestFit="1" customWidth="1"/>
    <col min="8" max="8" width="19.42578125" bestFit="1" customWidth="1"/>
    <col min="10" max="10" width="20" bestFit="1" customWidth="1"/>
    <col min="11" max="11" width="23.42578125" bestFit="1" customWidth="1"/>
    <col min="12" max="12" width="14.85546875" bestFit="1" customWidth="1"/>
    <col min="13" max="13" width="16.28515625" bestFit="1" customWidth="1"/>
    <col min="14" max="14" width="20.28515625" bestFit="1" customWidth="1"/>
    <col min="15" max="15" width="14.85546875" bestFit="1" customWidth="1"/>
    <col min="16" max="16" width="13.5703125" bestFit="1" customWidth="1"/>
    <col min="17" max="17" width="14.28515625" bestFit="1" customWidth="1"/>
    <col min="18" max="18" width="16.7109375" bestFit="1" customWidth="1"/>
    <col min="19" max="19" width="17.7109375" bestFit="1" customWidth="1"/>
    <col min="20" max="21" width="17.7109375" customWidth="1"/>
    <col min="22" max="22" width="9.85546875" bestFit="1" customWidth="1"/>
    <col min="23" max="24" width="12.140625" bestFit="1" customWidth="1"/>
    <col min="25" max="25" width="11.5703125" bestFit="1" customWidth="1"/>
    <col min="26" max="26" width="30.28515625" bestFit="1" customWidth="1"/>
  </cols>
  <sheetData>
    <row r="1" spans="1:27" x14ac:dyDescent="0.25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111</v>
      </c>
      <c r="G1" t="s">
        <v>120</v>
      </c>
      <c r="H1" t="s">
        <v>114</v>
      </c>
      <c r="J1" t="s">
        <v>101</v>
      </c>
      <c r="K1" t="s">
        <v>128</v>
      </c>
      <c r="L1" t="s">
        <v>102</v>
      </c>
      <c r="M1" t="s">
        <v>108</v>
      </c>
      <c r="N1" t="s">
        <v>103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s="58" t="s">
        <v>135</v>
      </c>
      <c r="U1" s="61"/>
      <c r="V1" t="s">
        <v>134</v>
      </c>
      <c r="W1" t="s">
        <v>105</v>
      </c>
      <c r="X1" t="s">
        <v>104</v>
      </c>
      <c r="Y1" t="s">
        <v>106</v>
      </c>
      <c r="Z1" t="s">
        <v>107</v>
      </c>
      <c r="AA1" t="s">
        <v>126</v>
      </c>
    </row>
    <row r="2" spans="1:27" x14ac:dyDescent="0.25">
      <c r="A2" t="s">
        <v>73</v>
      </c>
      <c r="B2" s="31">
        <v>2000000</v>
      </c>
      <c r="C2" s="32">
        <f>(B2*4/(3*PI()))^(1/3)/100</f>
        <v>0.94683205640999235</v>
      </c>
      <c r="D2" s="32">
        <f>C2*3</f>
        <v>2.8404961692299771</v>
      </c>
      <c r="E2" s="33">
        <f t="shared" ref="E2:E8" si="0">D2*9.8</f>
        <v>27.836862458453776</v>
      </c>
      <c r="F2" s="31">
        <f>'PID &amp; Gas Output'!W4</f>
        <v>2.3993200368405275E-3</v>
      </c>
      <c r="G2" s="31">
        <f>'PID &amp; Gas Output'!T4/10/24/3600</f>
        <v>4.5719695254729164E-3</v>
      </c>
      <c r="H2" s="31">
        <f>'PID &amp; Gas Output'!Z4</f>
        <v>6.0536144674013474E-3</v>
      </c>
      <c r="J2" s="33">
        <f>29*(100000+E2*1000)/(8.314*298)/1000</f>
        <v>1.4963314936135699</v>
      </c>
      <c r="K2" s="33">
        <f>29*(100000)/(8.314*288)/1000</f>
        <v>1.2111431855237487</v>
      </c>
      <c r="L2" s="33">
        <f>J2/K2</f>
        <v>1.2354703485917677</v>
      </c>
      <c r="M2" s="31">
        <f>G2*127133</f>
        <v>581.24820168194833</v>
      </c>
      <c r="N2" s="32">
        <f>E2*0.145</f>
        <v>4.0363450564757972</v>
      </c>
      <c r="O2" s="32">
        <v>5</v>
      </c>
      <c r="P2" s="32">
        <v>0.5</v>
      </c>
      <c r="Q2" s="32">
        <f>P2+O2</f>
        <v>5.5</v>
      </c>
      <c r="R2" s="32">
        <f>Q2+14.7+N2-P2/2</f>
        <v>23.986345056475798</v>
      </c>
      <c r="S2" s="32">
        <f>R2-O2</f>
        <v>18.986345056475798</v>
      </c>
      <c r="T2" s="59">
        <f>R2-14.7</f>
        <v>9.286345056475799</v>
      </c>
      <c r="U2" s="32"/>
      <c r="V2" s="32">
        <f>M2/963*SQRT(1*537/(R2^2-S2^2))</f>
        <v>0.95420393896487787</v>
      </c>
      <c r="W2" s="32">
        <f>F2/963*SQRT(1*537/(R2^2-S2^2))*127133*0.95</f>
        <v>0.47571808743980704</v>
      </c>
      <c r="X2" s="32">
        <f>H2/963*SQRT(1*537/(R2^2-S2^2))*127133*1.05</f>
        <v>1.3266059352463029</v>
      </c>
      <c r="Y2" s="32">
        <f>X2/W2</f>
        <v>2.7886388394138142</v>
      </c>
      <c r="Z2" t="s">
        <v>123</v>
      </c>
      <c r="AA2">
        <f>1.25/2</f>
        <v>0.625</v>
      </c>
    </row>
    <row r="3" spans="1:27" x14ac:dyDescent="0.25">
      <c r="A3" t="s">
        <v>69</v>
      </c>
      <c r="B3" s="31">
        <v>500000</v>
      </c>
      <c r="C3" s="32">
        <f>(B3*4/(1.5*PI()))^(1/3)/100</f>
        <v>0.75150110119121716</v>
      </c>
      <c r="D3" s="32">
        <f>C3*1.5</f>
        <v>1.1272516517868256</v>
      </c>
      <c r="E3" s="33">
        <f t="shared" si="0"/>
        <v>11.047066187510891</v>
      </c>
      <c r="F3" s="31">
        <f>'PID &amp; Gas Output'!W5</f>
        <v>7.2410365628866897E-5</v>
      </c>
      <c r="G3" s="31">
        <f>'PID &amp; Gas Output'!T5/30/24/3600</f>
        <v>3.4383770259411453E-3</v>
      </c>
      <c r="H3" s="31">
        <f>'PID &amp; Gas Output'!Z5</f>
        <v>3.8304946406556668E-3</v>
      </c>
      <c r="J3" s="33">
        <f t="shared" ref="J3:J8" si="1">29*(100000+E3*1000+E704)/(8.314*298)/1000</f>
        <v>1.2998067944898537</v>
      </c>
      <c r="K3" s="33">
        <f t="shared" ref="K3:K8" si="2">29*(100000)/(8.314*288)/1000</f>
        <v>1.2111431855237487</v>
      </c>
      <c r="L3" s="33">
        <f t="shared" ref="L3:L8" si="3">J3/K3</f>
        <v>1.073206545704803</v>
      </c>
      <c r="M3" s="31">
        <f t="shared" ref="M3:M8" si="4">G3*127133</f>
        <v>437.13118643897565</v>
      </c>
      <c r="N3" s="32">
        <f t="shared" ref="N3:N8" si="5">E3*0.145</f>
        <v>1.6018245971890792</v>
      </c>
      <c r="O3" s="32">
        <v>4</v>
      </c>
      <c r="P3" s="32">
        <v>0.5</v>
      </c>
      <c r="Q3" s="32">
        <f t="shared" ref="Q3:Q8" si="6">P3+O3</f>
        <v>4.5</v>
      </c>
      <c r="R3" s="32">
        <f t="shared" ref="R3:R8" si="7">Q3+14.7+N3-P3/2</f>
        <v>20.551824597189079</v>
      </c>
      <c r="S3" s="32">
        <f t="shared" ref="S3:S8" si="8">R3-O3</f>
        <v>16.551824597189079</v>
      </c>
      <c r="T3" s="59">
        <f t="shared" ref="T3:T8" si="9">R3-14.7</f>
        <v>5.8518245971890792</v>
      </c>
      <c r="U3" s="32"/>
      <c r="V3" s="32">
        <f t="shared" ref="V3:V8" si="10">M3/963*SQRT(1*537/(R3^2-S3^2))</f>
        <v>0.86344432437924368</v>
      </c>
      <c r="W3" s="32">
        <f t="shared" ref="W3:W8" si="11">F3/963*SQRT(1*537/(R3^2-S3^2))*127133*0.95</f>
        <v>1.7274488172450964E-2</v>
      </c>
      <c r="X3" s="32">
        <f t="shared" ref="X3:X8" si="12">H3/963*SQRT(1*537/(R3^2-S3^2))*127133*1.05</f>
        <v>1.0100084352851455</v>
      </c>
      <c r="Y3" s="32">
        <f t="shared" ref="Y3:Y8" si="13">X3/W3</f>
        <v>58.468211920506469</v>
      </c>
      <c r="Z3" t="s">
        <v>122</v>
      </c>
      <c r="AA3">
        <v>0.5</v>
      </c>
    </row>
    <row r="4" spans="1:27" x14ac:dyDescent="0.25">
      <c r="A4" t="s">
        <v>67</v>
      </c>
      <c r="B4" s="31">
        <v>20000</v>
      </c>
      <c r="C4" s="32">
        <f>C5</f>
        <v>0.43948051003392441</v>
      </c>
      <c r="D4" s="32">
        <f>B4/1000000/(C4^2*PI()/4)</f>
        <v>0.13184415301017743</v>
      </c>
      <c r="E4" s="33">
        <f t="shared" si="0"/>
        <v>1.2920726994997389</v>
      </c>
      <c r="F4" s="31">
        <f>'PID &amp; Gas Output'!W6</f>
        <v>1.4065570750165701E-4</v>
      </c>
      <c r="G4" s="31">
        <f>'PID &amp; Gas Output'!T6/'Seed Train'!B11/24/3600</f>
        <v>3.3649596687773626E-4</v>
      </c>
      <c r="H4" s="31">
        <f>'PID &amp; Gas Output'!Z6</f>
        <v>9.71277623601476E-4</v>
      </c>
      <c r="J4" s="33">
        <f t="shared" si="1"/>
        <v>1.1856245179899887</v>
      </c>
      <c r="K4" s="33">
        <f t="shared" si="2"/>
        <v>1.2111431855237487</v>
      </c>
      <c r="L4" s="33">
        <f t="shared" si="3"/>
        <v>0.97893009857234625</v>
      </c>
      <c r="M4" s="31">
        <f t="shared" si="4"/>
        <v>42.779741757067242</v>
      </c>
      <c r="N4" s="32">
        <f t="shared" si="5"/>
        <v>0.18735054142746213</v>
      </c>
      <c r="O4" s="32">
        <f>O5+N5-N4</f>
        <v>3.7494021657098475</v>
      </c>
      <c r="P4" s="32">
        <v>0.5</v>
      </c>
      <c r="Q4" s="32">
        <f t="shared" si="6"/>
        <v>4.2494021657098475</v>
      </c>
      <c r="R4" s="32">
        <f t="shared" si="7"/>
        <v>18.886752707137312</v>
      </c>
      <c r="S4" s="32">
        <f t="shared" si="8"/>
        <v>15.137350541427464</v>
      </c>
      <c r="T4" s="59">
        <f t="shared" si="9"/>
        <v>4.1867527071373125</v>
      </c>
      <c r="U4" s="32"/>
      <c r="V4" s="32">
        <f t="shared" si="10"/>
        <v>9.1143280829553891E-2</v>
      </c>
      <c r="W4" s="32">
        <f t="shared" si="11"/>
        <v>3.6193098032206314E-2</v>
      </c>
      <c r="X4" s="32">
        <f t="shared" si="12"/>
        <v>0.27623421919262725</v>
      </c>
      <c r="Y4" s="32">
        <f t="shared" si="13"/>
        <v>7.6322347135584003</v>
      </c>
      <c r="Z4" t="s">
        <v>124</v>
      </c>
      <c r="AA4">
        <v>0.16</v>
      </c>
    </row>
    <row r="5" spans="1:27" x14ac:dyDescent="0.25">
      <c r="A5" t="s">
        <v>68</v>
      </c>
      <c r="B5" s="31">
        <v>100000</v>
      </c>
      <c r="C5" s="32">
        <f>(B5*4/(1.5*PI()))^(1/3)/100</f>
        <v>0.43948051003392441</v>
      </c>
      <c r="D5" s="32">
        <f>C5*1.5</f>
        <v>0.65922076505088656</v>
      </c>
      <c r="E5" s="33">
        <f t="shared" si="0"/>
        <v>6.4603634974986885</v>
      </c>
      <c r="F5" s="31">
        <f>'PID &amp; Gas Output'!W7</f>
        <v>2.8664817646080698E-4</v>
      </c>
      <c r="G5" s="31">
        <f>'PID &amp; Gas Output'!T7/'Seed Train'!B12/24/3600</f>
        <v>4.5810704891631785E-4</v>
      </c>
      <c r="H5" s="31">
        <f>'PID &amp; Gas Output'!Z7</f>
        <v>1.006790413860145E-3</v>
      </c>
      <c r="J5" s="33">
        <f t="shared" si="1"/>
        <v>1.2461194029588087</v>
      </c>
      <c r="K5" s="33">
        <f t="shared" si="2"/>
        <v>1.2111431855237487</v>
      </c>
      <c r="L5" s="33">
        <f t="shared" si="3"/>
        <v>1.0288786807811952</v>
      </c>
      <c r="M5" s="31">
        <f t="shared" si="4"/>
        <v>58.240523449878239</v>
      </c>
      <c r="N5" s="32">
        <f t="shared" si="5"/>
        <v>0.93675270713730974</v>
      </c>
      <c r="O5" s="32">
        <v>3</v>
      </c>
      <c r="P5" s="32">
        <v>0.5</v>
      </c>
      <c r="Q5" s="32">
        <f t="shared" si="6"/>
        <v>3.5</v>
      </c>
      <c r="R5" s="32">
        <f t="shared" si="7"/>
        <v>18.886752707137308</v>
      </c>
      <c r="S5" s="32">
        <f t="shared" si="8"/>
        <v>15.886752707137308</v>
      </c>
      <c r="T5" s="59">
        <f t="shared" si="9"/>
        <v>4.186752707137309</v>
      </c>
      <c r="U5" s="32"/>
      <c r="V5" s="32">
        <f t="shared" si="10"/>
        <v>0.13721489625524089</v>
      </c>
      <c r="W5" s="32">
        <f t="shared" si="11"/>
        <v>8.1565607631390133E-2</v>
      </c>
      <c r="X5" s="32">
        <f t="shared" si="12"/>
        <v>0.31663772614098606</v>
      </c>
      <c r="Y5" s="32">
        <f t="shared" si="13"/>
        <v>3.8820004574958817</v>
      </c>
      <c r="Z5" t="s">
        <v>124</v>
      </c>
      <c r="AA5">
        <v>0.16</v>
      </c>
    </row>
    <row r="6" spans="1:27" x14ac:dyDescent="0.25">
      <c r="A6" t="s">
        <v>70</v>
      </c>
      <c r="B6" s="31">
        <v>20000</v>
      </c>
      <c r="C6" s="32">
        <f>(B6*4/(3*PI()))^(1/3)/100</f>
        <v>0.20398878279639124</v>
      </c>
      <c r="D6" s="32">
        <f>C6*3</f>
        <v>0.61196634838917374</v>
      </c>
      <c r="E6" s="33">
        <f t="shared" si="0"/>
        <v>5.9972702142139029</v>
      </c>
      <c r="F6" s="31">
        <f>'PID &amp; Gas Output'!W8</f>
        <v>3.7206355446416086E-6</v>
      </c>
      <c r="G6" s="31">
        <f>'PID &amp; Gas Output'!T8/'Seed Train'!B8/24/3600</f>
        <v>2.6991426011209819E-5</v>
      </c>
      <c r="H6" s="31">
        <f>'PID &amp; Gas Output'!Z8</f>
        <v>1.1959564637292466E-4</v>
      </c>
      <c r="J6" s="33">
        <f t="shared" si="1"/>
        <v>1.2406988923882749</v>
      </c>
      <c r="K6" s="33">
        <f t="shared" si="2"/>
        <v>1.2111431855237487</v>
      </c>
      <c r="L6" s="33">
        <f t="shared" si="3"/>
        <v>1.0244031483789797</v>
      </c>
      <c r="M6" s="31">
        <f>G6*127133</f>
        <v>3.4315009630831379</v>
      </c>
      <c r="N6" s="32">
        <f t="shared" si="5"/>
        <v>0.86960418106101589</v>
      </c>
      <c r="O6" s="32">
        <f>O7+N7-N6</f>
        <v>2.5108064107511856</v>
      </c>
      <c r="P6" s="32">
        <v>0.5</v>
      </c>
      <c r="Q6" s="32">
        <f t="shared" si="6"/>
        <v>3.0108064107511856</v>
      </c>
      <c r="R6" s="32">
        <f t="shared" si="7"/>
        <v>18.330410591812203</v>
      </c>
      <c r="S6" s="32">
        <f t="shared" si="8"/>
        <v>15.819604181061017</v>
      </c>
      <c r="T6" s="59">
        <f t="shared" si="9"/>
        <v>3.630410591812204</v>
      </c>
      <c r="U6" s="32"/>
      <c r="V6" s="32">
        <f>M6/963*SQRT(1*537/(R6^2-S6^2))</f>
        <v>8.9174959028301675E-3</v>
      </c>
      <c r="W6" s="32">
        <f t="shared" si="11"/>
        <v>1.1677713730616544E-3</v>
      </c>
      <c r="X6" s="32">
        <f t="shared" si="12"/>
        <v>4.1487929181220483E-2</v>
      </c>
      <c r="Y6" s="32">
        <f t="shared" si="13"/>
        <v>35.527441533737665</v>
      </c>
      <c r="Z6" t="s">
        <v>125</v>
      </c>
      <c r="AA6">
        <v>2.5000000000000001E-2</v>
      </c>
    </row>
    <row r="7" spans="1:27" x14ac:dyDescent="0.25">
      <c r="A7" t="s">
        <v>71</v>
      </c>
      <c r="B7" s="31">
        <v>80000</v>
      </c>
      <c r="C7" s="32">
        <f>(B7*4/(3*PI()))^(1/3)/100</f>
        <v>0.32381200840070401</v>
      </c>
      <c r="D7" s="32">
        <f>C7*3</f>
        <v>0.97143602520211203</v>
      </c>
      <c r="E7" s="33">
        <f t="shared" si="0"/>
        <v>9.5200730469806985</v>
      </c>
      <c r="F7" s="31">
        <f>'PID &amp; Gas Output'!W9</f>
        <v>2.9058895976531973E-4</v>
      </c>
      <c r="G7" s="31">
        <f>'PID &amp; Gas Output'!T9/'Seed Train'!B9/24/3600</f>
        <v>3.333505605297532E-4</v>
      </c>
      <c r="H7" s="31">
        <f>'PID &amp; Gas Output'!Z9</f>
        <v>4.7068906227572477E-4</v>
      </c>
      <c r="J7" s="33">
        <f t="shared" si="1"/>
        <v>1.2819333276136637</v>
      </c>
      <c r="K7" s="33">
        <f t="shared" si="2"/>
        <v>1.2111431855237487</v>
      </c>
      <c r="L7" s="33">
        <f t="shared" si="3"/>
        <v>1.058449028105048</v>
      </c>
      <c r="M7" s="31">
        <f t="shared" si="4"/>
        <v>42.379856811829114</v>
      </c>
      <c r="N7" s="32">
        <f t="shared" si="5"/>
        <v>1.3804105918122012</v>
      </c>
      <c r="O7" s="32">
        <v>2</v>
      </c>
      <c r="P7" s="32">
        <v>0.5</v>
      </c>
      <c r="Q7" s="32">
        <f t="shared" si="6"/>
        <v>2.5</v>
      </c>
      <c r="R7" s="32">
        <f t="shared" si="7"/>
        <v>18.3304105918122</v>
      </c>
      <c r="S7" s="32">
        <f t="shared" si="8"/>
        <v>16.3304105918122</v>
      </c>
      <c r="T7" s="59">
        <f t="shared" si="9"/>
        <v>3.6304105918122005</v>
      </c>
      <c r="U7" s="32"/>
      <c r="V7" s="32">
        <f t="shared" si="10"/>
        <v>0.12248584962454512</v>
      </c>
      <c r="W7" s="32">
        <f t="shared" si="11"/>
        <v>0.10143490922353357</v>
      </c>
      <c r="X7" s="32">
        <f t="shared" si="12"/>
        <v>0.18159677635073487</v>
      </c>
      <c r="Y7" s="32">
        <f t="shared" si="13"/>
        <v>1.7902788866360342</v>
      </c>
      <c r="Z7" t="s">
        <v>127</v>
      </c>
      <c r="AA7">
        <v>0.1</v>
      </c>
    </row>
    <row r="8" spans="1:27" ht="15.75" thickBot="1" x14ac:dyDescent="0.3">
      <c r="A8" t="s">
        <v>72</v>
      </c>
      <c r="B8" s="31">
        <v>400000</v>
      </c>
      <c r="C8" s="32">
        <f>(B8*4/(3*PI()))^(1/3)/100</f>
        <v>0.55371074561027633</v>
      </c>
      <c r="D8" s="32">
        <f>C8*3</f>
        <v>1.661132236830829</v>
      </c>
      <c r="E8" s="33">
        <f t="shared" si="0"/>
        <v>16.279095920942126</v>
      </c>
      <c r="F8" s="31">
        <f>'PID &amp; Gas Output'!W10</f>
        <v>1.5787462617446401E-3</v>
      </c>
      <c r="G8" s="31">
        <f>'PID &amp; Gas Output'!T10/'Seed Train'!B10/24/3600</f>
        <v>1.6536379440184148E-3</v>
      </c>
      <c r="H8" s="31">
        <f>'PID &amp; Gas Output'!Z10</f>
        <v>1.9787936244740202E-3</v>
      </c>
      <c r="J8" s="33">
        <f t="shared" si="1"/>
        <v>1.3610477442057471</v>
      </c>
      <c r="K8" s="33">
        <f t="shared" si="2"/>
        <v>1.2111431855237487</v>
      </c>
      <c r="L8" s="33">
        <f t="shared" si="3"/>
        <v>1.1237711283634673</v>
      </c>
      <c r="M8" s="31">
        <f t="shared" si="4"/>
        <v>210.23195273689313</v>
      </c>
      <c r="N8" s="32">
        <f t="shared" si="5"/>
        <v>2.3604689085366082</v>
      </c>
      <c r="O8" s="32">
        <f>O7+N7-N8</f>
        <v>1.0199416832755932</v>
      </c>
      <c r="P8" s="32">
        <v>0.5</v>
      </c>
      <c r="Q8" s="32">
        <f t="shared" si="6"/>
        <v>1.5199416832755932</v>
      </c>
      <c r="R8" s="32">
        <f t="shared" si="7"/>
        <v>18.3304105918122</v>
      </c>
      <c r="S8" s="32">
        <f t="shared" si="8"/>
        <v>17.310468908536606</v>
      </c>
      <c r="T8" s="60">
        <f t="shared" si="9"/>
        <v>3.6304105918122005</v>
      </c>
      <c r="U8" s="32"/>
      <c r="V8" s="32">
        <f t="shared" si="10"/>
        <v>0.83906905250741692</v>
      </c>
      <c r="W8" s="32">
        <f t="shared" si="11"/>
        <v>0.76101499608435608</v>
      </c>
      <c r="X8" s="32">
        <f t="shared" si="12"/>
        <v>1.0542584139902125</v>
      </c>
      <c r="Y8" s="32">
        <f t="shared" si="13"/>
        <v>1.3853319834887345</v>
      </c>
      <c r="Z8" t="s">
        <v>123</v>
      </c>
      <c r="AA8">
        <f>1.25/2</f>
        <v>0.625</v>
      </c>
    </row>
    <row r="10" spans="1:27" x14ac:dyDescent="0.25">
      <c r="W10" s="62" t="s">
        <v>121</v>
      </c>
      <c r="X10" s="62"/>
    </row>
    <row r="11" spans="1:27" x14ac:dyDescent="0.25">
      <c r="A11" s="34" t="s">
        <v>18</v>
      </c>
    </row>
    <row r="12" spans="1:27" x14ac:dyDescent="0.25">
      <c r="A12" s="34" t="s">
        <v>19</v>
      </c>
    </row>
    <row r="13" spans="1:27" x14ac:dyDescent="0.25">
      <c r="A13" s="34" t="s">
        <v>75</v>
      </c>
      <c r="U13" t="s">
        <v>137</v>
      </c>
      <c r="V13" t="s">
        <v>136</v>
      </c>
    </row>
    <row r="14" spans="1:27" x14ac:dyDescent="0.25">
      <c r="A14" s="34" t="s">
        <v>76</v>
      </c>
      <c r="V14" t="s">
        <v>138</v>
      </c>
    </row>
    <row r="15" spans="1:27" x14ac:dyDescent="0.25">
      <c r="A15" s="34" t="s">
        <v>77</v>
      </c>
    </row>
    <row r="16" spans="1:27" x14ac:dyDescent="0.25">
      <c r="A16" s="34" t="s">
        <v>78</v>
      </c>
    </row>
    <row r="17" spans="1:1" x14ac:dyDescent="0.25">
      <c r="A17" s="35" t="s">
        <v>79</v>
      </c>
    </row>
  </sheetData>
  <mergeCells count="1">
    <mergeCell ref="W10:X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Seed Train</vt:lpstr>
      <vt:lpstr>Reactors</vt:lpstr>
      <vt:lpstr>Feed &amp; Media Composition</vt:lpstr>
      <vt:lpstr>PID &amp; Gas Output</vt:lpstr>
      <vt:lpstr>Reactor Heating</vt:lpstr>
      <vt:lpstr>Valves and Pressure 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Thomson</dc:creator>
  <cp:lastModifiedBy>Marc Thomson</cp:lastModifiedBy>
  <dcterms:created xsi:type="dcterms:W3CDTF">2018-03-21T00:56:39Z</dcterms:created>
  <dcterms:modified xsi:type="dcterms:W3CDTF">2018-04-03T15:14:48Z</dcterms:modified>
</cp:coreProperties>
</file>