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3B605C52-BEDD-466C-97BC-C32778253A01}" xr6:coauthVersionLast="28" xr6:coauthVersionMax="28" xr10:uidLastSave="{00000000-0000-0000-0000-000000000000}"/>
  <bookViews>
    <workbookView xWindow="0" yWindow="0" windowWidth="23040" windowHeight="9045" activeTab="4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Dim" sheetId="5" r:id="rId5"/>
    <sheet name="Reactor Heating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8" i="5"/>
  <c r="Q6" i="5"/>
  <c r="M6" i="5"/>
  <c r="L3" i="5"/>
  <c r="L4" i="5"/>
  <c r="L5" i="5"/>
  <c r="L6" i="5"/>
  <c r="L7" i="5"/>
  <c r="L8" i="5"/>
  <c r="L2" i="5"/>
  <c r="K3" i="5"/>
  <c r="K4" i="5"/>
  <c r="K5" i="5"/>
  <c r="K6" i="5"/>
  <c r="K7" i="5"/>
  <c r="K8" i="5"/>
  <c r="J2" i="5"/>
  <c r="K2" i="5"/>
  <c r="Q5" i="5"/>
  <c r="R5" i="5" s="1"/>
  <c r="Q3" i="5"/>
  <c r="R3" i="5" s="1"/>
  <c r="Q2" i="5"/>
  <c r="R2" i="5" s="1"/>
  <c r="M5" i="5"/>
  <c r="M8" i="5"/>
  <c r="N3" i="5"/>
  <c r="N4" i="5"/>
  <c r="N5" i="5"/>
  <c r="N6" i="5"/>
  <c r="N7" i="5"/>
  <c r="N8" i="5"/>
  <c r="N2" i="5"/>
  <c r="J3" i="5"/>
  <c r="J4" i="5"/>
  <c r="J5" i="5"/>
  <c r="J6" i="5"/>
  <c r="J7" i="5"/>
  <c r="J8" i="5"/>
  <c r="G2" i="5"/>
  <c r="M2" i="5" s="1"/>
  <c r="G3" i="5"/>
  <c r="M3" i="5" s="1"/>
  <c r="G7" i="5"/>
  <c r="M7" i="5" s="1"/>
  <c r="G8" i="5"/>
  <c r="G6" i="5"/>
  <c r="G5" i="5"/>
  <c r="G4" i="5"/>
  <c r="M4" i="5" s="1"/>
  <c r="H3" i="5"/>
  <c r="H4" i="5"/>
  <c r="H5" i="5"/>
  <c r="H6" i="5"/>
  <c r="H7" i="5"/>
  <c r="H8" i="5"/>
  <c r="H2" i="5"/>
  <c r="F3" i="5"/>
  <c r="F4" i="5"/>
  <c r="F5" i="5"/>
  <c r="F6" i="5"/>
  <c r="F7" i="5"/>
  <c r="F8" i="5"/>
  <c r="F2" i="5"/>
  <c r="R6" i="5" l="1"/>
  <c r="Q8" i="5"/>
  <c r="R8" i="5" s="1"/>
  <c r="Q7" i="5"/>
  <c r="R7" i="5" s="1"/>
  <c r="O4" i="5"/>
  <c r="Q4" i="5" s="1"/>
  <c r="R4" i="5" s="1"/>
  <c r="S5" i="5"/>
  <c r="V5" i="5" s="1"/>
  <c r="S3" i="5"/>
  <c r="U3" i="5" s="1"/>
  <c r="S2" i="5"/>
  <c r="T2" i="5" s="1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T5" i="5" l="1"/>
  <c r="U5" i="5"/>
  <c r="W5" i="5" s="1"/>
  <c r="S6" i="5"/>
  <c r="T6" i="5" s="1"/>
  <c r="S4" i="5"/>
  <c r="T4" i="5" s="1"/>
  <c r="V2" i="5"/>
  <c r="U2" i="5"/>
  <c r="T3" i="5"/>
  <c r="V3" i="5"/>
  <c r="W3" i="5" s="1"/>
  <c r="S7" i="5"/>
  <c r="T7" i="5" s="1"/>
  <c r="S8" i="5"/>
  <c r="T8" i="5" s="1"/>
  <c r="C4" i="5"/>
  <c r="D4" i="5" s="1"/>
  <c r="E4" i="5" s="1"/>
  <c r="E3" i="5"/>
  <c r="E5" i="5"/>
  <c r="D6" i="3"/>
  <c r="V6" i="5" l="1"/>
  <c r="U6" i="5"/>
  <c r="W6" i="5" s="1"/>
  <c r="V8" i="5"/>
  <c r="U8" i="5"/>
  <c r="V7" i="5"/>
  <c r="U7" i="5"/>
  <c r="V4" i="5"/>
  <c r="U4" i="5"/>
  <c r="W2" i="5"/>
  <c r="W8" i="5" l="1"/>
  <c r="W7" i="5"/>
  <c r="W4" i="5"/>
</calcChain>
</file>

<file path=xl/sharedStrings.xml><?xml version="1.0" encoding="utf-8"?>
<sst xmlns="http://schemas.openxmlformats.org/spreadsheetml/2006/main" count="152" uniqueCount="128">
  <si>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</si>
  <si>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</si>
  <si>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</si>
  <si>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</si>
  <si>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</si>
  <si>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</si>
  <si>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</si>
  <si>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</si>
  <si>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</si>
  <si>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</si>
  <si>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</si>
  <si>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</si>
  <si>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</si>
  <si>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</si>
  <si>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</si>
  <si>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</si>
  <si>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</si>
  <si>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</si>
  <si>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</si>
  <si>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</si>
  <si>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</si>
  <si>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</si>
  <si>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</si>
  <si>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</si>
  <si>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</si>
  <si>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</si>
  <si>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</si>
  <si>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</si>
  <si>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</si>
  <si>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</si>
  <si>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</si>
  <si>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</si>
  <si>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</si>
  <si>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</si>
  <si>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</si>
  <si>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</si>
  <si>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</si>
  <si>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</si>
  <si>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</si>
  <si>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</si>
  <si>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</si>
  <si>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</si>
  <si>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</si>
  <si>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</si>
  <si>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</si>
  <si>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</si>
  <si>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</si>
  <si>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</si>
  <si>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</si>
  <si>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</si>
  <si>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</si>
  <si>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</si>
  <si>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</si>
  <si>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</si>
  <si>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</si>
  <si>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</si>
  <si>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</si>
  <si>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</si>
  <si>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</si>
  <si>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</si>
  <si>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</si>
  <si>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</si>
  <si>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</si>
  <si>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</si>
  <si>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</si>
  <si>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</si>
  <si>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</si>
  <si>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</si>
  <si>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</si>
  <si>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</si>
  <si>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</si>
  <si>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</si>
  <si>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</si>
  <si>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</si>
  <si>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</si>
  <si>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</si>
  <si>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</si>
  <si>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</si>
  <si>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</si>
  <si>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</si>
  <si>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</si>
  <si>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</si>
  <si>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</si>
  <si>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</si>
  <si>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</si>
  <si>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</si>
  <si>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</si>
  <si>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</si>
  <si>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</si>
  <si>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</si>
  <si>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</si>
  <si>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</si>
  <si>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</si>
  <si>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</si>
  <si>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</si>
  <si>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</si>
  <si>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</si>
  <si>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</si>
  <si>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</si>
  <si>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</si>
  <si>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</si>
  <si>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</si>
  <si>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</si>
  <si>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Cv</t>
  </si>
  <si>
    <t>hydrostatic drop (psi)</t>
  </si>
  <si>
    <t>valve drop</t>
  </si>
  <si>
    <t>filter drop</t>
  </si>
  <si>
    <t>total drop</t>
  </si>
  <si>
    <t>Pre Pressure</t>
  </si>
  <si>
    <t>post pressure</t>
  </si>
  <si>
    <t>standard density air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</si>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</sst>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51" t="s">
        <v>11</v>
      </c>
      <c r="B14" s="51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A38" sqref="A37:A38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B35"/>
  <sheetViews>
    <sheetView workbookViewId="0">
      <selection activeCell="E7" sqref="E7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28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8" s="23" customFormat="1" x14ac:dyDescent="0.25">
      <c r="I2" s="52" t="s">
        <v>43</v>
      </c>
      <c r="J2" s="53"/>
      <c r="K2" s="53"/>
      <c r="L2" s="52" t="s">
        <v>44</v>
      </c>
      <c r="M2" s="53"/>
      <c r="N2" s="53"/>
      <c r="O2" s="52" t="s">
        <v>45</v>
      </c>
      <c r="P2" s="53"/>
      <c r="Q2" s="53"/>
      <c r="R2" s="54" t="s">
        <v>46</v>
      </c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s="23" customFormat="1" x14ac:dyDescent="0.25">
      <c r="A3" s="46" t="s">
        <v>17</v>
      </c>
      <c r="B3" s="9" t="s">
        <v>47</v>
      </c>
      <c r="C3" s="9" t="s">
        <v>122</v>
      </c>
      <c r="D3" s="9" t="s">
        <v>123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124</v>
      </c>
      <c r="S3" s="9" t="s">
        <v>125</v>
      </c>
      <c r="T3" s="9" t="s">
        <v>126</v>
      </c>
      <c r="U3" s="10" t="s">
        <v>116</v>
      </c>
      <c r="V3" s="10" t="s">
        <v>117</v>
      </c>
      <c r="W3" s="10" t="s">
        <v>118</v>
      </c>
      <c r="X3" s="10" t="s">
        <v>119</v>
      </c>
      <c r="Y3" s="58" t="s">
        <v>120</v>
      </c>
      <c r="Z3" s="10" t="s">
        <v>121</v>
      </c>
      <c r="AA3" s="10" t="s">
        <v>60</v>
      </c>
      <c r="AB3" s="11" t="s">
        <v>91</v>
      </c>
    </row>
    <row r="4" spans="1:28" s="23" customFormat="1" x14ac:dyDescent="0.25">
      <c r="A4" s="47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2289.5093864493401</v>
      </c>
      <c r="S4" s="26">
        <v>326.38210442599001</v>
      </c>
      <c r="T4" s="26">
        <v>3467.55272819728</v>
      </c>
      <c r="U4" s="26">
        <v>1.3034382223609899E-3</v>
      </c>
      <c r="V4" s="26">
        <v>3.11599928943583E-4</v>
      </c>
      <c r="W4" s="26">
        <v>2.1061736989799401E-3</v>
      </c>
      <c r="X4" s="26">
        <v>4.6200570038971199E-3</v>
      </c>
      <c r="Y4" s="26">
        <v>4.2550085526043299E-4</v>
      </c>
      <c r="Z4" s="26">
        <v>5.3139903719532904E-3</v>
      </c>
      <c r="AA4" s="37">
        <v>91.127393678000701</v>
      </c>
      <c r="AB4" s="3">
        <v>43.261320828720699</v>
      </c>
    </row>
    <row r="5" spans="1:28" s="23" customFormat="1" x14ac:dyDescent="0.25">
      <c r="A5" s="47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2364.7815935950098</v>
      </c>
      <c r="S5" s="26">
        <v>748.10818100301594</v>
      </c>
      <c r="T5" s="26">
        <v>8445.7684366207504</v>
      </c>
      <c r="U5" s="26">
        <v>5.1132970210149102E-4</v>
      </c>
      <c r="V5" s="26">
        <v>1.91342629246065E-4</v>
      </c>
      <c r="W5" s="26">
        <v>6.8620111084161499E-5</v>
      </c>
      <c r="X5" s="26">
        <v>7.2247962803913997E-3</v>
      </c>
      <c r="Y5" s="26">
        <v>3.5666642379847098E-4</v>
      </c>
      <c r="Z5" s="26">
        <v>3.6299908924129301E-3</v>
      </c>
      <c r="AA5" s="37">
        <v>135.67627158359201</v>
      </c>
      <c r="AB5" s="3">
        <v>47.171691300973698</v>
      </c>
    </row>
    <row r="6" spans="1:28" s="23" customFormat="1" x14ac:dyDescent="0.25">
      <c r="A6" s="47" t="s">
        <v>75</v>
      </c>
      <c r="B6" s="23">
        <v>0</v>
      </c>
      <c r="C6" s="23">
        <v>8.5000000000000006E-3</v>
      </c>
      <c r="D6" s="23">
        <v>8.9999999999999993E-3</v>
      </c>
      <c r="E6" s="23">
        <v>0.36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231.027168398382</v>
      </c>
      <c r="S6" s="26">
        <v>18.562111227642902</v>
      </c>
      <c r="T6" s="26">
        <v>71.517110254851801</v>
      </c>
      <c r="U6" s="26">
        <v>4.39050630768603E-4</v>
      </c>
      <c r="V6" s="26">
        <v>7.7179326839200602E-5</v>
      </c>
      <c r="W6" s="26">
        <v>1.43282608221107E-4</v>
      </c>
      <c r="X6" s="26">
        <v>1.29648057193552E-3</v>
      </c>
      <c r="Y6" s="26">
        <v>1.13209194699769E-4</v>
      </c>
      <c r="Z6" s="26">
        <v>9.6507230400850303E-4</v>
      </c>
      <c r="AA6" s="37">
        <v>114.561989290461</v>
      </c>
      <c r="AB6" s="3">
        <v>59.550522390457303</v>
      </c>
    </row>
    <row r="7" spans="1:28" s="23" customFormat="1" x14ac:dyDescent="0.25">
      <c r="A7" s="47" t="s">
        <v>76</v>
      </c>
      <c r="B7" s="23">
        <v>0</v>
      </c>
      <c r="C7" s="23">
        <v>8.0000000000000002E-3</v>
      </c>
      <c r="D7" s="29">
        <v>8.5000000000000006E-3</v>
      </c>
      <c r="E7" s="23">
        <v>0.36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206.98110265419101</v>
      </c>
      <c r="S7" s="26">
        <v>18.941672151772899</v>
      </c>
      <c r="T7" s="26">
        <v>94.455482671555203</v>
      </c>
      <c r="U7" s="26">
        <v>4.3598173807550398E-4</v>
      </c>
      <c r="V7" s="26">
        <v>8.0731159677504505E-5</v>
      </c>
      <c r="W7" s="26">
        <v>2.8072312163671299E-4</v>
      </c>
      <c r="X7" s="26">
        <v>1.15548822568161E-3</v>
      </c>
      <c r="Y7" s="26">
        <v>1.05720529760361E-4</v>
      </c>
      <c r="Z7" s="26">
        <v>9.7531859873896301E-4</v>
      </c>
      <c r="AA7" s="37">
        <v>126.547708101365</v>
      </c>
      <c r="AB7" s="3">
        <v>55.2681938511654</v>
      </c>
    </row>
    <row r="8" spans="1:28" s="23" customFormat="1" x14ac:dyDescent="0.25">
      <c r="A8" s="47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56.595457845619002</v>
      </c>
      <c r="S8" s="26">
        <v>7.4111384019514297</v>
      </c>
      <c r="T8" s="26">
        <v>5.5585254582608501</v>
      </c>
      <c r="U8" s="26">
        <v>1.7180629264130099E-4</v>
      </c>
      <c r="V8" s="26">
        <v>3.3294606441974197E-5</v>
      </c>
      <c r="W8" s="26">
        <v>3.6123153872598101E-6</v>
      </c>
      <c r="X8" s="26">
        <v>3.2326829091540899E-4</v>
      </c>
      <c r="Y8" s="26">
        <v>3.9102757678946303E-5</v>
      </c>
      <c r="Z8" s="26">
        <v>1.1611381670112299E-4</v>
      </c>
      <c r="AA8" s="37">
        <v>149.87101148453499</v>
      </c>
      <c r="AB8" s="3">
        <v>41.630397373854798</v>
      </c>
    </row>
    <row r="9" spans="1:28" s="23" customFormat="1" x14ac:dyDescent="0.25">
      <c r="A9" s="47" t="s">
        <v>78</v>
      </c>
      <c r="B9" s="57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81.108840781181698</v>
      </c>
      <c r="S9" s="26">
        <v>11.0640495696386</v>
      </c>
      <c r="T9" s="26">
        <v>58.284778716569598</v>
      </c>
      <c r="U9" s="26">
        <v>3.0865755229728998E-4</v>
      </c>
      <c r="V9" s="26">
        <v>5.8318507985541198E-5</v>
      </c>
      <c r="W9" s="26">
        <v>2.7738531734872098E-4</v>
      </c>
      <c r="X9" s="26">
        <v>4.8767018199222001E-4</v>
      </c>
      <c r="Y9" s="26">
        <v>6.55786696603339E-5</v>
      </c>
      <c r="Z9" s="26">
        <v>4.4930211738727498E-4</v>
      </c>
      <c r="AA9" s="37">
        <v>118.033332127951</v>
      </c>
      <c r="AB9" s="3">
        <v>43.3637076844864</v>
      </c>
    </row>
    <row r="10" spans="1:28" s="23" customFormat="1" x14ac:dyDescent="0.25">
      <c r="A10" s="48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152.93776307011899</v>
      </c>
      <c r="S10" s="28">
        <v>32.431468898795202</v>
      </c>
      <c r="T10" s="28">
        <v>324.35538912170102</v>
      </c>
      <c r="U10" s="28">
        <v>4.2164027955509699E-4</v>
      </c>
      <c r="V10" s="28">
        <v>1.4939739392426301E-4</v>
      </c>
      <c r="W10" s="28">
        <v>1.4599157214174199E-3</v>
      </c>
      <c r="X10" s="28">
        <v>7.9868301603877503E-4</v>
      </c>
      <c r="Y10" s="28">
        <v>1.5977092882234E-4</v>
      </c>
      <c r="Z10" s="28">
        <v>1.829851947594E-3</v>
      </c>
      <c r="AA10" s="38">
        <v>90.225142255446201</v>
      </c>
      <c r="AB10" s="2">
        <v>39.515087305645999</v>
      </c>
    </row>
    <row r="12" spans="1:28" x14ac:dyDescent="0.25">
      <c r="X12" s="31"/>
      <c r="Z12" s="31"/>
    </row>
    <row r="13" spans="1:28" x14ac:dyDescent="0.25">
      <c r="X13" s="31"/>
    </row>
    <row r="14" spans="1:28" x14ac:dyDescent="0.25">
      <c r="X14" s="31"/>
      <c r="Y14" s="31"/>
    </row>
    <row r="15" spans="1:28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8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X17"/>
  <sheetViews>
    <sheetView tabSelected="1" topLeftCell="H1" workbookViewId="0">
      <selection activeCell="N9" sqref="N9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0" customWidth="1"/>
    <col min="12" max="12" width="14.85546875" bestFit="1" customWidth="1"/>
    <col min="13" max="13" width="16.28515625" bestFit="1" customWidth="1"/>
    <col min="14" max="14" width="20.140625" bestFit="1" customWidth="1"/>
    <col min="15" max="15" width="12" bestFit="1" customWidth="1"/>
    <col min="16" max="16" width="10" bestFit="1" customWidth="1"/>
    <col min="17" max="17" width="9.7109375" bestFit="1" customWidth="1"/>
    <col min="18" max="18" width="12.140625" bestFit="1" customWidth="1"/>
    <col min="19" max="19" width="13.140625" bestFit="1" customWidth="1"/>
    <col min="21" max="22" width="12" bestFit="1" customWidth="1"/>
  </cols>
  <sheetData>
    <row r="1" spans="1:24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118</v>
      </c>
      <c r="G1" t="s">
        <v>127</v>
      </c>
      <c r="H1" t="s">
        <v>121</v>
      </c>
      <c r="J1" t="s">
        <v>101</v>
      </c>
      <c r="K1" t="s">
        <v>110</v>
      </c>
      <c r="L1" t="s">
        <v>102</v>
      </c>
      <c r="M1" t="s">
        <v>115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103</v>
      </c>
      <c r="U1" t="s">
        <v>112</v>
      </c>
      <c r="V1" t="s">
        <v>111</v>
      </c>
      <c r="W1" t="s">
        <v>113</v>
      </c>
      <c r="X1" t="s">
        <v>114</v>
      </c>
    </row>
    <row r="2" spans="1:24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>D2*9.8</f>
        <v>27.836862458453776</v>
      </c>
      <c r="F2" s="31">
        <f>'PID &amp; Gas Output'!W4</f>
        <v>2.1061736989799401E-3</v>
      </c>
      <c r="G2" s="31">
        <f>'PID &amp; Gas Output'!T4/10/24/3600</f>
        <v>4.0133712131912962E-3</v>
      </c>
      <c r="H2" s="31">
        <f>'PID &amp; Gas Output'!Z4</f>
        <v>5.3139903719532904E-3</v>
      </c>
      <c r="J2">
        <f>29*(100000+E2*1000)/(8.314*298)/1000</f>
        <v>1.4963314936135699</v>
      </c>
      <c r="K2">
        <f>29*(100000)/(8.314*288)/1000</f>
        <v>1.2111431855237487</v>
      </c>
      <c r="L2">
        <f>J2/K2</f>
        <v>1.2354703485917677</v>
      </c>
      <c r="M2" s="31">
        <f>G2*127133</f>
        <v>510.23192244664904</v>
      </c>
      <c r="N2">
        <f>E2*0.145</f>
        <v>4.0363450564757972</v>
      </c>
      <c r="O2">
        <v>5</v>
      </c>
      <c r="P2">
        <v>0</v>
      </c>
      <c r="Q2">
        <f>P2+O2</f>
        <v>5</v>
      </c>
      <c r="R2">
        <f>Q2+14.7+N2-O2/2</f>
        <v>21.236345056475798</v>
      </c>
      <c r="S2">
        <f>R2-O2</f>
        <v>16.236345056475798</v>
      </c>
      <c r="T2">
        <f>M2/963*SQRT(1*537/(R2^2-S2^2))</f>
        <v>0.89698678406218579</v>
      </c>
      <c r="U2">
        <f>F2/963*SQRT(1*537/(R2^2-S2^2))*127133</f>
        <v>0.47072893898148516</v>
      </c>
      <c r="V2">
        <f>H2/963*SQRT(1*537/(R2^2-S2^2))*127133</f>
        <v>1.1876746209293656</v>
      </c>
      <c r="W2">
        <f>V2/U2</f>
        <v>2.5230541880410704</v>
      </c>
    </row>
    <row r="3" spans="1:24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>D3*9.8</f>
        <v>11.047066187510891</v>
      </c>
      <c r="F3" s="31">
        <f>'PID &amp; Gas Output'!W5</f>
        <v>6.8620111084161499E-5</v>
      </c>
      <c r="G3" s="31">
        <f>'PID &amp; Gas Output'!T5/30/24/3600</f>
        <v>3.2583983165975121E-3</v>
      </c>
      <c r="H3" s="31">
        <f>'PID &amp; Gas Output'!Z5</f>
        <v>3.6299908924129301E-3</v>
      </c>
      <c r="J3">
        <f t="shared" ref="J3:J8" si="0">29*(100000+E3*1000+E704)/(8.314*298)/1000</f>
        <v>1.2998067944898537</v>
      </c>
      <c r="K3">
        <f t="shared" ref="K3:K8" si="1">29*(100000)/(8.314*288)/1000</f>
        <v>1.2111431855237487</v>
      </c>
      <c r="L3">
        <f t="shared" ref="L3:L8" si="2">J3/K3</f>
        <v>1.073206545704803</v>
      </c>
      <c r="M3" s="31">
        <f t="shared" ref="M3:M8" si="3">G3*127133</f>
        <v>414.24995318399152</v>
      </c>
      <c r="N3">
        <f t="shared" ref="N3:N8" si="4">E3*0.145</f>
        <v>1.6018245971890792</v>
      </c>
      <c r="O3">
        <v>5</v>
      </c>
      <c r="P3">
        <v>0</v>
      </c>
      <c r="Q3">
        <f t="shared" ref="Q3:Q8" si="5">P3+O3</f>
        <v>5</v>
      </c>
      <c r="R3">
        <f t="shared" ref="R3:R8" si="6">Q3+14.7+N3-O3/2</f>
        <v>18.801824597189079</v>
      </c>
      <c r="S3">
        <f t="shared" ref="S3:S8" si="7">R3-O3</f>
        <v>13.801824597189079</v>
      </c>
      <c r="T3">
        <f t="shared" ref="T3:T8" si="8">M3/963*SQRT(1*537/(R3^2-S3^2))</f>
        <v>0.78073781653662033</v>
      </c>
      <c r="U3">
        <f t="shared" ref="U3:U8" si="9">F3/963*SQRT(1*537/(R3^2-S3^2))*127133</f>
        <v>1.6441917314238001E-2</v>
      </c>
      <c r="V3">
        <f t="shared" ref="V3:V8" si="10">H3/963*SQRT(1*537/(R3^2-S3^2))*127133</f>
        <v>0.86977431486942502</v>
      </c>
      <c r="W3">
        <f t="shared" ref="W3:W8" si="11">V3/U3</f>
        <v>52.899810785220133</v>
      </c>
    </row>
    <row r="4" spans="1:24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>D4*9.8</f>
        <v>1.2920726994997389</v>
      </c>
      <c r="F4" s="31">
        <f>'PID &amp; Gas Output'!W6</f>
        <v>1.43282608221107E-4</v>
      </c>
      <c r="G4" s="31">
        <f>'PID &amp; Gas Output'!T6/'Seed Train'!B11/24/3600</f>
        <v>3.3716673387102939E-4</v>
      </c>
      <c r="H4" s="31">
        <f>'PID &amp; Gas Output'!Z6</f>
        <v>9.6507230400850303E-4</v>
      </c>
      <c r="J4">
        <f t="shared" si="0"/>
        <v>1.1856245179899887</v>
      </c>
      <c r="K4">
        <f t="shared" si="1"/>
        <v>1.2111431855237487</v>
      </c>
      <c r="L4">
        <f t="shared" si="2"/>
        <v>0.97893009857234625</v>
      </c>
      <c r="M4" s="31">
        <f t="shared" si="3"/>
        <v>42.865018377225582</v>
      </c>
      <c r="N4">
        <f t="shared" si="4"/>
        <v>0.18735054142746213</v>
      </c>
      <c r="O4">
        <f>O5+N5-N4</f>
        <v>5.7494021657098475</v>
      </c>
      <c r="P4">
        <v>0</v>
      </c>
      <c r="Q4">
        <f t="shared" si="5"/>
        <v>5.7494021657098475</v>
      </c>
      <c r="R4">
        <f t="shared" si="6"/>
        <v>17.762051624282389</v>
      </c>
      <c r="S4">
        <f t="shared" si="7"/>
        <v>12.012649458572541</v>
      </c>
      <c r="T4">
        <f t="shared" si="8"/>
        <v>7.8836769668161513E-2</v>
      </c>
      <c r="U4">
        <f t="shared" si="9"/>
        <v>3.3502528117443753E-2</v>
      </c>
      <c r="V4">
        <f t="shared" si="10"/>
        <v>0.22565447685400389</v>
      </c>
      <c r="W4">
        <f t="shared" si="11"/>
        <v>6.7354462344742405</v>
      </c>
    </row>
    <row r="5" spans="1:24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>D5*9.8</f>
        <v>6.4603634974986885</v>
      </c>
      <c r="F5" s="31">
        <f>'PID &amp; Gas Output'!W7</f>
        <v>2.8072312163671299E-4</v>
      </c>
      <c r="G5" s="31">
        <f>'PID &amp; Gas Output'!T7/'Seed Train'!B12/24/3600</f>
        <v>4.4621826658897953E-4</v>
      </c>
      <c r="H5" s="31">
        <f>'PID &amp; Gas Output'!Z7</f>
        <v>9.7531859873896301E-4</v>
      </c>
      <c r="J5">
        <f t="shared" si="0"/>
        <v>1.2461194029588087</v>
      </c>
      <c r="K5">
        <f t="shared" si="1"/>
        <v>1.2111431855237487</v>
      </c>
      <c r="L5">
        <f t="shared" si="2"/>
        <v>1.0288786807811952</v>
      </c>
      <c r="M5" s="31">
        <f t="shared" si="3"/>
        <v>56.729066886256732</v>
      </c>
      <c r="N5">
        <f t="shared" si="4"/>
        <v>0.93675270713730974</v>
      </c>
      <c r="O5">
        <v>5</v>
      </c>
      <c r="P5">
        <v>0</v>
      </c>
      <c r="Q5">
        <f t="shared" si="5"/>
        <v>5</v>
      </c>
      <c r="R5">
        <f t="shared" si="6"/>
        <v>18.136752707137308</v>
      </c>
      <c r="S5">
        <f t="shared" si="7"/>
        <v>13.136752707137308</v>
      </c>
      <c r="T5">
        <f t="shared" si="8"/>
        <v>0.10916746154899989</v>
      </c>
      <c r="U5">
        <f t="shared" si="9"/>
        <v>6.8679014020328236E-2</v>
      </c>
      <c r="V5">
        <f t="shared" si="10"/>
        <v>0.23861205064456636</v>
      </c>
      <c r="W5">
        <f t="shared" si="11"/>
        <v>3.47430804079307</v>
      </c>
    </row>
    <row r="6" spans="1:24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>D6*9.8</f>
        <v>5.9972702142139029</v>
      </c>
      <c r="F6" s="31">
        <f>'PID &amp; Gas Output'!W8</f>
        <v>3.6123153872598101E-6</v>
      </c>
      <c r="G6" s="31">
        <f>'PID &amp; Gas Output'!T8/'Seed Train'!B8/24/3600</f>
        <v>2.6205615232805545E-5</v>
      </c>
      <c r="H6" s="31">
        <f>'PID &amp; Gas Output'!Z8</f>
        <v>1.1611381670112299E-4</v>
      </c>
      <c r="J6">
        <f t="shared" si="0"/>
        <v>1.2406988923882749</v>
      </c>
      <c r="K6">
        <f t="shared" si="1"/>
        <v>1.2111431855237487</v>
      </c>
      <c r="L6">
        <f t="shared" si="2"/>
        <v>1.0244031483789797</v>
      </c>
      <c r="M6" s="31">
        <f>G6*127133</f>
        <v>3.3315984813922674</v>
      </c>
      <c r="N6">
        <f t="shared" si="4"/>
        <v>0.86960418106101589</v>
      </c>
      <c r="O6">
        <f>O7+N7-N6</f>
        <v>2.5108064107511856</v>
      </c>
      <c r="P6">
        <v>0</v>
      </c>
      <c r="Q6">
        <f>P6+O6+N6</f>
        <v>3.3804105918122014</v>
      </c>
      <c r="R6">
        <f t="shared" si="6"/>
        <v>17.694611567497624</v>
      </c>
      <c r="S6">
        <f t="shared" si="7"/>
        <v>15.183805156746438</v>
      </c>
      <c r="T6">
        <f>M6/963*SQRT(1*537/(R6^2-S6^2))</f>
        <v>8.8237145256830785E-3</v>
      </c>
      <c r="U6">
        <f t="shared" si="9"/>
        <v>1.2163057219130389E-3</v>
      </c>
      <c r="V6">
        <f t="shared" si="10"/>
        <v>3.9096779905995492E-2</v>
      </c>
      <c r="W6">
        <f t="shared" si="11"/>
        <v>32.143875673381693</v>
      </c>
    </row>
    <row r="7" spans="1:24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>D7*9.8</f>
        <v>9.5200730469806985</v>
      </c>
      <c r="F7" s="31">
        <f>'PID &amp; Gas Output'!W9</f>
        <v>2.7738531734872098E-4</v>
      </c>
      <c r="G7" s="31">
        <f>'PID &amp; Gas Output'!T9/'Seed Train'!B9/24/3600</f>
        <v>3.1820393691348704E-4</v>
      </c>
      <c r="H7" s="31">
        <f>'PID &amp; Gas Output'!Z9</f>
        <v>4.4930211738727498E-4</v>
      </c>
      <c r="J7">
        <f t="shared" si="0"/>
        <v>1.2819333276136637</v>
      </c>
      <c r="K7">
        <f t="shared" si="1"/>
        <v>1.2111431855237487</v>
      </c>
      <c r="L7">
        <f t="shared" si="2"/>
        <v>1.058449028105048</v>
      </c>
      <c r="M7" s="31">
        <f t="shared" si="3"/>
        <v>40.454221111622346</v>
      </c>
      <c r="N7">
        <f t="shared" si="4"/>
        <v>1.3804105918122012</v>
      </c>
      <c r="O7">
        <v>2</v>
      </c>
      <c r="P7">
        <v>0</v>
      </c>
      <c r="Q7">
        <f t="shared" si="5"/>
        <v>2</v>
      </c>
      <c r="R7">
        <f t="shared" si="6"/>
        <v>17.0804105918122</v>
      </c>
      <c r="S7">
        <f t="shared" si="7"/>
        <v>15.0804105918122</v>
      </c>
      <c r="T7">
        <f t="shared" si="8"/>
        <v>0.12137972161167841</v>
      </c>
      <c r="U7">
        <f t="shared" si="9"/>
        <v>0.10580935272371787</v>
      </c>
      <c r="V7">
        <f t="shared" si="10"/>
        <v>0.17138746445752598</v>
      </c>
      <c r="W7">
        <f t="shared" si="11"/>
        <v>1.6197761355278411</v>
      </c>
    </row>
    <row r="8" spans="1:24" x14ac:dyDescent="0.25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>D8*9.8</f>
        <v>16.279095920942126</v>
      </c>
      <c r="F8" s="31">
        <f>'PID &amp; Gas Output'!W10</f>
        <v>1.4599157214174199E-3</v>
      </c>
      <c r="G8" s="31">
        <f>'PID &amp; Gas Output'!T10/'Seed Train'!B10/24/3600</f>
        <v>1.5291703869733961E-3</v>
      </c>
      <c r="H8" s="31">
        <f>'PID &amp; Gas Output'!Z10</f>
        <v>1.829851947594E-3</v>
      </c>
      <c r="J8">
        <f t="shared" si="0"/>
        <v>1.3610477442057471</v>
      </c>
      <c r="K8">
        <f t="shared" si="1"/>
        <v>1.2111431855237487</v>
      </c>
      <c r="L8">
        <f t="shared" si="2"/>
        <v>1.1237711283634673</v>
      </c>
      <c r="M8" s="31">
        <f t="shared" si="3"/>
        <v>194.40801880708875</v>
      </c>
      <c r="N8">
        <f t="shared" si="4"/>
        <v>2.3604689085366082</v>
      </c>
      <c r="O8">
        <f>O7+N7-N8</f>
        <v>1.0199416832755932</v>
      </c>
      <c r="P8">
        <v>0</v>
      </c>
      <c r="Q8">
        <f t="shared" si="5"/>
        <v>1.0199416832755932</v>
      </c>
      <c r="R8">
        <f t="shared" si="6"/>
        <v>17.570439750174405</v>
      </c>
      <c r="S8">
        <f t="shared" si="7"/>
        <v>16.550498066898811</v>
      </c>
      <c r="T8">
        <f t="shared" si="8"/>
        <v>0.79300674270119698</v>
      </c>
      <c r="U8">
        <f t="shared" si="9"/>
        <v>0.75709222511882046</v>
      </c>
      <c r="V8">
        <f t="shared" si="10"/>
        <v>0.94893606686892029</v>
      </c>
      <c r="W8">
        <f t="shared" si="11"/>
        <v>1.2533956041088539</v>
      </c>
    </row>
    <row r="11" spans="1:24" x14ac:dyDescent="0.25">
      <c r="A11" s="34" t="s">
        <v>18</v>
      </c>
    </row>
    <row r="12" spans="1:24" x14ac:dyDescent="0.25">
      <c r="A12" s="34" t="s">
        <v>19</v>
      </c>
    </row>
    <row r="13" spans="1:24" x14ac:dyDescent="0.25">
      <c r="A13" s="34" t="s">
        <v>75</v>
      </c>
    </row>
    <row r="14" spans="1:24" x14ac:dyDescent="0.25">
      <c r="A14" s="34" t="s">
        <v>76</v>
      </c>
    </row>
    <row r="15" spans="1:24" x14ac:dyDescent="0.25">
      <c r="A15" s="34" t="s">
        <v>77</v>
      </c>
    </row>
    <row r="16" spans="1:24" x14ac:dyDescent="0.25">
      <c r="A16" s="34" t="s">
        <v>78</v>
      </c>
    </row>
    <row r="17" spans="1:1" x14ac:dyDescent="0.25">
      <c r="A17" s="35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workbookViewId="0">
      <selection activeCell="E4" sqref="E4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54" t="s">
        <v>46</v>
      </c>
      <c r="G2" s="55"/>
      <c r="H2" s="55"/>
      <c r="I2" s="55"/>
      <c r="J2" s="56"/>
    </row>
    <row r="3" spans="1:10" ht="30" x14ac:dyDescent="0.25">
      <c r="A3" s="46" t="s">
        <v>17</v>
      </c>
      <c r="B3" s="42" t="s">
        <v>92</v>
      </c>
      <c r="C3" s="42" t="s">
        <v>93</v>
      </c>
      <c r="D3" s="40" t="s">
        <v>95</v>
      </c>
      <c r="E3" s="42" t="s">
        <v>94</v>
      </c>
      <c r="F3" s="39" t="s">
        <v>96</v>
      </c>
      <c r="G3" s="40" t="s">
        <v>97</v>
      </c>
      <c r="H3" s="40" t="s">
        <v>98</v>
      </c>
      <c r="I3" s="40" t="s">
        <v>99</v>
      </c>
      <c r="J3" s="41" t="s">
        <v>100</v>
      </c>
    </row>
    <row r="4" spans="1:10" x14ac:dyDescent="0.25">
      <c r="A4" s="47" t="s">
        <v>18</v>
      </c>
      <c r="B4" s="23">
        <v>36.5</v>
      </c>
      <c r="C4" s="23">
        <v>30.5</v>
      </c>
      <c r="D4" s="23">
        <v>2</v>
      </c>
      <c r="E4" s="23">
        <v>22</v>
      </c>
      <c r="F4" s="24">
        <v>36.592567572438803</v>
      </c>
      <c r="G4" s="23">
        <v>37.2312696208365</v>
      </c>
      <c r="H4" s="23">
        <v>31.1437958420656</v>
      </c>
      <c r="I4" s="23">
        <v>31.445205735232399</v>
      </c>
      <c r="J4" s="3">
        <v>1167229732.08617</v>
      </c>
    </row>
    <row r="5" spans="1:10" x14ac:dyDescent="0.25">
      <c r="A5" s="47" t="s">
        <v>19</v>
      </c>
      <c r="B5" s="23">
        <v>36.5</v>
      </c>
      <c r="C5" s="23">
        <v>29.5</v>
      </c>
      <c r="D5" s="23">
        <v>2</v>
      </c>
      <c r="E5" s="23">
        <v>18</v>
      </c>
      <c r="F5" s="24">
        <v>36.494147107463299</v>
      </c>
      <c r="G5" s="23">
        <v>37.485239175019402</v>
      </c>
      <c r="H5" s="23">
        <v>30.829038979634799</v>
      </c>
      <c r="I5" s="23">
        <v>31.352023482288899</v>
      </c>
      <c r="J5" s="3">
        <v>3653682032.5007401</v>
      </c>
    </row>
    <row r="6" spans="1:10" x14ac:dyDescent="0.25">
      <c r="A6" s="47" t="s">
        <v>75</v>
      </c>
      <c r="B6" s="23">
        <v>37.200000000000003</v>
      </c>
      <c r="C6" s="43"/>
      <c r="D6" s="23">
        <v>0.1</v>
      </c>
      <c r="E6" s="23">
        <v>10</v>
      </c>
      <c r="F6" s="24">
        <v>36.806747602328201</v>
      </c>
      <c r="G6" s="23">
        <v>37</v>
      </c>
      <c r="H6" s="43"/>
      <c r="I6" s="43"/>
      <c r="J6" s="49">
        <v>-4338596.2089324398</v>
      </c>
    </row>
    <row r="7" spans="1:10" x14ac:dyDescent="0.25">
      <c r="A7" s="47" t="s">
        <v>76</v>
      </c>
      <c r="B7" s="23">
        <v>37</v>
      </c>
      <c r="C7" s="43"/>
      <c r="D7" s="23">
        <v>1</v>
      </c>
      <c r="E7" s="23">
        <v>15</v>
      </c>
      <c r="F7" s="24">
        <v>36.949941360231399</v>
      </c>
      <c r="G7" s="23">
        <v>37.037509595048903</v>
      </c>
      <c r="H7" s="43"/>
      <c r="I7" s="43"/>
      <c r="J7" s="49">
        <v>-683094.04759064899</v>
      </c>
    </row>
    <row r="8" spans="1:10" x14ac:dyDescent="0.25">
      <c r="A8" s="47" t="s">
        <v>77</v>
      </c>
      <c r="B8" s="23">
        <v>37</v>
      </c>
      <c r="C8" s="43"/>
      <c r="D8" s="23">
        <v>0.1</v>
      </c>
      <c r="E8" s="23">
        <v>10</v>
      </c>
      <c r="F8" s="24">
        <v>36.972840967377103</v>
      </c>
      <c r="G8" s="23">
        <v>37.015757009276101</v>
      </c>
      <c r="H8" s="43"/>
      <c r="I8" s="43"/>
      <c r="J8" s="49">
        <v>-149925.81911568</v>
      </c>
    </row>
    <row r="9" spans="1:10" x14ac:dyDescent="0.25">
      <c r="A9" s="47" t="s">
        <v>78</v>
      </c>
      <c r="B9" s="23">
        <v>37</v>
      </c>
      <c r="C9" s="43"/>
      <c r="D9" s="23">
        <v>1</v>
      </c>
      <c r="E9" s="23">
        <v>15</v>
      </c>
      <c r="F9" s="24">
        <v>36.983424155856198</v>
      </c>
      <c r="G9" s="23">
        <v>37.049588238855002</v>
      </c>
      <c r="H9" s="43"/>
      <c r="I9" s="43"/>
      <c r="J9" s="49">
        <v>967802.336210376</v>
      </c>
    </row>
    <row r="10" spans="1:10" x14ac:dyDescent="0.25">
      <c r="A10" s="48" t="s">
        <v>79</v>
      </c>
      <c r="B10" s="1">
        <v>37</v>
      </c>
      <c r="C10" s="44"/>
      <c r="D10" s="1">
        <v>1</v>
      </c>
      <c r="E10" s="1">
        <v>18</v>
      </c>
      <c r="F10" s="45">
        <v>36.991359445650701</v>
      </c>
      <c r="G10" s="1">
        <v>37.124308429397701</v>
      </c>
      <c r="H10" s="44"/>
      <c r="I10" s="44"/>
      <c r="J10" s="50">
        <v>9557874.4047890399</v>
      </c>
    </row>
  </sheetData>
  <mergeCells count="1"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Dim</vt:lpstr>
      <vt:lpstr>Reactor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2018-03-28T18:01:56Z</dcterms:modified>
</cp:coreProperties>
</file>