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defaultThemeVersion="166925"/>
  <mc:AlternateContent xmlns:mc="http://schemas.openxmlformats.org/markup-compatibility/2006">
    <mc:Choice Requires="x15">
      <x15ac:absPath xmlns:x15ac="http://schemas.microsoft.com/office/spreadsheetml/2010/11/ac" url="C:\Users\kespinosa\Desktop\MateFinII\"/>
    </mc:Choice>
  </mc:AlternateContent>
  <xr:revisionPtr revIDLastSave="0" documentId="8_{2AFCDBF6-5D52-4ED8-A561-0662031C32DA}" xr6:coauthVersionLast="36" xr6:coauthVersionMax="36" xr10:uidLastSave="{00000000-0000-0000-0000-000000000000}"/>
  <bookViews>
    <workbookView xWindow="0" yWindow="0" windowWidth="20490" windowHeight="6795" activeTab="1" xr2:uid="{C4531B0B-2022-4E63-BA0E-5D4DBB910AD8}"/>
  </bookViews>
  <sheets>
    <sheet name="Módulo 1" sheetId="1" r:id="rId1"/>
    <sheet name="Módulo 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 i="2" l="1"/>
  <c r="E9" i="2"/>
  <c r="D90" i="1"/>
  <c r="G77" i="1"/>
  <c r="D64" i="1"/>
  <c r="D86" i="1"/>
  <c r="D85" i="1"/>
  <c r="D84" i="1"/>
  <c r="G75" i="1"/>
  <c r="G76" i="1" s="1"/>
  <c r="E78" i="1"/>
  <c r="E77" i="1"/>
  <c r="E76" i="1"/>
  <c r="D79" i="1"/>
  <c r="D78" i="1"/>
  <c r="D77" i="1"/>
  <c r="D76" i="1"/>
  <c r="D69" i="1"/>
  <c r="D70" i="1" s="1"/>
  <c r="D68" i="1"/>
  <c r="E57" i="1"/>
  <c r="D60" i="1"/>
  <c r="E60" i="1" s="1"/>
  <c r="D59" i="1"/>
  <c r="E59" i="1" s="1"/>
  <c r="D58" i="1"/>
  <c r="E58" i="1" s="1"/>
  <c r="D57" i="1"/>
  <c r="C51" i="1"/>
  <c r="C50" i="1"/>
  <c r="C46" i="1"/>
  <c r="F42" i="1"/>
  <c r="F41" i="1"/>
  <c r="G41" i="1" s="1"/>
  <c r="F40" i="1"/>
  <c r="G40" i="1" s="1"/>
  <c r="F39" i="1"/>
  <c r="G39" i="1" s="1"/>
  <c r="I39" i="1" s="1"/>
  <c r="I40" i="1" s="1"/>
  <c r="C34" i="1"/>
  <c r="D30" i="1"/>
  <c r="E30" i="1" s="1"/>
  <c r="D29" i="1"/>
  <c r="E29" i="1" s="1"/>
  <c r="D28" i="1"/>
  <c r="E28" i="1" s="1"/>
  <c r="E22" i="1"/>
  <c r="E21" i="1"/>
  <c r="E20" i="1"/>
  <c r="E19" i="1"/>
  <c r="E18" i="1"/>
  <c r="H26" i="1" l="1"/>
  <c r="H55" i="1"/>
  <c r="D22" i="1" l="1"/>
  <c r="D21" i="1"/>
  <c r="D20" i="1"/>
  <c r="D19" i="1"/>
  <c r="D18" i="1"/>
  <c r="E12" i="1"/>
  <c r="E11" i="1"/>
  <c r="D12" i="1"/>
  <c r="D11" i="1"/>
  <c r="D10" i="1"/>
  <c r="E10" i="1" s="1"/>
  <c r="D5" i="1"/>
  <c r="F63" i="2" l="1"/>
  <c r="F62" i="2"/>
  <c r="E61" i="2"/>
  <c r="D57" i="2"/>
  <c r="D56" i="2"/>
  <c r="D46" i="2"/>
  <c r="E37" i="2"/>
  <c r="D28" i="2"/>
  <c r="D9" i="2"/>
</calcChain>
</file>

<file path=xl/sharedStrings.xml><?xml version="1.0" encoding="utf-8"?>
<sst xmlns="http://schemas.openxmlformats.org/spreadsheetml/2006/main" count="111" uniqueCount="85">
  <si>
    <t>t</t>
  </si>
  <si>
    <t>Ejercicios Módulo 1</t>
  </si>
  <si>
    <t>1. Considere que se compraron 100 acciones a un precio de $34.50, los títulos se mantuvieron en posición por 1 año, tiempo en el cual se recibió un dividendo de $51.55. Al final del periodo, la acción cotizaba en $30.50. Calcular el rendimiento del periodo.</t>
  </si>
  <si>
    <t>2. Considere los precios de la siguiente tabla, calcular el rendimiento nominal y la EAR.</t>
  </si>
  <si>
    <t>3m</t>
  </si>
  <si>
    <t>6m</t>
  </si>
  <si>
    <t>5y</t>
  </si>
  <si>
    <t>P(t)</t>
  </si>
  <si>
    <r>
      <t>r</t>
    </r>
    <r>
      <rPr>
        <b/>
        <vertAlign val="subscript"/>
        <sz val="11"/>
        <color theme="0"/>
        <rFont val="Calibri"/>
        <family val="2"/>
        <scheme val="minor"/>
      </rPr>
      <t>f</t>
    </r>
  </si>
  <si>
    <t>EAR</t>
  </si>
  <si>
    <t>3. Considere las tasas de la siguiente tabla, calcular APR para cada uno de los plazos.</t>
  </si>
  <si>
    <t>1w</t>
  </si>
  <si>
    <t>1m</t>
  </si>
  <si>
    <t>1y</t>
  </si>
  <si>
    <t>i(m)/m</t>
  </si>
  <si>
    <t>APR</t>
  </si>
  <si>
    <t>4. Considere una inversión a 4 años, con los datos a continuación, calcular el rendimiento total.</t>
  </si>
  <si>
    <t>5. Considere que se compró un instrumento a inicios de año a un precio de $103.56, al término de 6 meses se recibió un dividendo por $45.43 y el precio al cierre del año fue de $104.58. Calcular el HPR.</t>
  </si>
  <si>
    <t>6. La mesa de una institución se encuentra realizando el presupuesto del año siguiente, para lo cual, pronostica diferentes escenarios para un instrumento en particular. Considera que existen 3 escenarios para la cotización del instrumento, cuyo precio inicial es de $100.21. La tabla a continuación describe los precios estimados para cada escenario, así como el dividendo y probabilidad. Calcular el HPR para cada escenario, así como el rendimiento esperado y desviación estándar.</t>
  </si>
  <si>
    <t>x</t>
  </si>
  <si>
    <t>P(x)</t>
  </si>
  <si>
    <t>Sobresaliente</t>
  </si>
  <si>
    <t>Neutral</t>
  </si>
  <si>
    <t>Bajo</t>
  </si>
  <si>
    <t>Div</t>
  </si>
  <si>
    <t>Prob</t>
  </si>
  <si>
    <t>7. El YTM de un activo recién incorporado al portafolio es de 7.31% y el activo libre de riesgo se encuentra en niveles de 4.25%. Calcular la prima de riesgo.</t>
  </si>
  <si>
    <t>8. Considere la tasa nominal de un instrumento de 8.85% y la inflación del periodo en 5.62%. Calcular el estimado de tasa real y la tasa real exacta.</t>
  </si>
  <si>
    <t>9. Considere una inversión a 4 años, con los datos a continuación, calcular el rendimiento geométrico.</t>
  </si>
  <si>
    <t>Periodo</t>
  </si>
  <si>
    <t>11. Con la información del ejercicio 10, calcular el Money-Weighted Return.</t>
  </si>
  <si>
    <t>12. Calcular la desviación estándar anualizada de un instrumento con los siguientes precios:</t>
  </si>
  <si>
    <t>13. Con la información del ejercicio 12, calcular el Maximum Drawdown del Instrumento.</t>
  </si>
  <si>
    <t>Ejercicios Módulo 2</t>
  </si>
  <si>
    <t>Un inversionista tiene un portafolio de inversión con riesgo moderado. Actualmente tienen invertido el 30% en un activo riesgoso con un valor esperado de 0.15 y varianza de 0.04 y 70% en T-Bills que paga .06; calcular el valor esperado y varianza del portafolio.</t>
  </si>
  <si>
    <t>%</t>
  </si>
  <si>
    <t>E(x)</t>
  </si>
  <si>
    <t>Var (x)</t>
  </si>
  <si>
    <t>Se invierten $100 en un activo riesgoso con un retorno esperado de 0.12 y desviación estándar de 0.15; asimismo, se invierte en un activo libre de riesgo con un retorno esperado de 0.05.</t>
  </si>
  <si>
    <t>a) Calcular el % invertido en cada activo si se espera un rendimiento de 9% del portafolio.</t>
  </si>
  <si>
    <t>.09=x(.12)+(1-x)(.05)</t>
  </si>
  <si>
    <t>a) Calcular el % invertido en cada activo si se espera una desviación estándar de 6% del portafolio.</t>
  </si>
  <si>
    <t>.06=x(.15)</t>
  </si>
  <si>
    <t>A</t>
  </si>
  <si>
    <t>Stock</t>
  </si>
  <si>
    <t>B</t>
  </si>
  <si>
    <t>C</t>
  </si>
  <si>
    <t>D</t>
  </si>
  <si>
    <t>Calcular el retorno esperado del portafolio si está diversificado de la siguiente forma: 50% en stock C, 30% en stock A y 20% en stock D.</t>
  </si>
  <si>
    <t>Calcular el retorno esperado del portafolio invertido proporcionalmente en los siguientes activos:</t>
  </si>
  <si>
    <t>Si se desea contruir un portafolio con un retorno esperado de 0.11, qué porcentaje se debe invertir en el T-Bill y P respectivamente?</t>
  </si>
  <si>
    <t xml:space="preserve">Considere que se invierten $1,000 en un T-Bill que paga 0.05 y un portafolio P, construido de 2 activos: X y Y. La distribución de los activos es de 60% y 40% respectivamente. X tiene un retorno esperado de 0.14 y varianza de 0.01; Y tiene un retorno esperado de 0.10 y varianza de 0.0081. </t>
  </si>
  <si>
    <t>11%=x(.05)+(1-x)(.124)</t>
  </si>
  <si>
    <t>Si se desea contruir un portafolio con un retorno esperado de 0.10, qué porcentaje se debe invertir en T-Bill y el portafolio P, si se desea mantener las proporciones de X y Y?</t>
  </si>
  <si>
    <t>10%=x(.05)+(1-x)(.124)</t>
  </si>
  <si>
    <t>x=0.32</t>
  </si>
  <si>
    <t>%P</t>
  </si>
  <si>
    <t>Cuál sería el valor en USD de las posiciones X y Y, respectivamente, si se decide mantener 40% en el portafolio P y 60% en T-Bill.</t>
  </si>
  <si>
    <t>X</t>
  </si>
  <si>
    <t>Y</t>
  </si>
  <si>
    <t>m</t>
  </si>
  <si>
    <t>r(t)</t>
  </si>
  <si>
    <t>Rdto. Total</t>
  </si>
  <si>
    <t>HPR</t>
  </si>
  <si>
    <t>E[r]</t>
  </si>
  <si>
    <t>Rdto.</t>
  </si>
  <si>
    <t>(r-E[r])^2</t>
  </si>
  <si>
    <t>σ</t>
  </si>
  <si>
    <t>σ^2</t>
  </si>
  <si>
    <t>Prima Riesgo</t>
  </si>
  <si>
    <t>Est. Tasa Real</t>
  </si>
  <si>
    <t>i</t>
  </si>
  <si>
    <t>π</t>
  </si>
  <si>
    <t>g</t>
  </si>
  <si>
    <t>1+r(t)</t>
  </si>
  <si>
    <t>Time-Weighted</t>
  </si>
  <si>
    <t>R</t>
  </si>
  <si>
    <t>Money-Weighted</t>
  </si>
  <si>
    <t>σ anualizada</t>
  </si>
  <si>
    <t>MDD</t>
  </si>
  <si>
    <t>Peak</t>
  </si>
  <si>
    <t>Trough</t>
  </si>
  <si>
    <t>Sharpe Ratio</t>
  </si>
  <si>
    <t>10. Considere que, el 1° de enero, se realiza una inversión en un fondo de real estate por 50,000. Dado el éxito del fondo, al término de mayo el fondo tenía un valor de 65,000. Adicionalmente considere que se realiza una aportación al fondo por 15,000. A finales de septiembre, con el fin de cubrir gastos, se retiran 8,000 del fondo cuyo valor ascendía a 72,000. A finales de noviembre se realiza un depósito por 10,000, el valor del fondo ascendía a 75,000. Al 31 de diciembre, el valor del fondo fue de 79,000. Calcular el Time-Weighted Return.</t>
  </si>
  <si>
    <t>14. Con la información del ejercicio 12, calcular el Sharpe Ratio. Considere que el activo libre de riesgo tuvo un rendimiento de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</si>
</sst>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3" formatCode="_-* #,##0.00_-;\-* #,##0.00_-;_-* &quot;-&quot;??_-;_-@_-"/>
  </numFmts>
  <fonts count="1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1"/>
      <color theme="1" tint="0.499984740745262"/>
      <name val="Calibri"/>
      <family val="2"/>
      <scheme val="minor"/>
    </font>
    <font>
      <b/>
      <vertAlign val="subscript"/>
      <sz val="11"/>
      <color theme="0"/>
      <name val="Calibri"/>
      <family val="2"/>
      <scheme val="minor"/>
    </font>
    <font>
      <b/>
      <sz val="11"/>
      <color theme="1" tint="0.249977111117893"/>
      <name val="Calibri"/>
      <family val="2"/>
      <scheme val="minor"/>
    </font>
    <font>
      <sz val="11"/>
      <color theme="1" tint="0.249977111117893"/>
      <name val="Calibri"/>
      <family val="2"/>
      <scheme val="minor"/>
    </font>
    <font>
      <sz val="11"/>
      <name val="Calibri"/>
      <family val="2"/>
      <scheme val="minor"/>
    </font>
    <font>
      <b/>
      <sz val="11"/>
      <color theme="1"/>
      <name val="Calibri"/>
      <family val="2"/>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style="hair">
        <color theme="1" tint="0.34998626667073579"/>
      </left>
      <right style="hair">
        <color theme="1" tint="0.34998626667073579"/>
      </right>
      <top style="hair">
        <color theme="1" tint="0.34998626667073579"/>
      </top>
      <bottom style="hair">
        <color theme="1" tint="0.34998626667073579"/>
      </bottom>
      <diagonal/>
    </border>
    <border>
      <left style="hair">
        <color theme="1" tint="0.34998626667073579"/>
      </left>
      <right/>
      <top style="hair">
        <color theme="1" tint="0.34998626667073579"/>
      </top>
      <bottom style="hair">
        <color theme="1" tint="0.34998626667073579"/>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5">
    <xf numFmtId="0" fontId="0" fillId="0" borderId="0" xfId="0"/>
    <xf numFmtId="0" fontId="3" fillId="0" borderId="0" xfId="0" applyFont="1"/>
    <xf numFmtId="0" fontId="2" fillId="2" borderId="1" xfId="0" applyFont="1" applyFill="1" applyBorder="1" applyAlignment="1">
      <alignment horizontal="center"/>
    </xf>
    <xf numFmtId="0" fontId="4" fillId="0" borderId="1" xfId="0" applyFont="1" applyBorder="1" applyAlignment="1">
      <alignment horizontal="center"/>
    </xf>
    <xf numFmtId="8" fontId="0" fillId="0" borderId="1" xfId="0" applyNumberFormat="1" applyBorder="1" applyAlignment="1">
      <alignment horizontal="center"/>
    </xf>
    <xf numFmtId="0" fontId="0" fillId="0" borderId="0" xfId="0" applyAlignment="1">
      <alignment horizontal="left"/>
    </xf>
    <xf numFmtId="10" fontId="3" fillId="0" borderId="0" xfId="0" applyNumberFormat="1" applyFont="1"/>
    <xf numFmtId="10" fontId="0" fillId="0" borderId="1" xfId="1" applyNumberFormat="1" applyFont="1" applyBorder="1" applyAlignment="1">
      <alignment horizontal="center"/>
    </xf>
    <xf numFmtId="0" fontId="6" fillId="0" borderId="0" xfId="0" applyFont="1" applyAlignment="1">
      <alignment horizontal="left"/>
    </xf>
    <xf numFmtId="4" fontId="0" fillId="0" borderId="1" xfId="1" applyNumberFormat="1" applyFont="1" applyBorder="1" applyAlignment="1">
      <alignment horizontal="center"/>
    </xf>
    <xf numFmtId="0" fontId="0" fillId="0" borderId="0" xfId="0" applyAlignment="1">
      <alignment horizontal="center"/>
    </xf>
    <xf numFmtId="0" fontId="6" fillId="0" borderId="0" xfId="0" applyFont="1" applyAlignment="1">
      <alignment vertical="center"/>
    </xf>
    <xf numFmtId="0" fontId="7" fillId="0" borderId="0" xfId="0" applyFont="1" applyAlignment="1">
      <alignment horizontal="center"/>
    </xf>
    <xf numFmtId="9" fontId="7" fillId="0" borderId="0" xfId="0" applyNumberFormat="1" applyFont="1" applyAlignment="1">
      <alignment horizontal="center"/>
    </xf>
    <xf numFmtId="9" fontId="7" fillId="0" borderId="0" xfId="0" quotePrefix="1" applyNumberFormat="1" applyFont="1" applyAlignment="1">
      <alignment horizontal="center"/>
    </xf>
    <xf numFmtId="9" fontId="0" fillId="0" borderId="0" xfId="1" applyFont="1" applyAlignment="1">
      <alignment horizontal="center"/>
    </xf>
    <xf numFmtId="10" fontId="8" fillId="0" borderId="0" xfId="0" applyNumberFormat="1" applyFont="1" applyAlignment="1">
      <alignment horizontal="center"/>
    </xf>
    <xf numFmtId="43" fontId="8" fillId="0" borderId="0" xfId="2" applyFont="1" applyAlignment="1">
      <alignment horizontal="center"/>
    </xf>
    <xf numFmtId="10" fontId="0" fillId="0" borderId="0" xfId="1" applyNumberFormat="1" applyFont="1" applyAlignment="1">
      <alignment horizontal="center"/>
    </xf>
    <xf numFmtId="4" fontId="0" fillId="0" borderId="0" xfId="0" applyNumberFormat="1"/>
    <xf numFmtId="10" fontId="0" fillId="0" borderId="1" xfId="1" applyNumberFormat="1" applyFont="1" applyBorder="1"/>
    <xf numFmtId="3" fontId="0" fillId="0" borderId="1" xfId="1" applyNumberFormat="1" applyFont="1" applyBorder="1" applyAlignment="1">
      <alignment horizontal="center"/>
    </xf>
    <xf numFmtId="0" fontId="4" fillId="0" borderId="0" xfId="0" applyFont="1" applyBorder="1" applyAlignment="1">
      <alignment horizontal="center"/>
    </xf>
    <xf numFmtId="8" fontId="0" fillId="0" borderId="0" xfId="0" applyNumberFormat="1" applyBorder="1" applyAlignment="1">
      <alignment horizontal="center"/>
    </xf>
    <xf numFmtId="10" fontId="0" fillId="0" borderId="0" xfId="1" applyNumberFormat="1" applyFont="1" applyBorder="1" applyAlignment="1">
      <alignment horizontal="center"/>
    </xf>
    <xf numFmtId="8" fontId="0" fillId="0" borderId="2" xfId="0" applyNumberFormat="1" applyBorder="1" applyAlignment="1">
      <alignment horizontal="center"/>
    </xf>
    <xf numFmtId="0" fontId="3" fillId="0" borderId="1" xfId="0" applyFont="1" applyBorder="1" applyAlignment="1">
      <alignment horizontal="center"/>
    </xf>
    <xf numFmtId="10" fontId="3" fillId="0" borderId="1" xfId="1" applyNumberFormat="1" applyFont="1" applyBorder="1" applyAlignment="1">
      <alignment horizontal="center"/>
    </xf>
    <xf numFmtId="10" fontId="3" fillId="0" borderId="1" xfId="1" applyNumberFormat="1" applyFont="1" applyBorder="1"/>
    <xf numFmtId="0" fontId="9" fillId="0" borderId="1" xfId="0" applyFont="1" applyBorder="1" applyAlignment="1">
      <alignment horizontal="center"/>
    </xf>
    <xf numFmtId="8" fontId="3" fillId="0" borderId="1" xfId="1" applyNumberFormat="1" applyFont="1" applyBorder="1" applyAlignment="1">
      <alignment horizontal="center"/>
    </xf>
    <xf numFmtId="9" fontId="3" fillId="0" borderId="1" xfId="1" applyNumberFormat="1" applyFont="1" applyBorder="1" applyAlignment="1">
      <alignment horizontal="center"/>
    </xf>
    <xf numFmtId="0" fontId="6" fillId="0" borderId="0" xfId="0" applyFont="1" applyAlignment="1">
      <alignment horizontal="left" vertical="center" wrapText="1"/>
    </xf>
    <xf numFmtId="0" fontId="6" fillId="0" borderId="0" xfId="0" applyFont="1" applyAlignment="1">
      <alignment horizontal="left"/>
    </xf>
    <xf numFmtId="0" fontId="6" fillId="0" borderId="0" xfId="0" applyFont="1" applyAlignment="1">
      <alignment horizontal="left" wrapText="1"/>
    </xf>
  </cellXfs>
  <cellStyles count="3">
    <cellStyle name="Millares" xfId="2" builtinId="3"/>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A33B4-34CD-4B31-AECE-2EFE3BB3E5B3}">
  <dimension ref="B2:I90"/>
  <sheetViews>
    <sheetView showGridLines="0" topLeftCell="A79" workbookViewId="0">
      <selection activeCell="D78" sqref="D78"/>
    </sheetView>
  </sheetViews>
  <sheetFormatPr baseColWidth="10" defaultRowHeight="15" x14ac:dyDescent="0.25"/>
  <cols>
    <col min="2" max="2" width="18.28515625" bestFit="1" customWidth="1"/>
    <col min="3" max="3" width="17" bestFit="1" customWidth="1"/>
    <col min="4" max="4" width="12.140625" bestFit="1" customWidth="1"/>
    <col min="7" max="7" width="23.140625" bestFit="1" customWidth="1"/>
    <col min="8" max="8" width="15.140625" customWidth="1"/>
  </cols>
  <sheetData>
    <row r="2" spans="2:8" x14ac:dyDescent="0.25">
      <c r="B2" s="1" t="s">
        <v>1</v>
      </c>
    </row>
    <row r="4" spans="2:8" ht="60" customHeight="1" x14ac:dyDescent="0.25">
      <c r="B4" s="32" t="s">
        <v>2</v>
      </c>
      <c r="C4" s="32"/>
      <c r="D4" s="32"/>
      <c r="E4" s="32"/>
      <c r="F4" s="32"/>
      <c r="G4" s="32"/>
      <c r="H4" s="32"/>
    </row>
    <row r="5" spans="2:8" x14ac:dyDescent="0.25">
      <c r="C5" s="2" t="s">
        <v>65</v>
      </c>
      <c r="D5" s="28">
        <f>(30.5-34.5+51.55)/34.5</f>
        <v>1.3782608695652172</v>
      </c>
    </row>
    <row r="7" spans="2:8" x14ac:dyDescent="0.25">
      <c r="B7" s="33" t="s">
        <v>3</v>
      </c>
      <c r="C7" s="33"/>
      <c r="D7" s="33"/>
      <c r="E7" s="33"/>
      <c r="F7" s="33"/>
      <c r="G7" s="33"/>
      <c r="H7" s="33"/>
    </row>
    <row r="9" spans="2:8" ht="18" x14ac:dyDescent="0.35">
      <c r="B9" s="2" t="s">
        <v>0</v>
      </c>
      <c r="C9" s="2" t="s">
        <v>7</v>
      </c>
      <c r="D9" s="2" t="s">
        <v>8</v>
      </c>
      <c r="E9" s="2" t="s">
        <v>9</v>
      </c>
    </row>
    <row r="10" spans="2:8" x14ac:dyDescent="0.25">
      <c r="B10" s="3" t="s">
        <v>4</v>
      </c>
      <c r="C10" s="4">
        <v>98.35</v>
      </c>
      <c r="D10" s="20">
        <f>(100/C10)-1</f>
        <v>1.6776817488561413E-2</v>
      </c>
      <c r="E10" s="28">
        <f>((1+D10)^4)-1</f>
        <v>6.8815006925059485E-2</v>
      </c>
    </row>
    <row r="11" spans="2:8" x14ac:dyDescent="0.25">
      <c r="B11" s="3" t="s">
        <v>5</v>
      </c>
      <c r="C11" s="4">
        <v>97.79</v>
      </c>
      <c r="D11" s="20">
        <f t="shared" ref="D11:D12" si="0">(100/C11)-1</f>
        <v>2.2599447796298078E-2</v>
      </c>
      <c r="E11" s="28">
        <f>((1+D11)^2)-1</f>
        <v>4.5709630633293807E-2</v>
      </c>
    </row>
    <row r="12" spans="2:8" x14ac:dyDescent="0.25">
      <c r="B12" s="3" t="s">
        <v>6</v>
      </c>
      <c r="C12" s="4">
        <v>96.69</v>
      </c>
      <c r="D12" s="20">
        <f t="shared" si="0"/>
        <v>3.4233116144378961E-2</v>
      </c>
      <c r="E12" s="28">
        <f>+(1+D12)^(0.2)-1</f>
        <v>6.7547514172692225E-3</v>
      </c>
    </row>
    <row r="14" spans="2:8" x14ac:dyDescent="0.25">
      <c r="B14" s="33" t="s">
        <v>10</v>
      </c>
      <c r="C14" s="33"/>
      <c r="D14" s="33"/>
      <c r="E14" s="33"/>
      <c r="F14" s="33"/>
      <c r="G14" s="33"/>
      <c r="H14" s="33"/>
    </row>
    <row r="15" spans="2:8" x14ac:dyDescent="0.25">
      <c r="B15" s="5"/>
      <c r="C15" s="5"/>
    </row>
    <row r="16" spans="2:8" x14ac:dyDescent="0.25">
      <c r="B16" s="1" t="s">
        <v>9</v>
      </c>
      <c r="C16" s="6">
        <v>6.7699999999999996E-2</v>
      </c>
    </row>
    <row r="17" spans="2:8" x14ac:dyDescent="0.25">
      <c r="B17" s="2" t="s">
        <v>0</v>
      </c>
      <c r="C17" s="2" t="s">
        <v>60</v>
      </c>
      <c r="D17" s="2" t="s">
        <v>14</v>
      </c>
      <c r="E17" s="2" t="s">
        <v>15</v>
      </c>
    </row>
    <row r="18" spans="2:8" x14ac:dyDescent="0.25">
      <c r="B18" s="3" t="s">
        <v>11</v>
      </c>
      <c r="C18" s="21">
        <v>52</v>
      </c>
      <c r="D18" s="7">
        <f>$C$16/C18</f>
        <v>1.3019230769230768E-3</v>
      </c>
      <c r="E18" s="27">
        <f>C18*((1+$C$16)^(1/C18)-1)</f>
        <v>6.554808050614902E-2</v>
      </c>
    </row>
    <row r="19" spans="2:8" x14ac:dyDescent="0.25">
      <c r="B19" s="3" t="s">
        <v>12</v>
      </c>
      <c r="C19" s="21">
        <v>12</v>
      </c>
      <c r="D19" s="7">
        <f>$C$16/C19</f>
        <v>5.6416666666666664E-3</v>
      </c>
      <c r="E19" s="27">
        <f t="shared" ref="E19:E22" si="1">C19*((1+$C$16)^(1/C19)-1)</f>
        <v>6.5685925539881396E-2</v>
      </c>
    </row>
    <row r="20" spans="2:8" x14ac:dyDescent="0.25">
      <c r="B20" s="3" t="s">
        <v>4</v>
      </c>
      <c r="C20" s="21">
        <v>4</v>
      </c>
      <c r="D20" s="7">
        <f>$C$16/C20</f>
        <v>1.6924999999999999E-2</v>
      </c>
      <c r="E20" s="27">
        <f t="shared" si="1"/>
        <v>6.6046134985437988E-2</v>
      </c>
    </row>
    <row r="21" spans="2:8" x14ac:dyDescent="0.25">
      <c r="B21" s="3" t="s">
        <v>5</v>
      </c>
      <c r="C21" s="21">
        <v>2</v>
      </c>
      <c r="D21" s="7">
        <f>$C$16/C21</f>
        <v>3.3849999999999998E-2</v>
      </c>
      <c r="E21" s="27">
        <f t="shared" si="1"/>
        <v>6.659139647875234E-2</v>
      </c>
    </row>
    <row r="22" spans="2:8" x14ac:dyDescent="0.25">
      <c r="B22" s="3" t="s">
        <v>13</v>
      </c>
      <c r="C22" s="21">
        <v>1</v>
      </c>
      <c r="D22" s="7">
        <f>$C$16/C22</f>
        <v>6.7699999999999996E-2</v>
      </c>
      <c r="E22" s="27">
        <f t="shared" si="1"/>
        <v>6.7700000000000093E-2</v>
      </c>
    </row>
    <row r="24" spans="2:8" x14ac:dyDescent="0.25">
      <c r="B24" s="33" t="s">
        <v>16</v>
      </c>
      <c r="C24" s="33"/>
      <c r="D24" s="33"/>
      <c r="E24" s="33"/>
      <c r="F24" s="33"/>
      <c r="G24" s="33"/>
      <c r="H24" s="33"/>
    </row>
    <row r="26" spans="2:8" x14ac:dyDescent="0.25">
      <c r="B26" s="2" t="s">
        <v>0</v>
      </c>
      <c r="C26" s="2" t="s">
        <v>7</v>
      </c>
      <c r="D26" s="2" t="s">
        <v>61</v>
      </c>
      <c r="E26" s="2" t="s">
        <v>74</v>
      </c>
      <c r="G26" s="2" t="s">
        <v>62</v>
      </c>
      <c r="H26" s="27">
        <f>(E28*E29*E30)-1</f>
        <v>1.4002800560111828E-2</v>
      </c>
    </row>
    <row r="27" spans="2:8" x14ac:dyDescent="0.25">
      <c r="B27" s="3">
        <v>0</v>
      </c>
      <c r="C27" s="4">
        <v>99.98</v>
      </c>
      <c r="D27" s="4"/>
      <c r="E27" s="4"/>
    </row>
    <row r="28" spans="2:8" x14ac:dyDescent="0.25">
      <c r="B28" s="3">
        <v>1</v>
      </c>
      <c r="C28" s="4">
        <v>100.03</v>
      </c>
      <c r="D28" s="7">
        <f>+C28/C27-1</f>
        <v>5.0010002000400178E-4</v>
      </c>
      <c r="E28" s="7">
        <f>1+D28</f>
        <v>1.000500100020004</v>
      </c>
    </row>
    <row r="29" spans="2:8" x14ac:dyDescent="0.25">
      <c r="B29" s="3">
        <v>2</v>
      </c>
      <c r="C29" s="4">
        <v>98.76</v>
      </c>
      <c r="D29" s="7">
        <f t="shared" ref="D29:D30" si="2">+C29/C28-1</f>
        <v>-1.2696191142657187E-2</v>
      </c>
      <c r="E29" s="7">
        <f t="shared" ref="E29:E30" si="3">1+D29</f>
        <v>0.98730380885734281</v>
      </c>
    </row>
    <row r="30" spans="2:8" x14ac:dyDescent="0.25">
      <c r="B30" s="3">
        <v>3</v>
      </c>
      <c r="C30" s="4">
        <v>101.38</v>
      </c>
      <c r="D30" s="7">
        <f t="shared" si="2"/>
        <v>2.6528959092749993E-2</v>
      </c>
      <c r="E30" s="7">
        <f t="shared" si="3"/>
        <v>1.02652895909275</v>
      </c>
    </row>
    <row r="32" spans="2:8" ht="47.25" customHeight="1" x14ac:dyDescent="0.25">
      <c r="B32" s="34" t="s">
        <v>17</v>
      </c>
      <c r="C32" s="34"/>
      <c r="D32" s="34"/>
      <c r="E32" s="34"/>
      <c r="F32" s="34"/>
      <c r="G32" s="34"/>
      <c r="H32" s="34"/>
    </row>
    <row r="34" spans="2:9" x14ac:dyDescent="0.25">
      <c r="B34" s="26" t="s">
        <v>63</v>
      </c>
      <c r="C34" s="27">
        <f>(104.58+45.43)/(103.56)-1</f>
        <v>0.44853225183468504</v>
      </c>
    </row>
    <row r="36" spans="2:9" ht="73.5" customHeight="1" x14ac:dyDescent="0.25">
      <c r="B36" s="34" t="s">
        <v>18</v>
      </c>
      <c r="C36" s="34"/>
      <c r="D36" s="34"/>
      <c r="E36" s="34"/>
      <c r="F36" s="34"/>
      <c r="G36" s="34"/>
      <c r="H36" s="34"/>
    </row>
    <row r="37" spans="2:9" x14ac:dyDescent="0.25">
      <c r="F37">
        <v>100.21</v>
      </c>
    </row>
    <row r="38" spans="2:9" x14ac:dyDescent="0.25">
      <c r="B38" s="2" t="s">
        <v>19</v>
      </c>
      <c r="C38" s="2" t="s">
        <v>20</v>
      </c>
      <c r="D38" s="2" t="s">
        <v>24</v>
      </c>
      <c r="E38" s="2" t="s">
        <v>25</v>
      </c>
      <c r="F38" s="2" t="s">
        <v>63</v>
      </c>
      <c r="G38" s="2" t="s">
        <v>66</v>
      </c>
    </row>
    <row r="39" spans="2:9" x14ac:dyDescent="0.25">
      <c r="B39" s="3" t="s">
        <v>21</v>
      </c>
      <c r="C39" s="4">
        <v>104.58</v>
      </c>
      <c r="D39" s="4">
        <v>13.25</v>
      </c>
      <c r="E39" s="9">
        <v>0.55000000000000004</v>
      </c>
      <c r="F39" s="7">
        <f>(C39+D39)/$F$37-1</f>
        <v>0.17583075541363136</v>
      </c>
      <c r="G39" s="7">
        <f>(F39-$F$42)^2</f>
        <v>6.3791404779829284E-4</v>
      </c>
      <c r="H39" s="29" t="s">
        <v>68</v>
      </c>
      <c r="I39" s="27">
        <f>SUMPRODUCT(E39:E41,G39:G41)</f>
        <v>8.4077692907163809E-4</v>
      </c>
    </row>
    <row r="40" spans="2:9" x14ac:dyDescent="0.25">
      <c r="B40" s="3" t="s">
        <v>22</v>
      </c>
      <c r="C40" s="4">
        <v>100</v>
      </c>
      <c r="D40" s="4">
        <v>13.25</v>
      </c>
      <c r="E40" s="9">
        <v>0.25</v>
      </c>
      <c r="F40" s="7">
        <f t="shared" ref="F40:F41" si="4">(C40+D40)/$F$37-1</f>
        <v>0.13012673385889628</v>
      </c>
      <c r="G40" s="7">
        <f t="shared" ref="G40:G41" si="5">(F40-$F$42)^2</f>
        <v>4.1808231055269273E-4</v>
      </c>
      <c r="H40" s="29" t="s">
        <v>67</v>
      </c>
      <c r="I40" s="27">
        <f>SQRT(I39)</f>
        <v>2.899615369444089E-2</v>
      </c>
    </row>
    <row r="41" spans="2:9" x14ac:dyDescent="0.25">
      <c r="B41" s="3" t="s">
        <v>23</v>
      </c>
      <c r="C41" s="4">
        <v>97.65</v>
      </c>
      <c r="D41" s="25">
        <v>13.25</v>
      </c>
      <c r="E41" s="9">
        <v>0.2</v>
      </c>
      <c r="F41" s="7">
        <f t="shared" si="4"/>
        <v>0.10667598044107396</v>
      </c>
      <c r="G41" s="7">
        <f t="shared" si="5"/>
        <v>1.9270181257220189E-3</v>
      </c>
    </row>
    <row r="42" spans="2:9" x14ac:dyDescent="0.25">
      <c r="B42" s="22"/>
      <c r="C42" s="23"/>
      <c r="D42" s="23"/>
      <c r="E42" s="26" t="s">
        <v>64</v>
      </c>
      <c r="F42" s="27">
        <f>+SUMPRODUCT(E39:E41,F39:F41)</f>
        <v>0.15057379503043614</v>
      </c>
    </row>
    <row r="44" spans="2:9" ht="33.75" customHeight="1" x14ac:dyDescent="0.25">
      <c r="B44" s="34" t="s">
        <v>26</v>
      </c>
      <c r="C44" s="34"/>
      <c r="D44" s="34"/>
      <c r="E44" s="34"/>
      <c r="F44" s="34"/>
      <c r="G44" s="34"/>
      <c r="H44" s="34"/>
    </row>
    <row r="46" spans="2:9" x14ac:dyDescent="0.25">
      <c r="B46" s="26" t="s">
        <v>69</v>
      </c>
      <c r="C46" s="27">
        <f>0.0731-0.0425</f>
        <v>3.0599999999999995E-2</v>
      </c>
    </row>
    <row r="48" spans="2:9" ht="33.75" customHeight="1" x14ac:dyDescent="0.25">
      <c r="B48" s="34" t="s">
        <v>27</v>
      </c>
      <c r="C48" s="34"/>
      <c r="D48" s="34"/>
      <c r="E48" s="34"/>
      <c r="F48" s="34"/>
      <c r="G48" s="34"/>
      <c r="H48" s="34"/>
    </row>
    <row r="50" spans="2:8" x14ac:dyDescent="0.25">
      <c r="B50" s="26" t="s">
        <v>70</v>
      </c>
      <c r="C50" s="27">
        <f>G50-G51</f>
        <v>3.2299999999999995E-2</v>
      </c>
      <c r="F50" s="26" t="s">
        <v>71</v>
      </c>
      <c r="G50" s="7">
        <v>8.8499999999999995E-2</v>
      </c>
    </row>
    <row r="51" spans="2:8" x14ac:dyDescent="0.25">
      <c r="B51" s="26" t="s">
        <v>69</v>
      </c>
      <c r="C51" s="27">
        <f>(G50-G51/(1+G51))</f>
        <v>3.5290380609733003E-2</v>
      </c>
      <c r="F51" s="29" t="s">
        <v>72</v>
      </c>
      <c r="G51" s="7">
        <v>5.62E-2</v>
      </c>
    </row>
    <row r="53" spans="2:8" x14ac:dyDescent="0.25">
      <c r="B53" s="33" t="s">
        <v>28</v>
      </c>
      <c r="C53" s="33"/>
      <c r="D53" s="33"/>
      <c r="E53" s="33"/>
      <c r="F53" s="33"/>
      <c r="G53" s="33"/>
      <c r="H53" s="33"/>
    </row>
    <row r="55" spans="2:8" x14ac:dyDescent="0.25">
      <c r="B55" s="2" t="s">
        <v>29</v>
      </c>
      <c r="C55" s="2" t="s">
        <v>7</v>
      </c>
      <c r="D55" s="2" t="s">
        <v>61</v>
      </c>
      <c r="E55" s="2" t="s">
        <v>74</v>
      </c>
      <c r="G55" s="26" t="s">
        <v>73</v>
      </c>
      <c r="H55" s="7">
        <f>(E57*E58*E59*E60)^(1/4)-1</f>
        <v>7.9814392564978576E-3</v>
      </c>
    </row>
    <row r="56" spans="2:8" x14ac:dyDescent="0.25">
      <c r="B56" s="3">
        <v>0</v>
      </c>
      <c r="C56" s="4">
        <v>99.35</v>
      </c>
      <c r="D56" s="4"/>
      <c r="E56" s="4"/>
    </row>
    <row r="57" spans="2:8" x14ac:dyDescent="0.25">
      <c r="B57" s="3">
        <v>1</v>
      </c>
      <c r="C57" s="4">
        <v>101.34</v>
      </c>
      <c r="D57" s="7">
        <f>+C57/C56-1</f>
        <v>2.0030196275792722E-2</v>
      </c>
      <c r="E57" s="7">
        <f>1+D57</f>
        <v>1.0200301962757927</v>
      </c>
    </row>
    <row r="58" spans="2:8" x14ac:dyDescent="0.25">
      <c r="B58" s="3">
        <v>2</v>
      </c>
      <c r="C58" s="4">
        <v>99.72</v>
      </c>
      <c r="D58" s="7">
        <f t="shared" ref="D58:D60" si="6">+C58/C57-1</f>
        <v>-1.5985790408525768E-2</v>
      </c>
      <c r="E58" s="7">
        <f t="shared" ref="E58:E60" si="7">1+D58</f>
        <v>0.98401420959147423</v>
      </c>
    </row>
    <row r="59" spans="2:8" x14ac:dyDescent="0.25">
      <c r="B59" s="3">
        <v>3</v>
      </c>
      <c r="C59" s="4">
        <v>98.45</v>
      </c>
      <c r="D59" s="7">
        <f t="shared" si="6"/>
        <v>-1.2735659847573189E-2</v>
      </c>
      <c r="E59" s="7">
        <f t="shared" si="7"/>
        <v>0.98726434015242681</v>
      </c>
    </row>
    <row r="60" spans="2:8" x14ac:dyDescent="0.25">
      <c r="B60" s="3">
        <v>4</v>
      </c>
      <c r="C60" s="4">
        <v>102.56</v>
      </c>
      <c r="D60" s="7">
        <f t="shared" si="6"/>
        <v>4.1747079735906523E-2</v>
      </c>
      <c r="E60" s="7">
        <f t="shared" si="7"/>
        <v>1.0417470797359065</v>
      </c>
    </row>
    <row r="62" spans="2:8" ht="80.25" customHeight="1" x14ac:dyDescent="0.25">
      <c r="B62" s="34" t="s">
        <v>83</v>
      </c>
      <c r="C62" s="34"/>
      <c r="D62" s="34"/>
      <c r="E62" s="34"/>
      <c r="F62" s="34"/>
      <c r="G62" s="34"/>
      <c r="H62" s="34"/>
    </row>
    <row r="64" spans="2:8" x14ac:dyDescent="0.25">
      <c r="C64" s="26" t="s">
        <v>75</v>
      </c>
      <c r="D64" s="7">
        <f>(65000/50000)*(72000/(65000+15000))*(75000/(72000-8000)*(79000/(75000+10000)))-1</f>
        <v>0.27431066176470598</v>
      </c>
    </row>
    <row r="66" spans="2:8" x14ac:dyDescent="0.25">
      <c r="B66" s="33" t="s">
        <v>30</v>
      </c>
      <c r="C66" s="33"/>
      <c r="D66" s="33"/>
      <c r="E66" s="33"/>
      <c r="F66" s="33"/>
      <c r="G66" s="33"/>
      <c r="H66" s="33"/>
    </row>
    <row r="68" spans="2:8" x14ac:dyDescent="0.25">
      <c r="C68" s="26" t="s">
        <v>47</v>
      </c>
      <c r="D68" s="9">
        <f>15000-8000+10000</f>
        <v>17000</v>
      </c>
    </row>
    <row r="69" spans="2:8" x14ac:dyDescent="0.25">
      <c r="C69" s="26" t="s">
        <v>76</v>
      </c>
      <c r="D69" s="9">
        <f>79000-50000-D68</f>
        <v>12000</v>
      </c>
    </row>
    <row r="70" spans="2:8" x14ac:dyDescent="0.25">
      <c r="C70" s="26" t="s">
        <v>77</v>
      </c>
      <c r="D70" s="7">
        <f>D69/((50000+(15000*(7/12))-(8000*(3/12))+(10000*(1/12))))</f>
        <v>0.20839363241678727</v>
      </c>
    </row>
    <row r="72" spans="2:8" x14ac:dyDescent="0.25">
      <c r="B72" s="33" t="s">
        <v>31</v>
      </c>
      <c r="C72" s="33"/>
      <c r="D72" s="33"/>
      <c r="E72" s="33"/>
      <c r="F72" s="33"/>
      <c r="G72" s="33"/>
      <c r="H72" s="33"/>
    </row>
    <row r="74" spans="2:8" x14ac:dyDescent="0.25">
      <c r="B74" s="2" t="s">
        <v>29</v>
      </c>
      <c r="C74" s="2" t="s">
        <v>7</v>
      </c>
      <c r="D74" s="2" t="s">
        <v>61</v>
      </c>
      <c r="E74" s="2" t="s">
        <v>66</v>
      </c>
    </row>
    <row r="75" spans="2:8" x14ac:dyDescent="0.25">
      <c r="B75" s="3">
        <v>0</v>
      </c>
      <c r="C75" s="4">
        <v>99.56</v>
      </c>
      <c r="D75" s="4"/>
      <c r="E75" s="4"/>
      <c r="F75" s="29" t="s">
        <v>68</v>
      </c>
      <c r="G75" s="27">
        <f>SUM(E76:E78)/(COUNT(E76:E78)-1)</f>
        <v>2.113647032681832E-5</v>
      </c>
    </row>
    <row r="76" spans="2:8" x14ac:dyDescent="0.25">
      <c r="B76" s="3">
        <v>1</v>
      </c>
      <c r="C76" s="4">
        <v>100.03</v>
      </c>
      <c r="D76" s="7">
        <f>+C76/C75-1</f>
        <v>4.7207713941341822E-3</v>
      </c>
      <c r="E76" s="7">
        <f t="shared" ref="E76:E78" si="8">(D76-$D$79)^2</f>
        <v>1.3275011936773866E-5</v>
      </c>
      <c r="F76" s="29" t="s">
        <v>67</v>
      </c>
      <c r="G76" s="27">
        <f>SQRT(G75)</f>
        <v>4.597441715434609E-3</v>
      </c>
    </row>
    <row r="77" spans="2:8" x14ac:dyDescent="0.25">
      <c r="B77" s="3">
        <v>2</v>
      </c>
      <c r="C77" s="4">
        <v>100.29</v>
      </c>
      <c r="D77" s="7">
        <f t="shared" ref="D77:D78" si="9">+C77/C76-1</f>
        <v>2.5992202339297776E-3</v>
      </c>
      <c r="E77" s="7">
        <f t="shared" si="8"/>
        <v>2.3162947228932334E-6</v>
      </c>
      <c r="F77" s="29" t="s">
        <v>78</v>
      </c>
      <c r="G77" s="27">
        <f>G76*SQRT(3)</f>
        <v>7.963002635969359E-3</v>
      </c>
    </row>
    <row r="78" spans="2:8" x14ac:dyDescent="0.25">
      <c r="B78" s="3">
        <v>3</v>
      </c>
      <c r="C78" s="4">
        <v>99.88</v>
      </c>
      <c r="D78" s="7">
        <f t="shared" si="9"/>
        <v>-4.0881443812943452E-3</v>
      </c>
      <c r="E78" s="7">
        <f t="shared" si="8"/>
        <v>2.6681633993969537E-5</v>
      </c>
    </row>
    <row r="79" spans="2:8" x14ac:dyDescent="0.25">
      <c r="B79" s="22"/>
      <c r="C79" s="26" t="s">
        <v>64</v>
      </c>
      <c r="D79" s="27">
        <f>AVERAGE(D76:D78)</f>
        <v>1.0772824155898715E-3</v>
      </c>
    </row>
    <row r="80" spans="2:8" x14ac:dyDescent="0.25">
      <c r="B80" s="22"/>
      <c r="C80" s="23"/>
      <c r="D80" s="24"/>
    </row>
    <row r="82" spans="2:8" x14ac:dyDescent="0.25">
      <c r="B82" s="33" t="s">
        <v>32</v>
      </c>
      <c r="C82" s="33"/>
      <c r="D82" s="33"/>
      <c r="E82" s="33"/>
      <c r="F82" s="33"/>
      <c r="G82" s="33"/>
      <c r="H82" s="33"/>
    </row>
    <row r="83" spans="2:8" x14ac:dyDescent="0.25">
      <c r="B83" s="8"/>
      <c r="C83" s="8"/>
      <c r="D83" s="8"/>
      <c r="E83" s="8"/>
      <c r="F83" s="8"/>
      <c r="G83" s="8"/>
      <c r="H83" s="8"/>
    </row>
    <row r="84" spans="2:8" x14ac:dyDescent="0.25">
      <c r="B84" s="8"/>
      <c r="C84" s="29" t="s">
        <v>80</v>
      </c>
      <c r="D84" s="30">
        <f>MAX(C75:C78)</f>
        <v>100.29</v>
      </c>
      <c r="E84" s="8"/>
      <c r="F84" s="8"/>
      <c r="G84" s="8"/>
      <c r="H84" s="8"/>
    </row>
    <row r="85" spans="2:8" x14ac:dyDescent="0.25">
      <c r="B85" s="8"/>
      <c r="C85" s="29" t="s">
        <v>81</v>
      </c>
      <c r="D85" s="30">
        <f>MIN(C76:C79)</f>
        <v>99.88</v>
      </c>
      <c r="E85" s="8"/>
      <c r="F85" s="8"/>
      <c r="G85" s="8"/>
      <c r="H85" s="8"/>
    </row>
    <row r="86" spans="2:8" x14ac:dyDescent="0.25">
      <c r="B86" s="8"/>
      <c r="C86" s="29" t="s">
        <v>79</v>
      </c>
      <c r="D86" s="27">
        <f>(D85-D84)/D84</f>
        <v>-4.0881443812943539E-3</v>
      </c>
      <c r="E86" s="8"/>
      <c r="F86" s="8"/>
      <c r="G86" s="8"/>
      <c r="H86" s="8"/>
    </row>
    <row r="88" spans="2:8" ht="28.5" customHeight="1" x14ac:dyDescent="0.25">
      <c r="B88" s="32" t="s">
        <v>84</v>
      </c>
      <c r="C88" s="32"/>
      <c r="D88" s="32"/>
      <c r="E88" s="32"/>
      <c r="F88" s="32"/>
      <c r="G88" s="32"/>
      <c r="H88" s="32"/>
    </row>
    <row r="90" spans="2:8" x14ac:dyDescent="0.25">
      <c r="C90" s="29" t="s">
        <v>82</v>
      </c>
      <c r="D90" s="31">
        <f>(D79-0.0005)/G76</f>
        <v>0.12556601069064327</v>
      </c>
    </row>
  </sheetData>
  <mergeCells count="14">
    <mergeCell ref="B72:H72"/>
    <mergeCell ref="B82:H82"/>
    <mergeCell ref="B88:H88"/>
    <mergeCell ref="B36:H36"/>
    <mergeCell ref="B44:H44"/>
    <mergeCell ref="B48:H48"/>
    <mergeCell ref="B53:H53"/>
    <mergeCell ref="B62:H62"/>
    <mergeCell ref="B66:H66"/>
    <mergeCell ref="B4:H4"/>
    <mergeCell ref="B7:H7"/>
    <mergeCell ref="B14:H14"/>
    <mergeCell ref="B24:H24"/>
    <mergeCell ref="B32:H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FB31C-E56F-4807-BBB6-8591367D178A}">
  <dimension ref="B2:K63"/>
  <sheetViews>
    <sheetView showGridLines="0" tabSelected="1" topLeftCell="A55" workbookViewId="0">
      <selection activeCell="D55" sqref="D55"/>
    </sheetView>
  </sheetViews>
  <sheetFormatPr baseColWidth="10" defaultRowHeight="15" x14ac:dyDescent="0.25"/>
  <cols>
    <col min="2" max="2" width="2" style="11" bestFit="1" customWidth="1"/>
    <col min="8" max="8" width="15.140625" customWidth="1"/>
  </cols>
  <sheetData>
    <row r="2" spans="2:11" x14ac:dyDescent="0.25">
      <c r="C2" s="1" t="s">
        <v>33</v>
      </c>
    </row>
    <row r="4" spans="2:11" ht="60" customHeight="1" x14ac:dyDescent="0.25">
      <c r="B4" s="11">
        <v>1</v>
      </c>
      <c r="C4" s="32" t="s">
        <v>34</v>
      </c>
      <c r="D4" s="32"/>
      <c r="E4" s="32"/>
      <c r="F4" s="32"/>
      <c r="G4" s="32"/>
      <c r="H4" s="32"/>
      <c r="I4" s="32"/>
      <c r="J4" s="32"/>
      <c r="K4" s="32"/>
    </row>
    <row r="6" spans="2:11" x14ac:dyDescent="0.25">
      <c r="C6" s="10" t="s">
        <v>35</v>
      </c>
      <c r="D6" s="10" t="s">
        <v>36</v>
      </c>
      <c r="E6" s="10" t="s">
        <v>37</v>
      </c>
    </row>
    <row r="7" spans="2:11" x14ac:dyDescent="0.25">
      <c r="C7" s="10">
        <v>0.3</v>
      </c>
      <c r="D7" s="10">
        <v>0.15</v>
      </c>
      <c r="E7" s="10">
        <v>0.04</v>
      </c>
    </row>
    <row r="8" spans="2:11" x14ac:dyDescent="0.25">
      <c r="C8" s="10">
        <v>0.7</v>
      </c>
      <c r="D8" s="10">
        <v>0.06</v>
      </c>
      <c r="E8" s="10">
        <v>0</v>
      </c>
    </row>
    <row r="9" spans="2:11" x14ac:dyDescent="0.25">
      <c r="D9" s="10">
        <f>+SUMPRODUCT(C7:C8,D7:D8)</f>
        <v>8.6999999999999994E-2</v>
      </c>
      <c r="E9" s="10">
        <f>(C7^2)*E7</f>
        <v>3.5999999999999999E-3</v>
      </c>
    </row>
    <row r="12" spans="2:11" ht="43.5" customHeight="1" x14ac:dyDescent="0.25">
      <c r="B12" s="11">
        <v>2</v>
      </c>
      <c r="C12" s="32" t="s">
        <v>38</v>
      </c>
      <c r="D12" s="32"/>
      <c r="E12" s="32"/>
      <c r="F12" s="32"/>
      <c r="G12" s="32"/>
      <c r="H12" s="32"/>
      <c r="I12" s="32"/>
      <c r="J12" s="32"/>
      <c r="K12" s="32"/>
    </row>
    <row r="13" spans="2:11" x14ac:dyDescent="0.25">
      <c r="C13" s="32" t="s">
        <v>39</v>
      </c>
      <c r="D13" s="32"/>
      <c r="E13" s="32"/>
      <c r="F13" s="32"/>
      <c r="G13" s="32"/>
      <c r="H13" s="32"/>
      <c r="I13" s="32"/>
      <c r="J13" s="32"/>
      <c r="K13" s="32"/>
    </row>
    <row r="15" spans="2:11" x14ac:dyDescent="0.25">
      <c r="C15" t="s">
        <v>40</v>
      </c>
      <c r="H15" s="19">
        <f>0.04/0.07</f>
        <v>0.5714285714285714</v>
      </c>
    </row>
    <row r="17" spans="2:11" x14ac:dyDescent="0.25">
      <c r="C17" s="32" t="s">
        <v>41</v>
      </c>
      <c r="D17" s="32"/>
      <c r="E17" s="32"/>
      <c r="F17" s="32"/>
      <c r="G17" s="32"/>
      <c r="H17" s="32"/>
      <c r="I17" s="32"/>
      <c r="J17" s="32"/>
      <c r="K17" s="32"/>
    </row>
    <row r="19" spans="2:11" x14ac:dyDescent="0.25">
      <c r="C19" t="s">
        <v>42</v>
      </c>
    </row>
    <row r="21" spans="2:11" ht="28.5" customHeight="1" x14ac:dyDescent="0.25">
      <c r="B21" s="11">
        <v>3</v>
      </c>
      <c r="C21" s="32" t="s">
        <v>49</v>
      </c>
      <c r="D21" s="32"/>
      <c r="E21" s="32"/>
      <c r="F21" s="32"/>
      <c r="G21" s="32"/>
      <c r="H21" s="32"/>
      <c r="I21" s="32"/>
      <c r="J21" s="32"/>
      <c r="K21" s="32"/>
    </row>
    <row r="22" spans="2:11" x14ac:dyDescent="0.25">
      <c r="C22" s="12" t="s">
        <v>44</v>
      </c>
      <c r="D22" s="14" t="s">
        <v>36</v>
      </c>
      <c r="E22" s="10" t="s">
        <v>35</v>
      </c>
    </row>
    <row r="23" spans="2:11" x14ac:dyDescent="0.25">
      <c r="C23" s="12" t="s">
        <v>43</v>
      </c>
      <c r="D23" s="13">
        <v>0.15</v>
      </c>
      <c r="E23" s="15">
        <v>0.25</v>
      </c>
    </row>
    <row r="24" spans="2:11" x14ac:dyDescent="0.25">
      <c r="C24" s="12" t="s">
        <v>45</v>
      </c>
      <c r="D24" s="13">
        <v>0.1</v>
      </c>
      <c r="E24" s="15">
        <v>0.25</v>
      </c>
    </row>
    <row r="25" spans="2:11" x14ac:dyDescent="0.25">
      <c r="C25" s="12" t="s">
        <v>46</v>
      </c>
      <c r="D25" s="13">
        <v>0.22</v>
      </c>
      <c r="E25" s="15">
        <v>0.25</v>
      </c>
    </row>
    <row r="26" spans="2:11" x14ac:dyDescent="0.25">
      <c r="C26" s="12" t="s">
        <v>47</v>
      </c>
      <c r="D26" s="13">
        <v>0.14000000000000001</v>
      </c>
      <c r="E26" s="15">
        <v>0.25</v>
      </c>
    </row>
    <row r="27" spans="2:11" x14ac:dyDescent="0.25">
      <c r="C27" s="12"/>
      <c r="D27" s="13"/>
    </row>
    <row r="28" spans="2:11" x14ac:dyDescent="0.25">
      <c r="C28" s="12"/>
      <c r="D28" s="16">
        <f>+SUMPRODUCT(D23:D26,E23:E26)</f>
        <v>0.1525</v>
      </c>
    </row>
    <row r="29" spans="2:11" x14ac:dyDescent="0.25">
      <c r="C29" s="12"/>
      <c r="D29" s="13"/>
    </row>
    <row r="31" spans="2:11" ht="32.25" customHeight="1" x14ac:dyDescent="0.25">
      <c r="B31" s="11">
        <v>4</v>
      </c>
      <c r="C31" s="32" t="s">
        <v>48</v>
      </c>
      <c r="D31" s="32"/>
      <c r="E31" s="32"/>
      <c r="F31" s="32"/>
      <c r="G31" s="32"/>
      <c r="H31" s="32"/>
      <c r="I31" s="32"/>
      <c r="J31" s="32"/>
      <c r="K31" s="32"/>
    </row>
    <row r="33" spans="2:11" x14ac:dyDescent="0.25">
      <c r="C33" s="12" t="s">
        <v>43</v>
      </c>
      <c r="D33" s="13">
        <v>0.15</v>
      </c>
      <c r="E33" s="15">
        <v>0.3</v>
      </c>
    </row>
    <row r="34" spans="2:11" x14ac:dyDescent="0.25">
      <c r="C34" s="12" t="s">
        <v>46</v>
      </c>
      <c r="D34" s="13">
        <v>0.22</v>
      </c>
      <c r="E34" s="15">
        <v>0.5</v>
      </c>
    </row>
    <row r="35" spans="2:11" x14ac:dyDescent="0.25">
      <c r="C35" s="12" t="s">
        <v>47</v>
      </c>
      <c r="D35" s="13">
        <v>0.14000000000000001</v>
      </c>
      <c r="E35" s="15">
        <v>0.2</v>
      </c>
    </row>
    <row r="37" spans="2:11" x14ac:dyDescent="0.25">
      <c r="E37" s="16">
        <f>+SUMPRODUCT(D33:D35,E33:E35)</f>
        <v>0.183</v>
      </c>
    </row>
    <row r="39" spans="2:11" ht="42.75" customHeight="1" x14ac:dyDescent="0.25">
      <c r="C39" s="32" t="s">
        <v>51</v>
      </c>
      <c r="D39" s="32"/>
      <c r="E39" s="32"/>
      <c r="F39" s="32"/>
      <c r="G39" s="32"/>
      <c r="H39" s="32"/>
      <c r="I39" s="32"/>
      <c r="J39" s="32"/>
      <c r="K39" s="32"/>
    </row>
    <row r="41" spans="2:11" ht="28.5" customHeight="1" x14ac:dyDescent="0.25">
      <c r="B41" s="11">
        <v>5</v>
      </c>
      <c r="C41" s="32" t="s">
        <v>50</v>
      </c>
      <c r="D41" s="32"/>
      <c r="E41" s="32"/>
      <c r="F41" s="32"/>
      <c r="G41" s="32"/>
      <c r="H41" s="32"/>
      <c r="I41" s="32"/>
      <c r="J41" s="32"/>
      <c r="K41" s="32"/>
    </row>
    <row r="43" spans="2:11" x14ac:dyDescent="0.25">
      <c r="C43" s="10" t="s">
        <v>35</v>
      </c>
      <c r="D43" s="15" t="s">
        <v>36</v>
      </c>
    </row>
    <row r="44" spans="2:11" x14ac:dyDescent="0.25">
      <c r="C44" s="15">
        <v>0.6</v>
      </c>
      <c r="D44" s="17">
        <v>0.14000000000000001</v>
      </c>
    </row>
    <row r="45" spans="2:11" x14ac:dyDescent="0.25">
      <c r="C45" s="15">
        <v>0.4</v>
      </c>
      <c r="D45" s="17">
        <v>0.1</v>
      </c>
    </row>
    <row r="46" spans="2:11" x14ac:dyDescent="0.25">
      <c r="D46" s="18">
        <f>SUMPRODUCT(C44:C45,D44:D45)</f>
        <v>0.12400000000000001</v>
      </c>
    </row>
    <row r="48" spans="2:11" x14ac:dyDescent="0.25">
      <c r="C48" t="s">
        <v>52</v>
      </c>
    </row>
    <row r="50" spans="2:11" ht="32.25" customHeight="1" x14ac:dyDescent="0.25">
      <c r="B50" s="11">
        <v>6</v>
      </c>
      <c r="C50" s="32" t="s">
        <v>53</v>
      </c>
      <c r="D50" s="32"/>
      <c r="E50" s="32"/>
      <c r="F50" s="32"/>
      <c r="G50" s="32"/>
      <c r="H50" s="32"/>
      <c r="I50" s="32"/>
      <c r="J50" s="32"/>
      <c r="K50" s="32"/>
    </row>
    <row r="52" spans="2:11" x14ac:dyDescent="0.25">
      <c r="C52" t="s">
        <v>54</v>
      </c>
    </row>
    <row r="53" spans="2:11" x14ac:dyDescent="0.25">
      <c r="C53" t="s">
        <v>55</v>
      </c>
    </row>
    <row r="55" spans="2:11" x14ac:dyDescent="0.25">
      <c r="C55" s="10" t="s">
        <v>56</v>
      </c>
      <c r="D55" s="10">
        <v>0.68</v>
      </c>
    </row>
    <row r="56" spans="2:11" x14ac:dyDescent="0.25">
      <c r="C56" s="10">
        <v>0.6</v>
      </c>
      <c r="D56" s="10">
        <f>C56*D55</f>
        <v>0.40800000000000003</v>
      </c>
    </row>
    <row r="57" spans="2:11" x14ac:dyDescent="0.25">
      <c r="C57" s="10">
        <v>0.4</v>
      </c>
      <c r="D57" s="10">
        <f>+C57*D55</f>
        <v>0.27200000000000002</v>
      </c>
    </row>
    <row r="59" spans="2:11" ht="32.25" customHeight="1" x14ac:dyDescent="0.25">
      <c r="B59" s="11">
        <v>7</v>
      </c>
      <c r="C59" s="32" t="s">
        <v>57</v>
      </c>
      <c r="D59" s="32"/>
      <c r="E59" s="32"/>
      <c r="F59" s="32"/>
      <c r="G59" s="32"/>
      <c r="H59" s="32"/>
      <c r="I59" s="32"/>
      <c r="J59" s="32"/>
      <c r="K59" s="32"/>
    </row>
    <row r="61" spans="2:11" x14ac:dyDescent="0.25">
      <c r="C61">
        <v>0.4</v>
      </c>
      <c r="D61" s="19">
        <v>1000</v>
      </c>
      <c r="E61">
        <f>C61*D61</f>
        <v>400</v>
      </c>
    </row>
    <row r="62" spans="2:11" x14ac:dyDescent="0.25">
      <c r="D62" t="s">
        <v>58</v>
      </c>
      <c r="E62">
        <v>0.6</v>
      </c>
      <c r="F62">
        <f>+E61*E62</f>
        <v>240</v>
      </c>
    </row>
    <row r="63" spans="2:11" x14ac:dyDescent="0.25">
      <c r="D63" t="s">
        <v>59</v>
      </c>
      <c r="E63">
        <v>0.4</v>
      </c>
      <c r="F63">
        <f>+E61*E63</f>
        <v>160</v>
      </c>
    </row>
  </sheetData>
  <mergeCells count="10">
    <mergeCell ref="C31:K31"/>
    <mergeCell ref="C39:K39"/>
    <mergeCell ref="C41:K41"/>
    <mergeCell ref="C50:K50"/>
    <mergeCell ref="C59:K59"/>
    <mergeCell ref="C4:K4"/>
    <mergeCell ref="C12:K12"/>
    <mergeCell ref="C13:K13"/>
    <mergeCell ref="C17:K17"/>
    <mergeCell ref="C21:K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Módulo 1</vt:lpstr>
      <vt:lpstr>Módulo 2</vt:lpstr>
    </vt:vector>
  </TitlesOfParts>
  <Company>Bursametrica Casa de Bolsa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 Espinosa Zayas</dc:creator>
  <cp:lastModifiedBy>Karla Espinosa Zayas</cp:lastModifiedBy>
  <dcterms:created xsi:type="dcterms:W3CDTF">2021-08-11T22:06:57Z</dcterms:created>
  <dcterms:modified xsi:type="dcterms:W3CDTF">2021-09-28T01:36:32Z</dcterms:modified>
</cp:coreProperties>
</file>