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1\ceinf\EQUIPE DELTA\PROJETO_BILHETAGEM\DOCUMENTAÇÃO\DOCUMENTOS OPERACIONAIS\BILHETAGEM\"/>
    </mc:Choice>
  </mc:AlternateContent>
  <xr:revisionPtr revIDLastSave="0" documentId="13_ncr:1_{B513B802-B843-40B8-A8F7-24451E4024D7}" xr6:coauthVersionLast="47" xr6:coauthVersionMax="47" xr10:uidLastSave="{00000000-0000-0000-0000-000000000000}"/>
  <bookViews>
    <workbookView xWindow="28680" yWindow="-120" windowWidth="29040" windowHeight="15840" tabRatio="915" xr2:uid="{00000000-000D-0000-FFFF-FFFF00000000}"/>
  </bookViews>
  <sheets>
    <sheet name="OUT.2022 " sheetId="76" r:id="rId1"/>
    <sheet name="SET.2022" sheetId="75" r:id="rId2"/>
    <sheet name="AGO.2022" sheetId="73" r:id="rId3"/>
    <sheet name="JAN" sheetId="70" r:id="rId4"/>
    <sheet name="JUL.2022  " sheetId="72" r:id="rId5"/>
    <sheet name="JUN.2022 " sheetId="71" r:id="rId6"/>
    <sheet name="MAI.2022" sheetId="69" r:id="rId7"/>
    <sheet name="ABR.2022" sheetId="67" r:id="rId8"/>
    <sheet name="MAR.2022" sheetId="66" r:id="rId9"/>
    <sheet name="FEV.2022" sheetId="65" r:id="rId10"/>
    <sheet name="JAN.2022" sheetId="64" r:id="rId11"/>
  </sheets>
  <definedNames>
    <definedName name="OLE_LINK2" localSheetId="7">ABR.2022!#REF!</definedName>
    <definedName name="OLE_LINK2" localSheetId="2">AGO.2022!#REF!</definedName>
    <definedName name="OLE_LINK2" localSheetId="9">FEV.2022!#REF!</definedName>
    <definedName name="OLE_LINK2" localSheetId="3">JAN!#REF!</definedName>
    <definedName name="OLE_LINK2" localSheetId="10">JAN.2022!#REF!</definedName>
    <definedName name="OLE_LINK2" localSheetId="4">'JUL.2022  '!#REF!</definedName>
    <definedName name="OLE_LINK2" localSheetId="5">'JUN.2022 '!#REF!</definedName>
    <definedName name="OLE_LINK2" localSheetId="6">MAI.2022!#REF!</definedName>
    <definedName name="OLE_LINK2" localSheetId="8">MAR.2022!#REF!</definedName>
    <definedName name="OLE_LINK2" localSheetId="0">'OUT.2022 '!#REF!</definedName>
    <definedName name="OLE_LINK2" localSheetId="1">SET.2022!#REF!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" i="76" l="1"/>
  <c r="Q7" i="76"/>
  <c r="S7" i="76" s="1"/>
  <c r="P7" i="76"/>
  <c r="O7" i="76"/>
  <c r="N7" i="76"/>
  <c r="R6" i="76"/>
  <c r="S6" i="76" s="1"/>
  <c r="Q6" i="76"/>
  <c r="P6" i="76"/>
  <c r="O6" i="76"/>
  <c r="N6" i="76"/>
  <c r="R5" i="76"/>
  <c r="Q5" i="76"/>
  <c r="S5" i="76" s="1"/>
  <c r="P5" i="76"/>
  <c r="O5" i="76"/>
  <c r="N5" i="76"/>
  <c r="R4" i="76"/>
  <c r="Q4" i="76"/>
  <c r="P4" i="76"/>
  <c r="O4" i="76"/>
  <c r="N4" i="76"/>
  <c r="S4" i="76" s="1"/>
  <c r="S8" i="76"/>
  <c r="S10" i="76"/>
  <c r="S11" i="76"/>
  <c r="O33" i="75"/>
  <c r="R33" i="75"/>
  <c r="Q33" i="75"/>
  <c r="S33" i="75" s="1"/>
  <c r="P33" i="75"/>
  <c r="L35" i="76"/>
  <c r="K35" i="76"/>
  <c r="J35" i="76"/>
  <c r="I35" i="76"/>
  <c r="H35" i="76"/>
  <c r="F35" i="76"/>
  <c r="E35" i="76"/>
  <c r="D35" i="76"/>
  <c r="C35" i="76"/>
  <c r="B35" i="76"/>
  <c r="S34" i="76"/>
  <c r="M34" i="76"/>
  <c r="G34" i="76"/>
  <c r="S33" i="76"/>
  <c r="M33" i="76"/>
  <c r="G33" i="76"/>
  <c r="S32" i="76"/>
  <c r="M32" i="76"/>
  <c r="G32" i="76"/>
  <c r="S31" i="76"/>
  <c r="M31" i="76"/>
  <c r="G31" i="76"/>
  <c r="S30" i="76"/>
  <c r="M30" i="76"/>
  <c r="G30" i="76"/>
  <c r="S29" i="76"/>
  <c r="M29" i="76"/>
  <c r="G29" i="76"/>
  <c r="S28" i="76"/>
  <c r="M28" i="76"/>
  <c r="G28" i="76"/>
  <c r="S27" i="76"/>
  <c r="M27" i="76"/>
  <c r="G27" i="76"/>
  <c r="S26" i="76"/>
  <c r="M26" i="76"/>
  <c r="G26" i="76"/>
  <c r="S25" i="76"/>
  <c r="M25" i="76"/>
  <c r="G25" i="76"/>
  <c r="S24" i="76"/>
  <c r="M24" i="76"/>
  <c r="G24" i="76"/>
  <c r="S23" i="76"/>
  <c r="M23" i="76"/>
  <c r="G23" i="76"/>
  <c r="S22" i="76"/>
  <c r="M22" i="76"/>
  <c r="G22" i="76"/>
  <c r="S21" i="76"/>
  <c r="M21" i="76"/>
  <c r="G21" i="76"/>
  <c r="S20" i="76"/>
  <c r="M20" i="76"/>
  <c r="G20" i="76"/>
  <c r="S19" i="76"/>
  <c r="M19" i="76"/>
  <c r="G19" i="76"/>
  <c r="S18" i="76"/>
  <c r="M18" i="76"/>
  <c r="G18" i="76"/>
  <c r="S17" i="76"/>
  <c r="M17" i="76"/>
  <c r="G17" i="76"/>
  <c r="S16" i="76"/>
  <c r="M16" i="76"/>
  <c r="G16" i="76"/>
  <c r="S15" i="76"/>
  <c r="M15" i="76"/>
  <c r="G15" i="76"/>
  <c r="M14" i="76"/>
  <c r="G14" i="76"/>
  <c r="M13" i="76"/>
  <c r="G13" i="76"/>
  <c r="S12" i="76"/>
  <c r="M12" i="76"/>
  <c r="G12" i="76"/>
  <c r="M11" i="76"/>
  <c r="G11" i="76"/>
  <c r="M10" i="76"/>
  <c r="G10" i="76"/>
  <c r="S9" i="76"/>
  <c r="M9" i="76"/>
  <c r="G9" i="76"/>
  <c r="M8" i="76"/>
  <c r="G8" i="76"/>
  <c r="M7" i="76"/>
  <c r="G7" i="76"/>
  <c r="M6" i="76"/>
  <c r="G6" i="76"/>
  <c r="M5" i="76"/>
  <c r="G5" i="76"/>
  <c r="M4" i="76"/>
  <c r="G4" i="76"/>
  <c r="N33" i="75"/>
  <c r="R32" i="75"/>
  <c r="Q32" i="75"/>
  <c r="S32" i="75" s="1"/>
  <c r="P32" i="75"/>
  <c r="O32" i="75"/>
  <c r="N32" i="75"/>
  <c r="R31" i="75"/>
  <c r="Q31" i="75"/>
  <c r="P31" i="75"/>
  <c r="O31" i="75"/>
  <c r="N31" i="75"/>
  <c r="R30" i="75"/>
  <c r="Q30" i="75"/>
  <c r="P30" i="75"/>
  <c r="S30" i="75" s="1"/>
  <c r="O30" i="75"/>
  <c r="N30" i="75"/>
  <c r="R29" i="75"/>
  <c r="Q29" i="75"/>
  <c r="P29" i="75"/>
  <c r="O29" i="75"/>
  <c r="N29" i="75"/>
  <c r="R28" i="75"/>
  <c r="R27" i="75"/>
  <c r="R26" i="75"/>
  <c r="Q28" i="75"/>
  <c r="Q27" i="75"/>
  <c r="Q26" i="75"/>
  <c r="P28" i="75"/>
  <c r="P27" i="75"/>
  <c r="P26" i="75"/>
  <c r="O28" i="75"/>
  <c r="O27" i="75"/>
  <c r="O26" i="75"/>
  <c r="N27" i="75"/>
  <c r="N28" i="75"/>
  <c r="S27" i="75"/>
  <c r="N26" i="75"/>
  <c r="R25" i="75"/>
  <c r="Q25" i="75"/>
  <c r="P25" i="75"/>
  <c r="O25" i="75"/>
  <c r="N25" i="75"/>
  <c r="N24" i="75"/>
  <c r="R24" i="75"/>
  <c r="Q24" i="75"/>
  <c r="P24" i="75"/>
  <c r="S24" i="75" s="1"/>
  <c r="O24" i="75"/>
  <c r="R23" i="75"/>
  <c r="Q23" i="75"/>
  <c r="P23" i="75"/>
  <c r="O23" i="75"/>
  <c r="N23" i="75"/>
  <c r="R22" i="75"/>
  <c r="Q22" i="75"/>
  <c r="P22" i="75"/>
  <c r="O22" i="75"/>
  <c r="N22" i="75"/>
  <c r="Q21" i="75"/>
  <c r="R21" i="75"/>
  <c r="R20" i="75"/>
  <c r="R19" i="75"/>
  <c r="Q20" i="75"/>
  <c r="Q19" i="75"/>
  <c r="P21" i="75"/>
  <c r="P20" i="75"/>
  <c r="P19" i="75"/>
  <c r="O21" i="75"/>
  <c r="O20" i="75"/>
  <c r="O19" i="75"/>
  <c r="S19" i="75" s="1"/>
  <c r="N21" i="75"/>
  <c r="N20" i="75"/>
  <c r="N19" i="75"/>
  <c r="R18" i="75"/>
  <c r="Q18" i="75"/>
  <c r="P18" i="75"/>
  <c r="O18" i="75"/>
  <c r="N18" i="75"/>
  <c r="R17" i="75"/>
  <c r="Q17" i="75"/>
  <c r="P17" i="75"/>
  <c r="O17" i="75"/>
  <c r="N17" i="75"/>
  <c r="R16" i="75"/>
  <c r="Q16" i="75"/>
  <c r="P16" i="75"/>
  <c r="O16" i="75"/>
  <c r="N16" i="75"/>
  <c r="R15" i="75"/>
  <c r="Q15" i="75"/>
  <c r="P15" i="75"/>
  <c r="O15" i="75"/>
  <c r="N15" i="75"/>
  <c r="R13" i="75"/>
  <c r="R14" i="75"/>
  <c r="R12" i="75"/>
  <c r="Q14" i="75"/>
  <c r="Q13" i="75"/>
  <c r="Q12" i="75"/>
  <c r="P14" i="75"/>
  <c r="P13" i="75"/>
  <c r="P12" i="75"/>
  <c r="O14" i="75"/>
  <c r="O13" i="75"/>
  <c r="O12" i="75"/>
  <c r="N14" i="75"/>
  <c r="N13" i="75"/>
  <c r="N12" i="75"/>
  <c r="R11" i="75"/>
  <c r="Q11" i="75"/>
  <c r="P11" i="75"/>
  <c r="O11" i="75"/>
  <c r="N11" i="75"/>
  <c r="R10" i="75"/>
  <c r="Q10" i="75"/>
  <c r="P10" i="75"/>
  <c r="O10" i="75"/>
  <c r="N10" i="75"/>
  <c r="R9" i="75"/>
  <c r="Q9" i="75"/>
  <c r="P9" i="75"/>
  <c r="O9" i="75"/>
  <c r="N9" i="75"/>
  <c r="R8" i="75"/>
  <c r="Q8" i="75"/>
  <c r="P8" i="75"/>
  <c r="O8" i="75"/>
  <c r="N8" i="75"/>
  <c r="R7" i="75"/>
  <c r="Q7" i="75"/>
  <c r="P7" i="75"/>
  <c r="O7" i="75"/>
  <c r="N7" i="75"/>
  <c r="R6" i="75"/>
  <c r="Q6" i="75"/>
  <c r="P6" i="75"/>
  <c r="O6" i="75"/>
  <c r="N6" i="75"/>
  <c r="R5" i="75"/>
  <c r="Q5" i="75"/>
  <c r="P5" i="75"/>
  <c r="O5" i="75"/>
  <c r="S5" i="75" s="1"/>
  <c r="N5" i="75"/>
  <c r="R4" i="75"/>
  <c r="Q4" i="75"/>
  <c r="P4" i="75"/>
  <c r="O4" i="75"/>
  <c r="N4" i="75"/>
  <c r="L35" i="75"/>
  <c r="K35" i="75"/>
  <c r="J35" i="75"/>
  <c r="I35" i="75"/>
  <c r="H35" i="75"/>
  <c r="F35" i="75"/>
  <c r="E35" i="75"/>
  <c r="D35" i="75"/>
  <c r="C35" i="75"/>
  <c r="B35" i="75"/>
  <c r="S34" i="75"/>
  <c r="M34" i="75"/>
  <c r="G34" i="75"/>
  <c r="M33" i="75"/>
  <c r="G33" i="75"/>
  <c r="M32" i="75"/>
  <c r="G32" i="75"/>
  <c r="M31" i="75"/>
  <c r="G31" i="75"/>
  <c r="M30" i="75"/>
  <c r="G30" i="75"/>
  <c r="M29" i="75"/>
  <c r="G29" i="75"/>
  <c r="M28" i="75"/>
  <c r="G28" i="75"/>
  <c r="M27" i="75"/>
  <c r="G27" i="75"/>
  <c r="M26" i="75"/>
  <c r="G26" i="75"/>
  <c r="M25" i="75"/>
  <c r="G25" i="75"/>
  <c r="M24" i="75"/>
  <c r="G24" i="75"/>
  <c r="M23" i="75"/>
  <c r="G23" i="75"/>
  <c r="M22" i="75"/>
  <c r="G22" i="75"/>
  <c r="M21" i="75"/>
  <c r="G21" i="75"/>
  <c r="S20" i="75"/>
  <c r="M20" i="75"/>
  <c r="G20" i="75"/>
  <c r="M19" i="75"/>
  <c r="G19" i="75"/>
  <c r="M18" i="75"/>
  <c r="G18" i="75"/>
  <c r="S17" i="75"/>
  <c r="M17" i="75"/>
  <c r="G17" i="75"/>
  <c r="M16" i="75"/>
  <c r="G16" i="75"/>
  <c r="M15" i="75"/>
  <c r="G15" i="75"/>
  <c r="M14" i="75"/>
  <c r="G14" i="75"/>
  <c r="M13" i="75"/>
  <c r="G13" i="75"/>
  <c r="M12" i="75"/>
  <c r="G12" i="75"/>
  <c r="M11" i="75"/>
  <c r="G11" i="75"/>
  <c r="M10" i="75"/>
  <c r="G10" i="75"/>
  <c r="M9" i="75"/>
  <c r="G9" i="75"/>
  <c r="M8" i="75"/>
  <c r="G8" i="75"/>
  <c r="M7" i="75"/>
  <c r="G7" i="75"/>
  <c r="M6" i="75"/>
  <c r="G6" i="75"/>
  <c r="M5" i="75"/>
  <c r="G5" i="75"/>
  <c r="M4" i="75"/>
  <c r="G4" i="75"/>
  <c r="R34" i="73"/>
  <c r="Q34" i="73"/>
  <c r="P34" i="73"/>
  <c r="O34" i="73"/>
  <c r="N34" i="73"/>
  <c r="R33" i="73"/>
  <c r="Q33" i="73"/>
  <c r="P33" i="73"/>
  <c r="O33" i="73"/>
  <c r="N33" i="73"/>
  <c r="R32" i="73"/>
  <c r="Q32" i="73"/>
  <c r="P32" i="73"/>
  <c r="O32" i="73"/>
  <c r="N32" i="73"/>
  <c r="R31" i="73"/>
  <c r="R30" i="73"/>
  <c r="R29" i="73"/>
  <c r="Q31" i="73"/>
  <c r="Q30" i="73"/>
  <c r="Q29" i="73"/>
  <c r="P31" i="73"/>
  <c r="P30" i="73"/>
  <c r="P29" i="73"/>
  <c r="O31" i="73"/>
  <c r="O30" i="73"/>
  <c r="O29" i="73"/>
  <c r="N31" i="73"/>
  <c r="N30" i="73"/>
  <c r="N29" i="73"/>
  <c r="R28" i="73"/>
  <c r="Q28" i="73"/>
  <c r="P28" i="73"/>
  <c r="O28" i="73"/>
  <c r="N28" i="73"/>
  <c r="S28" i="73" s="1"/>
  <c r="R27" i="73"/>
  <c r="Q27" i="73"/>
  <c r="P27" i="73"/>
  <c r="O27" i="73"/>
  <c r="N27" i="73"/>
  <c r="O26" i="73"/>
  <c r="R26" i="73"/>
  <c r="Q26" i="73"/>
  <c r="P26" i="73"/>
  <c r="N26" i="73"/>
  <c r="P25" i="73"/>
  <c r="R25" i="73"/>
  <c r="Q25" i="73"/>
  <c r="O25" i="73"/>
  <c r="N25" i="73"/>
  <c r="O22" i="73"/>
  <c r="R22" i="73"/>
  <c r="R24" i="73"/>
  <c r="R23" i="73"/>
  <c r="Q24" i="73"/>
  <c r="Q23" i="73"/>
  <c r="Q22" i="73"/>
  <c r="P24" i="73"/>
  <c r="P23" i="73"/>
  <c r="P22" i="73"/>
  <c r="O24" i="73"/>
  <c r="O23" i="73"/>
  <c r="N24" i="73"/>
  <c r="N23" i="73"/>
  <c r="N22" i="73"/>
  <c r="R21" i="73"/>
  <c r="Q21" i="73"/>
  <c r="P21" i="73"/>
  <c r="O21" i="73"/>
  <c r="N21" i="73"/>
  <c r="R20" i="73"/>
  <c r="Q20" i="73"/>
  <c r="P20" i="73"/>
  <c r="O20" i="73"/>
  <c r="N20" i="73"/>
  <c r="R19" i="73"/>
  <c r="Q19" i="73"/>
  <c r="P19" i="73"/>
  <c r="O19" i="73"/>
  <c r="N19" i="73"/>
  <c r="R18" i="73"/>
  <c r="Q18" i="73"/>
  <c r="P18" i="73"/>
  <c r="O18" i="73"/>
  <c r="N18" i="73"/>
  <c r="R17" i="73"/>
  <c r="R16" i="73"/>
  <c r="S16" i="73" s="1"/>
  <c r="R15" i="73"/>
  <c r="Q17" i="73"/>
  <c r="S17" i="73" s="1"/>
  <c r="Q16" i="73"/>
  <c r="Q15" i="73"/>
  <c r="P17" i="73"/>
  <c r="P16" i="73"/>
  <c r="P15" i="73"/>
  <c r="O17" i="73"/>
  <c r="O16" i="73"/>
  <c r="O15" i="73"/>
  <c r="S15" i="73" s="1"/>
  <c r="N17" i="73"/>
  <c r="N16" i="73"/>
  <c r="N15" i="73"/>
  <c r="R14" i="73"/>
  <c r="Q14" i="73"/>
  <c r="S14" i="73" s="1"/>
  <c r="P14" i="73"/>
  <c r="O14" i="73"/>
  <c r="N14" i="73"/>
  <c r="R13" i="73"/>
  <c r="Q13" i="73"/>
  <c r="P13" i="73"/>
  <c r="O13" i="73"/>
  <c r="N13" i="73"/>
  <c r="R12" i="73"/>
  <c r="Q12" i="73"/>
  <c r="P12" i="73"/>
  <c r="O12" i="73"/>
  <c r="N12" i="73"/>
  <c r="R11" i="73"/>
  <c r="Q11" i="73"/>
  <c r="P11" i="73"/>
  <c r="O11" i="73"/>
  <c r="N11" i="73"/>
  <c r="R10" i="73"/>
  <c r="R9" i="73"/>
  <c r="S9" i="73" s="1"/>
  <c r="R8" i="73"/>
  <c r="Q10" i="73"/>
  <c r="Q9" i="73"/>
  <c r="Q8" i="73"/>
  <c r="P10" i="73"/>
  <c r="P9" i="73"/>
  <c r="P8" i="73"/>
  <c r="O10" i="73"/>
  <c r="O9" i="73"/>
  <c r="O8" i="73"/>
  <c r="N10" i="73"/>
  <c r="N9" i="73"/>
  <c r="N8" i="73"/>
  <c r="R7" i="73"/>
  <c r="Q7" i="73"/>
  <c r="P7" i="73"/>
  <c r="O7" i="73"/>
  <c r="N7" i="73"/>
  <c r="R6" i="73"/>
  <c r="Q6" i="73"/>
  <c r="P6" i="73"/>
  <c r="O6" i="73"/>
  <c r="N6" i="73"/>
  <c r="R5" i="73"/>
  <c r="Q5" i="73"/>
  <c r="P5" i="73"/>
  <c r="O5" i="73"/>
  <c r="N5" i="73"/>
  <c r="S33" i="72"/>
  <c r="R4" i="73"/>
  <c r="Q4" i="73"/>
  <c r="P4" i="73"/>
  <c r="O4" i="73"/>
  <c r="N4" i="73"/>
  <c r="L35" i="73"/>
  <c r="K35" i="73"/>
  <c r="J35" i="73"/>
  <c r="I35" i="73"/>
  <c r="H35" i="73"/>
  <c r="F35" i="73"/>
  <c r="E35" i="73"/>
  <c r="D35" i="73"/>
  <c r="C35" i="73"/>
  <c r="B35" i="73"/>
  <c r="S34" i="73"/>
  <c r="M34" i="73"/>
  <c r="G34" i="73"/>
  <c r="M33" i="73"/>
  <c r="G33" i="73"/>
  <c r="M32" i="73"/>
  <c r="G32" i="73"/>
  <c r="M31" i="73"/>
  <c r="G31" i="73"/>
  <c r="S30" i="73"/>
  <c r="M30" i="73"/>
  <c r="G30" i="73"/>
  <c r="M29" i="73"/>
  <c r="G29" i="73"/>
  <c r="M28" i="73"/>
  <c r="G28" i="73"/>
  <c r="M27" i="73"/>
  <c r="G27" i="73"/>
  <c r="M26" i="73"/>
  <c r="G26" i="73"/>
  <c r="M25" i="73"/>
  <c r="G25" i="73"/>
  <c r="S24" i="73"/>
  <c r="M24" i="73"/>
  <c r="G24" i="73"/>
  <c r="S23" i="73"/>
  <c r="M23" i="73"/>
  <c r="G23" i="73"/>
  <c r="M22" i="73"/>
  <c r="G22" i="73"/>
  <c r="M21" i="73"/>
  <c r="G21" i="73"/>
  <c r="M20" i="73"/>
  <c r="G20" i="73"/>
  <c r="S19" i="73"/>
  <c r="M19" i="73"/>
  <c r="G19" i="73"/>
  <c r="S18" i="73"/>
  <c r="M18" i="73"/>
  <c r="G18" i="73"/>
  <c r="M17" i="73"/>
  <c r="G17" i="73"/>
  <c r="M16" i="73"/>
  <c r="G16" i="73"/>
  <c r="M15" i="73"/>
  <c r="G15" i="73"/>
  <c r="M14" i="73"/>
  <c r="G14" i="73"/>
  <c r="M13" i="73"/>
  <c r="G13" i="73"/>
  <c r="M12" i="73"/>
  <c r="G12" i="73"/>
  <c r="M11" i="73"/>
  <c r="G11" i="73"/>
  <c r="M10" i="73"/>
  <c r="G10" i="73"/>
  <c r="M9" i="73"/>
  <c r="G9" i="73"/>
  <c r="M8" i="73"/>
  <c r="G8" i="73"/>
  <c r="M7" i="73"/>
  <c r="G7" i="73"/>
  <c r="M6" i="73"/>
  <c r="G6" i="73"/>
  <c r="M5" i="73"/>
  <c r="G5" i="73"/>
  <c r="M4" i="73"/>
  <c r="G4" i="73"/>
  <c r="P31" i="72"/>
  <c r="R31" i="72"/>
  <c r="Q31" i="72"/>
  <c r="O31" i="72"/>
  <c r="N31" i="72"/>
  <c r="R30" i="72"/>
  <c r="Q30" i="72"/>
  <c r="P30" i="72"/>
  <c r="O30" i="72"/>
  <c r="N30" i="72"/>
  <c r="R29" i="72"/>
  <c r="Q29" i="72"/>
  <c r="P29" i="72"/>
  <c r="O29" i="72"/>
  <c r="N29" i="72"/>
  <c r="R28" i="72"/>
  <c r="R27" i="72"/>
  <c r="R26" i="72"/>
  <c r="R25" i="72"/>
  <c r="Q28" i="72"/>
  <c r="Q27" i="72"/>
  <c r="Q26" i="72"/>
  <c r="Q25" i="72"/>
  <c r="P28" i="72"/>
  <c r="P27" i="72"/>
  <c r="P26" i="72"/>
  <c r="P25" i="72"/>
  <c r="O28" i="72"/>
  <c r="O27" i="72"/>
  <c r="O26" i="72"/>
  <c r="N25" i="72"/>
  <c r="O25" i="72"/>
  <c r="N28" i="72"/>
  <c r="N27" i="72"/>
  <c r="N26" i="72"/>
  <c r="R24" i="72"/>
  <c r="Q24" i="72"/>
  <c r="P24" i="72"/>
  <c r="O24" i="72"/>
  <c r="N24" i="72"/>
  <c r="R23" i="72"/>
  <c r="Q23" i="72"/>
  <c r="P23" i="72"/>
  <c r="O23" i="72"/>
  <c r="N23" i="72"/>
  <c r="R22" i="72"/>
  <c r="Q22" i="72"/>
  <c r="P22" i="72"/>
  <c r="O22" i="72"/>
  <c r="N22" i="72"/>
  <c r="R21" i="72"/>
  <c r="Q21" i="72"/>
  <c r="P21" i="72"/>
  <c r="O21" i="72"/>
  <c r="N21" i="72"/>
  <c r="R20" i="72"/>
  <c r="R19" i="72"/>
  <c r="R18" i="72"/>
  <c r="Q20" i="72"/>
  <c r="Q19" i="72"/>
  <c r="Q18" i="72"/>
  <c r="P20" i="72"/>
  <c r="P19" i="72"/>
  <c r="P18" i="72"/>
  <c r="S18" i="72" s="1"/>
  <c r="O20" i="72"/>
  <c r="O19" i="72"/>
  <c r="S19" i="72" s="1"/>
  <c r="O18" i="72"/>
  <c r="N20" i="72"/>
  <c r="N19" i="72"/>
  <c r="N18" i="72"/>
  <c r="R17" i="72"/>
  <c r="Q17" i="72"/>
  <c r="P17" i="72"/>
  <c r="O17" i="72"/>
  <c r="N17" i="72"/>
  <c r="R16" i="72"/>
  <c r="Q16" i="72"/>
  <c r="P16" i="72"/>
  <c r="O16" i="72"/>
  <c r="N16" i="72"/>
  <c r="S16" i="72" s="1"/>
  <c r="R15" i="72"/>
  <c r="Q15" i="72"/>
  <c r="P15" i="72"/>
  <c r="O15" i="72"/>
  <c r="N15" i="72"/>
  <c r="R14" i="72"/>
  <c r="Q14" i="72"/>
  <c r="P14" i="72"/>
  <c r="O14" i="72"/>
  <c r="N14" i="72"/>
  <c r="R13" i="72"/>
  <c r="R12" i="72"/>
  <c r="R11" i="72"/>
  <c r="Q13" i="72"/>
  <c r="Q12" i="72"/>
  <c r="Q11" i="72"/>
  <c r="P13" i="72"/>
  <c r="S13" i="72" s="1"/>
  <c r="P12" i="72"/>
  <c r="P11" i="72"/>
  <c r="O13" i="72"/>
  <c r="O12" i="72"/>
  <c r="O11" i="72"/>
  <c r="N13" i="72"/>
  <c r="N12" i="72"/>
  <c r="N11" i="72"/>
  <c r="R10" i="72"/>
  <c r="Q10" i="72"/>
  <c r="P10" i="72"/>
  <c r="O10" i="72"/>
  <c r="N10" i="72"/>
  <c r="R9" i="72"/>
  <c r="Q9" i="72"/>
  <c r="P9" i="72"/>
  <c r="O9" i="72"/>
  <c r="N9" i="72"/>
  <c r="R8" i="72"/>
  <c r="Q8" i="72"/>
  <c r="P8" i="72"/>
  <c r="O8" i="72"/>
  <c r="N8" i="72"/>
  <c r="R7" i="72"/>
  <c r="Q7" i="72"/>
  <c r="P7" i="72"/>
  <c r="O7" i="72"/>
  <c r="N7" i="72"/>
  <c r="R4" i="72"/>
  <c r="R6" i="72"/>
  <c r="R5" i="72"/>
  <c r="Q6" i="72"/>
  <c r="Q5" i="72"/>
  <c r="Q4" i="72"/>
  <c r="P6" i="72"/>
  <c r="P5" i="72"/>
  <c r="P4" i="72"/>
  <c r="O6" i="72"/>
  <c r="O5" i="72"/>
  <c r="S5" i="72" s="1"/>
  <c r="O4" i="72"/>
  <c r="N6" i="72"/>
  <c r="N5" i="72"/>
  <c r="N4" i="72"/>
  <c r="R33" i="71"/>
  <c r="Q33" i="71"/>
  <c r="P33" i="71"/>
  <c r="O33" i="71"/>
  <c r="N33" i="71"/>
  <c r="R32" i="71"/>
  <c r="Q32" i="71"/>
  <c r="P32" i="71"/>
  <c r="O32" i="71"/>
  <c r="N32" i="71"/>
  <c r="R31" i="71"/>
  <c r="Q31" i="71"/>
  <c r="P31" i="71"/>
  <c r="O31" i="71"/>
  <c r="N31" i="71"/>
  <c r="R30" i="71"/>
  <c r="Q30" i="71"/>
  <c r="P30" i="71"/>
  <c r="O30" i="71"/>
  <c r="N30" i="71"/>
  <c r="R29" i="71"/>
  <c r="R28" i="71"/>
  <c r="R27" i="71"/>
  <c r="Q29" i="71"/>
  <c r="Q28" i="71"/>
  <c r="Q27" i="71"/>
  <c r="P29" i="71"/>
  <c r="P28" i="71"/>
  <c r="P27" i="71"/>
  <c r="O29" i="71"/>
  <c r="O28" i="71"/>
  <c r="O27" i="71"/>
  <c r="N29" i="71"/>
  <c r="N28" i="71"/>
  <c r="N27" i="71"/>
  <c r="R26" i="71"/>
  <c r="Q26" i="71"/>
  <c r="P26" i="71"/>
  <c r="S26" i="71" s="1"/>
  <c r="O26" i="71"/>
  <c r="N26" i="71"/>
  <c r="R25" i="71"/>
  <c r="Q25" i="71"/>
  <c r="P25" i="71"/>
  <c r="O25" i="71"/>
  <c r="N25" i="71"/>
  <c r="R24" i="71"/>
  <c r="S24" i="71" s="1"/>
  <c r="Q24" i="71"/>
  <c r="P24" i="71"/>
  <c r="O24" i="71"/>
  <c r="N24" i="71"/>
  <c r="R23" i="71"/>
  <c r="Q23" i="71"/>
  <c r="P23" i="71"/>
  <c r="O23" i="71"/>
  <c r="N23" i="71"/>
  <c r="R18" i="71"/>
  <c r="Q18" i="71"/>
  <c r="P18" i="71"/>
  <c r="O18" i="71"/>
  <c r="O19" i="71"/>
  <c r="N18" i="71"/>
  <c r="R22" i="71"/>
  <c r="R21" i="71"/>
  <c r="R20" i="71"/>
  <c r="R19" i="71"/>
  <c r="Q22" i="71"/>
  <c r="Q21" i="71"/>
  <c r="Q20" i="71"/>
  <c r="Q19" i="71"/>
  <c r="P22" i="71"/>
  <c r="P21" i="71"/>
  <c r="P20" i="71"/>
  <c r="P19" i="71"/>
  <c r="O22" i="71"/>
  <c r="O21" i="71"/>
  <c r="O20" i="71"/>
  <c r="N22" i="71"/>
  <c r="N21" i="71"/>
  <c r="S21" i="71" s="1"/>
  <c r="N20" i="71"/>
  <c r="N19" i="71"/>
  <c r="R17" i="71"/>
  <c r="Q17" i="71"/>
  <c r="P17" i="71"/>
  <c r="S17" i="71" s="1"/>
  <c r="O17" i="71"/>
  <c r="N17" i="71"/>
  <c r="S16" i="71"/>
  <c r="R16" i="71"/>
  <c r="Q16" i="71"/>
  <c r="P16" i="71"/>
  <c r="O16" i="71"/>
  <c r="N16" i="71"/>
  <c r="R15" i="71"/>
  <c r="R14" i="71"/>
  <c r="R13" i="71"/>
  <c r="S13" i="71" s="1"/>
  <c r="Q15" i="71"/>
  <c r="Q14" i="71"/>
  <c r="Q13" i="71"/>
  <c r="P15" i="71"/>
  <c r="P14" i="71"/>
  <c r="P13" i="71"/>
  <c r="O15" i="71"/>
  <c r="O14" i="71"/>
  <c r="S14" i="71" s="1"/>
  <c r="O13" i="71"/>
  <c r="N15" i="71"/>
  <c r="N14" i="71"/>
  <c r="N13" i="71"/>
  <c r="R12" i="71"/>
  <c r="Q12" i="71"/>
  <c r="P12" i="71"/>
  <c r="O12" i="71"/>
  <c r="N12" i="71"/>
  <c r="R11" i="71"/>
  <c r="Q11" i="71"/>
  <c r="P11" i="71"/>
  <c r="O11" i="71"/>
  <c r="S11" i="71" s="1"/>
  <c r="N11" i="71"/>
  <c r="R10" i="71"/>
  <c r="Q10" i="71"/>
  <c r="S10" i="71" s="1"/>
  <c r="P10" i="71"/>
  <c r="O10" i="71"/>
  <c r="N10" i="71"/>
  <c r="R9" i="71"/>
  <c r="Q9" i="71"/>
  <c r="P9" i="71"/>
  <c r="O9" i="71"/>
  <c r="N9" i="71"/>
  <c r="R8" i="71"/>
  <c r="O6" i="71"/>
  <c r="R7" i="71"/>
  <c r="R6" i="71"/>
  <c r="Q8" i="71"/>
  <c r="Q7" i="71"/>
  <c r="Q6" i="71"/>
  <c r="P8" i="71"/>
  <c r="P7" i="71"/>
  <c r="P6" i="71"/>
  <c r="O8" i="71"/>
  <c r="O7" i="71"/>
  <c r="N8" i="71"/>
  <c r="N7" i="71"/>
  <c r="N6" i="71"/>
  <c r="R5" i="71"/>
  <c r="S5" i="71" s="1"/>
  <c r="Q5" i="71"/>
  <c r="P5" i="71"/>
  <c r="O5" i="71"/>
  <c r="N5" i="71"/>
  <c r="O4" i="71"/>
  <c r="O35" i="71" s="1"/>
  <c r="R4" i="71"/>
  <c r="Q4" i="71"/>
  <c r="Q35" i="71" s="1"/>
  <c r="P4" i="71"/>
  <c r="S4" i="71" s="1"/>
  <c r="N4" i="71"/>
  <c r="L35" i="72"/>
  <c r="K35" i="72"/>
  <c r="J35" i="72"/>
  <c r="I35" i="72"/>
  <c r="H35" i="72"/>
  <c r="F35" i="72"/>
  <c r="E35" i="72"/>
  <c r="D35" i="72"/>
  <c r="C35" i="72"/>
  <c r="B35" i="72"/>
  <c r="S34" i="72"/>
  <c r="M34" i="72"/>
  <c r="G34" i="72"/>
  <c r="M33" i="72"/>
  <c r="G33" i="72"/>
  <c r="S32" i="72"/>
  <c r="M32" i="72"/>
  <c r="G32" i="72"/>
  <c r="M31" i="72"/>
  <c r="G31" i="72"/>
  <c r="M30" i="72"/>
  <c r="G30" i="72"/>
  <c r="S29" i="72"/>
  <c r="M29" i="72"/>
  <c r="G29" i="72"/>
  <c r="S28" i="72"/>
  <c r="M28" i="72"/>
  <c r="G28" i="72"/>
  <c r="S27" i="72"/>
  <c r="M27" i="72"/>
  <c r="G27" i="72"/>
  <c r="S26" i="72"/>
  <c r="M26" i="72"/>
  <c r="G26" i="72"/>
  <c r="S25" i="72"/>
  <c r="M25" i="72"/>
  <c r="G25" i="72"/>
  <c r="S24" i="72"/>
  <c r="M24" i="72"/>
  <c r="G24" i="72"/>
  <c r="S23" i="72"/>
  <c r="M23" i="72"/>
  <c r="G23" i="72"/>
  <c r="M22" i="72"/>
  <c r="G22" i="72"/>
  <c r="S21" i="72"/>
  <c r="M21" i="72"/>
  <c r="G21" i="72"/>
  <c r="S20" i="72"/>
  <c r="M20" i="72"/>
  <c r="G20" i="72"/>
  <c r="M19" i="72"/>
  <c r="G19" i="72"/>
  <c r="M18" i="72"/>
  <c r="G18" i="72"/>
  <c r="M17" i="72"/>
  <c r="G17" i="72"/>
  <c r="M16" i="72"/>
  <c r="G16" i="72"/>
  <c r="S15" i="72"/>
  <c r="M15" i="72"/>
  <c r="G15" i="72"/>
  <c r="S14" i="72"/>
  <c r="M14" i="72"/>
  <c r="G14" i="72"/>
  <c r="M13" i="72"/>
  <c r="G13" i="72"/>
  <c r="M12" i="72"/>
  <c r="G12" i="72"/>
  <c r="M11" i="72"/>
  <c r="G11" i="72"/>
  <c r="S10" i="72"/>
  <c r="M10" i="72"/>
  <c r="G10" i="72"/>
  <c r="M9" i="72"/>
  <c r="G9" i="72"/>
  <c r="S8" i="72"/>
  <c r="M8" i="72"/>
  <c r="G8" i="72"/>
  <c r="S7" i="72"/>
  <c r="M7" i="72"/>
  <c r="G7" i="72"/>
  <c r="S6" i="72"/>
  <c r="M6" i="72"/>
  <c r="G6" i="72"/>
  <c r="M5" i="72"/>
  <c r="G5" i="72"/>
  <c r="M4" i="72"/>
  <c r="G4" i="72"/>
  <c r="R34" i="69"/>
  <c r="Q34" i="69"/>
  <c r="P34" i="69"/>
  <c r="O34" i="69"/>
  <c r="N34" i="69"/>
  <c r="R33" i="69"/>
  <c r="Q33" i="69"/>
  <c r="P33" i="69"/>
  <c r="O33" i="69"/>
  <c r="N33" i="69"/>
  <c r="P32" i="69"/>
  <c r="R32" i="69"/>
  <c r="R31" i="69"/>
  <c r="R30" i="69"/>
  <c r="Q32" i="69"/>
  <c r="Q31" i="69"/>
  <c r="Q30" i="69"/>
  <c r="P31" i="69"/>
  <c r="P30" i="69"/>
  <c r="O32" i="69"/>
  <c r="O31" i="69"/>
  <c r="O30" i="69"/>
  <c r="N32" i="69"/>
  <c r="N31" i="69"/>
  <c r="N30" i="69"/>
  <c r="R29" i="69"/>
  <c r="Q29" i="69"/>
  <c r="P29" i="69"/>
  <c r="O29" i="69"/>
  <c r="N29" i="69"/>
  <c r="R28" i="69"/>
  <c r="Q28" i="69"/>
  <c r="P28" i="69"/>
  <c r="O28" i="69"/>
  <c r="N28" i="69"/>
  <c r="R27" i="69"/>
  <c r="Q27" i="69"/>
  <c r="P27" i="69"/>
  <c r="O27" i="69"/>
  <c r="N27" i="69"/>
  <c r="R26" i="69"/>
  <c r="Q26" i="69"/>
  <c r="P26" i="69"/>
  <c r="O26" i="69"/>
  <c r="N26" i="69"/>
  <c r="P24" i="69"/>
  <c r="O24" i="69"/>
  <c r="O23" i="69"/>
  <c r="N25" i="69"/>
  <c r="N24" i="69"/>
  <c r="N23" i="69"/>
  <c r="R25" i="69"/>
  <c r="R24" i="69"/>
  <c r="R23" i="69"/>
  <c r="Q25" i="69"/>
  <c r="Q24" i="69"/>
  <c r="Q23" i="69"/>
  <c r="P25" i="69"/>
  <c r="P23" i="69"/>
  <c r="O25" i="69"/>
  <c r="R22" i="69"/>
  <c r="Q22" i="69"/>
  <c r="P22" i="69"/>
  <c r="O22" i="69"/>
  <c r="N22" i="69"/>
  <c r="R21" i="69"/>
  <c r="Q21" i="69"/>
  <c r="P21" i="69"/>
  <c r="O21" i="69"/>
  <c r="N21" i="69"/>
  <c r="R20" i="69"/>
  <c r="Q20" i="69"/>
  <c r="P20" i="69"/>
  <c r="O20" i="69"/>
  <c r="N20" i="69"/>
  <c r="R19" i="69"/>
  <c r="Q19" i="69"/>
  <c r="P19" i="69"/>
  <c r="N19" i="69"/>
  <c r="O19" i="69"/>
  <c r="P17" i="69"/>
  <c r="R18" i="69"/>
  <c r="R17" i="69"/>
  <c r="R16" i="69"/>
  <c r="Q18" i="69"/>
  <c r="Q17" i="69"/>
  <c r="Q16" i="69"/>
  <c r="P18" i="69"/>
  <c r="P16" i="69"/>
  <c r="O18" i="69"/>
  <c r="O17" i="69"/>
  <c r="O16" i="69"/>
  <c r="N18" i="69"/>
  <c r="N17" i="69"/>
  <c r="N16" i="69"/>
  <c r="R15" i="69"/>
  <c r="Q15" i="69"/>
  <c r="P15" i="69"/>
  <c r="O15" i="69"/>
  <c r="N15" i="69"/>
  <c r="R14" i="69"/>
  <c r="Q14" i="69"/>
  <c r="P14" i="69"/>
  <c r="O14" i="69"/>
  <c r="N14" i="69"/>
  <c r="R13" i="69"/>
  <c r="Q13" i="69"/>
  <c r="P13" i="69"/>
  <c r="O13" i="69"/>
  <c r="N13" i="69"/>
  <c r="R12" i="69"/>
  <c r="Q12" i="69"/>
  <c r="P12" i="69"/>
  <c r="O12" i="69"/>
  <c r="N12" i="69"/>
  <c r="R11" i="69"/>
  <c r="R10" i="69"/>
  <c r="R9" i="69"/>
  <c r="Q11" i="69"/>
  <c r="Q10" i="69"/>
  <c r="Q9" i="69"/>
  <c r="P11" i="69"/>
  <c r="P10" i="69"/>
  <c r="P9" i="69"/>
  <c r="O11" i="69"/>
  <c r="O10" i="69"/>
  <c r="O9" i="69"/>
  <c r="N11" i="69"/>
  <c r="N10" i="69"/>
  <c r="N9" i="69"/>
  <c r="R8" i="69"/>
  <c r="Q8" i="69"/>
  <c r="P8" i="69"/>
  <c r="O8" i="69"/>
  <c r="N8" i="69"/>
  <c r="R7" i="69"/>
  <c r="Q7" i="69"/>
  <c r="P7" i="69"/>
  <c r="O7" i="69"/>
  <c r="N7" i="69"/>
  <c r="R6" i="69"/>
  <c r="Q6" i="69"/>
  <c r="P6" i="69"/>
  <c r="O6" i="69"/>
  <c r="N6" i="69"/>
  <c r="M4" i="69"/>
  <c r="R5" i="69"/>
  <c r="Q5" i="69"/>
  <c r="P5" i="69"/>
  <c r="O5" i="69"/>
  <c r="N5" i="69"/>
  <c r="S5" i="69" s="1"/>
  <c r="R32" i="67"/>
  <c r="R4" i="69"/>
  <c r="R33" i="67"/>
  <c r="Q4" i="69"/>
  <c r="Q33" i="67"/>
  <c r="Q32" i="67"/>
  <c r="P4" i="69"/>
  <c r="P33" i="67"/>
  <c r="P32" i="67"/>
  <c r="O4" i="69"/>
  <c r="S4" i="69" s="1"/>
  <c r="L35" i="71"/>
  <c r="K35" i="71"/>
  <c r="J35" i="71"/>
  <c r="I35" i="71"/>
  <c r="H35" i="71"/>
  <c r="F35" i="71"/>
  <c r="E35" i="71"/>
  <c r="D35" i="71"/>
  <c r="C35" i="71"/>
  <c r="S34" i="71"/>
  <c r="M34" i="71"/>
  <c r="G34" i="71"/>
  <c r="S33" i="71"/>
  <c r="M33" i="71"/>
  <c r="G33" i="71"/>
  <c r="S32" i="71"/>
  <c r="M32" i="71"/>
  <c r="G32" i="71"/>
  <c r="S31" i="71"/>
  <c r="M31" i="71"/>
  <c r="G31" i="71"/>
  <c r="S30" i="71"/>
  <c r="M30" i="71"/>
  <c r="G30" i="71"/>
  <c r="S29" i="71"/>
  <c r="M29" i="71"/>
  <c r="G29" i="71"/>
  <c r="S28" i="71"/>
  <c r="M28" i="71"/>
  <c r="G28" i="71"/>
  <c r="S27" i="71"/>
  <c r="M27" i="71"/>
  <c r="G27" i="71"/>
  <c r="M26" i="71"/>
  <c r="G26" i="71"/>
  <c r="M25" i="71"/>
  <c r="G25" i="71"/>
  <c r="M24" i="71"/>
  <c r="G24" i="71"/>
  <c r="M23" i="71"/>
  <c r="G23" i="71"/>
  <c r="S22" i="71"/>
  <c r="M22" i="71"/>
  <c r="G22" i="71"/>
  <c r="M21" i="71"/>
  <c r="G21" i="71"/>
  <c r="M20" i="71"/>
  <c r="G20" i="71"/>
  <c r="M19" i="71"/>
  <c r="G19" i="71"/>
  <c r="M18" i="71"/>
  <c r="G18" i="71"/>
  <c r="M17" i="71"/>
  <c r="G17" i="71"/>
  <c r="M16" i="71"/>
  <c r="G16" i="71"/>
  <c r="M15" i="71"/>
  <c r="G15" i="71"/>
  <c r="M14" i="71"/>
  <c r="G14" i="71"/>
  <c r="M13" i="71"/>
  <c r="G13" i="71"/>
  <c r="S12" i="71"/>
  <c r="M12" i="71"/>
  <c r="G12" i="71"/>
  <c r="M11" i="71"/>
  <c r="G11" i="71"/>
  <c r="M10" i="71"/>
  <c r="G10" i="71"/>
  <c r="M9" i="71"/>
  <c r="G9" i="71"/>
  <c r="M8" i="71"/>
  <c r="G8" i="71"/>
  <c r="S7" i="71"/>
  <c r="M7" i="71"/>
  <c r="G7" i="71"/>
  <c r="S6" i="71"/>
  <c r="M6" i="71"/>
  <c r="G6" i="71"/>
  <c r="M5" i="71"/>
  <c r="G5" i="71"/>
  <c r="M4" i="71"/>
  <c r="G4" i="71"/>
  <c r="O33" i="67"/>
  <c r="O32" i="67"/>
  <c r="N4" i="69"/>
  <c r="N33" i="67"/>
  <c r="N32" i="67"/>
  <c r="R31" i="67"/>
  <c r="Q31" i="67"/>
  <c r="P31" i="67"/>
  <c r="O31" i="67"/>
  <c r="N31" i="67"/>
  <c r="R30" i="67"/>
  <c r="Q30" i="67"/>
  <c r="P30" i="67"/>
  <c r="O30" i="67"/>
  <c r="N30" i="67"/>
  <c r="R29" i="67"/>
  <c r="Q29" i="67"/>
  <c r="P29" i="67"/>
  <c r="O29" i="67"/>
  <c r="N29" i="67"/>
  <c r="R28" i="67"/>
  <c r="Q28" i="67"/>
  <c r="P28" i="67"/>
  <c r="O28" i="67"/>
  <c r="N28" i="67"/>
  <c r="R23" i="67"/>
  <c r="Q23" i="67"/>
  <c r="P23" i="67"/>
  <c r="O23" i="67"/>
  <c r="N23" i="67"/>
  <c r="N27" i="67"/>
  <c r="Q27" i="67"/>
  <c r="Q26" i="67"/>
  <c r="Q25" i="67"/>
  <c r="Q24" i="67"/>
  <c r="P27" i="67"/>
  <c r="P26" i="67"/>
  <c r="P25" i="67"/>
  <c r="P24" i="67"/>
  <c r="O27" i="67"/>
  <c r="O26" i="67"/>
  <c r="O25" i="67"/>
  <c r="O24" i="67"/>
  <c r="N26" i="67"/>
  <c r="N25" i="67"/>
  <c r="N24" i="67"/>
  <c r="R27" i="67"/>
  <c r="R26" i="67"/>
  <c r="R25" i="67"/>
  <c r="R24" i="67"/>
  <c r="R22" i="67"/>
  <c r="Q22" i="67"/>
  <c r="P22" i="67"/>
  <c r="O22" i="67"/>
  <c r="N22" i="67"/>
  <c r="R21" i="67"/>
  <c r="Q21" i="67"/>
  <c r="P21" i="67"/>
  <c r="O21" i="67"/>
  <c r="N21" i="67"/>
  <c r="R20" i="67"/>
  <c r="R19" i="67"/>
  <c r="R18" i="67"/>
  <c r="R17" i="67"/>
  <c r="Q20" i="67"/>
  <c r="Q19" i="67"/>
  <c r="Q18" i="67"/>
  <c r="Q17" i="67"/>
  <c r="P20" i="67"/>
  <c r="P19" i="67"/>
  <c r="P18" i="67"/>
  <c r="P17" i="67"/>
  <c r="O20" i="67"/>
  <c r="O19" i="67"/>
  <c r="O18" i="67"/>
  <c r="O17" i="67"/>
  <c r="N20" i="67"/>
  <c r="N19" i="67"/>
  <c r="N18" i="67"/>
  <c r="N17" i="67"/>
  <c r="R16" i="67"/>
  <c r="Q16" i="67"/>
  <c r="P16" i="67"/>
  <c r="O16" i="67"/>
  <c r="N16" i="67"/>
  <c r="R15" i="67"/>
  <c r="Q15" i="67"/>
  <c r="P15" i="67"/>
  <c r="O15" i="67"/>
  <c r="N15" i="67"/>
  <c r="R14" i="67"/>
  <c r="Q14" i="67"/>
  <c r="P14" i="67"/>
  <c r="O14" i="67"/>
  <c r="N14" i="67"/>
  <c r="R13" i="67"/>
  <c r="R12" i="67"/>
  <c r="R11" i="67"/>
  <c r="Q13" i="67"/>
  <c r="Q12" i="67"/>
  <c r="Q11" i="67"/>
  <c r="P13" i="67"/>
  <c r="P12" i="67"/>
  <c r="P11" i="67"/>
  <c r="O13" i="67"/>
  <c r="O12" i="67"/>
  <c r="O11" i="67"/>
  <c r="N13" i="67"/>
  <c r="N12" i="67"/>
  <c r="N11" i="67"/>
  <c r="R10" i="67"/>
  <c r="Q10" i="67"/>
  <c r="P10" i="67"/>
  <c r="O10" i="67"/>
  <c r="N10" i="67"/>
  <c r="R9" i="67"/>
  <c r="Q9" i="67"/>
  <c r="P9" i="67"/>
  <c r="O9" i="67"/>
  <c r="N9" i="67"/>
  <c r="R8" i="67"/>
  <c r="Q8" i="67"/>
  <c r="P8" i="67"/>
  <c r="O8" i="67"/>
  <c r="N8" i="67"/>
  <c r="R6" i="67"/>
  <c r="R5" i="67"/>
  <c r="R4" i="67"/>
  <c r="Q6" i="67"/>
  <c r="Q5" i="67"/>
  <c r="Q4" i="67"/>
  <c r="P6" i="67"/>
  <c r="P5" i="67"/>
  <c r="P4" i="67"/>
  <c r="O6" i="67"/>
  <c r="O5" i="67"/>
  <c r="O4" i="67"/>
  <c r="N6" i="67"/>
  <c r="N4" i="67"/>
  <c r="R34" i="66"/>
  <c r="Q34" i="66"/>
  <c r="P34" i="66"/>
  <c r="N34" i="66"/>
  <c r="O34" i="66"/>
  <c r="R33" i="66"/>
  <c r="Q33" i="66"/>
  <c r="P33" i="66"/>
  <c r="O33" i="66"/>
  <c r="N33" i="66"/>
  <c r="R32" i="66"/>
  <c r="Q32" i="66"/>
  <c r="P32" i="66"/>
  <c r="O32" i="66"/>
  <c r="N32" i="66"/>
  <c r="R31" i="66"/>
  <c r="Q31" i="66"/>
  <c r="P31" i="66"/>
  <c r="O31" i="66"/>
  <c r="N31" i="66"/>
  <c r="R30" i="66"/>
  <c r="R29" i="66"/>
  <c r="R28" i="66"/>
  <c r="Q30" i="66"/>
  <c r="Q29" i="66"/>
  <c r="Q28" i="66"/>
  <c r="P30" i="66"/>
  <c r="P29" i="66"/>
  <c r="P28" i="66"/>
  <c r="O30" i="66"/>
  <c r="O29" i="66"/>
  <c r="O28" i="66"/>
  <c r="N30" i="66"/>
  <c r="N29" i="66"/>
  <c r="N28" i="66"/>
  <c r="R27" i="66"/>
  <c r="Q27" i="66"/>
  <c r="P27" i="66"/>
  <c r="O27" i="66"/>
  <c r="N27" i="66"/>
  <c r="R26" i="66"/>
  <c r="Q26" i="66"/>
  <c r="P26" i="66"/>
  <c r="O26" i="66"/>
  <c r="N26" i="66"/>
  <c r="R25" i="66"/>
  <c r="Q25" i="66"/>
  <c r="P25" i="66"/>
  <c r="O25" i="66"/>
  <c r="N25" i="66"/>
  <c r="R24" i="66"/>
  <c r="Q24" i="66"/>
  <c r="P24" i="66"/>
  <c r="O24" i="66"/>
  <c r="N24" i="66"/>
  <c r="R23" i="66"/>
  <c r="R22" i="66"/>
  <c r="R21" i="66"/>
  <c r="Q23" i="66"/>
  <c r="Q22" i="66"/>
  <c r="Q21" i="66"/>
  <c r="P23" i="66"/>
  <c r="P22" i="66"/>
  <c r="P21" i="66"/>
  <c r="O23" i="66"/>
  <c r="O22" i="66"/>
  <c r="O21" i="66"/>
  <c r="N23" i="66"/>
  <c r="N22" i="66"/>
  <c r="N21" i="66"/>
  <c r="R20" i="66"/>
  <c r="Q20" i="66"/>
  <c r="P20" i="66"/>
  <c r="O20" i="66"/>
  <c r="N20" i="66"/>
  <c r="R19" i="66"/>
  <c r="Q19" i="66"/>
  <c r="P19" i="66"/>
  <c r="N19" i="66"/>
  <c r="O19" i="66"/>
  <c r="R18" i="66"/>
  <c r="Q18" i="66"/>
  <c r="P18" i="66"/>
  <c r="O18" i="66"/>
  <c r="N18" i="66"/>
  <c r="R17" i="66"/>
  <c r="Q17" i="66"/>
  <c r="P17" i="66"/>
  <c r="O17" i="66"/>
  <c r="N17" i="66"/>
  <c r="R16" i="66"/>
  <c r="R15" i="66"/>
  <c r="R14" i="66"/>
  <c r="Q16" i="66"/>
  <c r="Q15" i="66"/>
  <c r="Q14" i="66"/>
  <c r="P16" i="66"/>
  <c r="P15" i="66"/>
  <c r="P14" i="66"/>
  <c r="O16" i="66"/>
  <c r="O15" i="66"/>
  <c r="O14" i="66"/>
  <c r="N16" i="66"/>
  <c r="N15" i="66"/>
  <c r="N14" i="66"/>
  <c r="R13" i="66"/>
  <c r="Q13" i="66"/>
  <c r="P13" i="66"/>
  <c r="O13" i="66"/>
  <c r="N13" i="66"/>
  <c r="R12" i="66"/>
  <c r="Q12" i="66"/>
  <c r="P12" i="66"/>
  <c r="O12" i="66"/>
  <c r="N12" i="66"/>
  <c r="R11" i="66"/>
  <c r="Q11" i="66"/>
  <c r="P11" i="66"/>
  <c r="O11" i="66"/>
  <c r="N11" i="66"/>
  <c r="R10" i="66"/>
  <c r="Q10" i="66"/>
  <c r="P10" i="66"/>
  <c r="O10" i="66"/>
  <c r="N10" i="66"/>
  <c r="R9" i="66"/>
  <c r="R8" i="66"/>
  <c r="R7" i="66"/>
  <c r="Q9" i="66"/>
  <c r="Q8" i="66"/>
  <c r="Q7" i="66"/>
  <c r="P9" i="66"/>
  <c r="P8" i="66"/>
  <c r="P7" i="66"/>
  <c r="O9" i="66"/>
  <c r="O8" i="66"/>
  <c r="O7" i="66"/>
  <c r="N9" i="66"/>
  <c r="N8" i="66"/>
  <c r="N7" i="66"/>
  <c r="R6" i="66"/>
  <c r="Q6" i="66"/>
  <c r="P6" i="66"/>
  <c r="O6" i="66"/>
  <c r="N6" i="66"/>
  <c r="R5" i="66"/>
  <c r="Q5" i="66"/>
  <c r="P5" i="66"/>
  <c r="O5" i="66"/>
  <c r="N5" i="66"/>
  <c r="R4" i="66"/>
  <c r="R31" i="65"/>
  <c r="Q31" i="65"/>
  <c r="Q4" i="66"/>
  <c r="P4" i="66"/>
  <c r="P31" i="65"/>
  <c r="O31" i="65"/>
  <c r="O4" i="66"/>
  <c r="N4" i="66"/>
  <c r="N31" i="65"/>
  <c r="O35" i="76" l="1"/>
  <c r="N35" i="76"/>
  <c r="R35" i="76"/>
  <c r="Q35" i="76"/>
  <c r="S13" i="76"/>
  <c r="S14" i="76"/>
  <c r="P35" i="76"/>
  <c r="G35" i="76"/>
  <c r="M35" i="76"/>
  <c r="S10" i="75"/>
  <c r="S4" i="75"/>
  <c r="S13" i="75"/>
  <c r="S6" i="75"/>
  <c r="S9" i="75"/>
  <c r="S23" i="75"/>
  <c r="S8" i="75"/>
  <c r="S22" i="75"/>
  <c r="S31" i="75"/>
  <c r="S29" i="75"/>
  <c r="S28" i="75"/>
  <c r="S26" i="75"/>
  <c r="S25" i="75"/>
  <c r="S21" i="75"/>
  <c r="N35" i="75"/>
  <c r="S18" i="75"/>
  <c r="S16" i="75"/>
  <c r="S15" i="75"/>
  <c r="R35" i="75"/>
  <c r="S14" i="75"/>
  <c r="S12" i="75"/>
  <c r="Q35" i="75"/>
  <c r="P35" i="75"/>
  <c r="S11" i="75"/>
  <c r="O35" i="75"/>
  <c r="G35" i="75"/>
  <c r="M35" i="75"/>
  <c r="S7" i="75"/>
  <c r="S33" i="73"/>
  <c r="S32" i="73"/>
  <c r="S29" i="73"/>
  <c r="S31" i="73"/>
  <c r="S27" i="73"/>
  <c r="S26" i="73"/>
  <c r="S25" i="73"/>
  <c r="S22" i="73"/>
  <c r="S21" i="73"/>
  <c r="S20" i="73"/>
  <c r="S13" i="73"/>
  <c r="S12" i="73"/>
  <c r="S11" i="73"/>
  <c r="S8" i="73"/>
  <c r="P35" i="73"/>
  <c r="S10" i="73"/>
  <c r="S7" i="73"/>
  <c r="R35" i="73"/>
  <c r="S6" i="73"/>
  <c r="Q35" i="73"/>
  <c r="S5" i="73"/>
  <c r="O35" i="73"/>
  <c r="S4" i="73"/>
  <c r="M35" i="73"/>
  <c r="G35" i="73"/>
  <c r="N35" i="73"/>
  <c r="Q35" i="72"/>
  <c r="S31" i="72"/>
  <c r="S30" i="72"/>
  <c r="S9" i="71"/>
  <c r="S25" i="71"/>
  <c r="S22" i="72"/>
  <c r="S19" i="71"/>
  <c r="R35" i="72"/>
  <c r="S11" i="72"/>
  <c r="S17" i="72"/>
  <c r="P35" i="72"/>
  <c r="S12" i="72"/>
  <c r="N35" i="72"/>
  <c r="S9" i="72"/>
  <c r="O35" i="72"/>
  <c r="M35" i="72"/>
  <c r="G35" i="72"/>
  <c r="S4" i="72"/>
  <c r="R35" i="71"/>
  <c r="S23" i="71"/>
  <c r="S20" i="71"/>
  <c r="S18" i="71"/>
  <c r="S15" i="71"/>
  <c r="N35" i="71"/>
  <c r="P35" i="71"/>
  <c r="S8" i="71"/>
  <c r="M35" i="71"/>
  <c r="B35" i="71"/>
  <c r="G35" i="71" s="1"/>
  <c r="R29" i="65"/>
  <c r="R30" i="65"/>
  <c r="R28" i="65"/>
  <c r="Q30" i="65"/>
  <c r="Q29" i="65"/>
  <c r="Q28" i="65"/>
  <c r="P30" i="65"/>
  <c r="P29" i="65"/>
  <c r="P28" i="65"/>
  <c r="O30" i="65"/>
  <c r="O29" i="65"/>
  <c r="O28" i="65"/>
  <c r="N30" i="65"/>
  <c r="N29" i="65"/>
  <c r="N28" i="65"/>
  <c r="R27" i="65"/>
  <c r="Q27" i="65"/>
  <c r="P27" i="65"/>
  <c r="O27" i="65"/>
  <c r="N27" i="65"/>
  <c r="R26" i="65"/>
  <c r="Q26" i="65"/>
  <c r="P26" i="65"/>
  <c r="O26" i="65"/>
  <c r="N26" i="65"/>
  <c r="R25" i="65"/>
  <c r="Q25" i="65"/>
  <c r="P25" i="65"/>
  <c r="O25" i="65"/>
  <c r="N25" i="65"/>
  <c r="R24" i="65"/>
  <c r="Q24" i="65"/>
  <c r="P24" i="65"/>
  <c r="O24" i="65"/>
  <c r="N24" i="65"/>
  <c r="R23" i="65"/>
  <c r="R22" i="65"/>
  <c r="R21" i="65"/>
  <c r="Q23" i="65"/>
  <c r="Q22" i="65"/>
  <c r="Q21" i="65"/>
  <c r="P23" i="65"/>
  <c r="P22" i="65"/>
  <c r="P21" i="65"/>
  <c r="O23" i="65"/>
  <c r="O22" i="65"/>
  <c r="O21" i="65"/>
  <c r="N23" i="65"/>
  <c r="N22" i="65"/>
  <c r="N21" i="65"/>
  <c r="R20" i="65"/>
  <c r="Q20" i="65"/>
  <c r="P20" i="65"/>
  <c r="O20" i="65"/>
  <c r="N20" i="65"/>
  <c r="R19" i="65"/>
  <c r="Q19" i="65"/>
  <c r="P19" i="65"/>
  <c r="O19" i="65"/>
  <c r="N19" i="65"/>
  <c r="R18" i="65"/>
  <c r="Q18" i="65"/>
  <c r="P18" i="65"/>
  <c r="O18" i="65"/>
  <c r="N18" i="65"/>
  <c r="R17" i="65"/>
  <c r="Q17" i="65"/>
  <c r="P17" i="65"/>
  <c r="O17" i="65"/>
  <c r="N17" i="65"/>
  <c r="R16" i="65"/>
  <c r="R15" i="65"/>
  <c r="Q16" i="65"/>
  <c r="Q15" i="65"/>
  <c r="P16" i="65"/>
  <c r="P15" i="65"/>
  <c r="O16" i="65"/>
  <c r="O15" i="65"/>
  <c r="N16" i="65"/>
  <c r="N15" i="65"/>
  <c r="S35" i="76" l="1"/>
  <c r="S35" i="75"/>
  <c r="S35" i="73"/>
  <c r="S35" i="72"/>
  <c r="S35" i="71"/>
  <c r="R14" i="65"/>
  <c r="Q14" i="65"/>
  <c r="P14" i="65"/>
  <c r="O14" i="65"/>
  <c r="N14" i="65"/>
  <c r="R13" i="65"/>
  <c r="Q13" i="65"/>
  <c r="P13" i="65"/>
  <c r="O13" i="65"/>
  <c r="N13" i="65"/>
  <c r="R12" i="65"/>
  <c r="Q12" i="65"/>
  <c r="P12" i="65"/>
  <c r="O12" i="65"/>
  <c r="N12" i="65"/>
  <c r="R11" i="65" l="1"/>
  <c r="Q11" i="65"/>
  <c r="P11" i="65"/>
  <c r="O11" i="65"/>
  <c r="N11" i="65" l="1"/>
  <c r="R10" i="65"/>
  <c r="Q10" i="65"/>
  <c r="P10" i="65"/>
  <c r="O10" i="65"/>
  <c r="N10" i="65" l="1"/>
  <c r="R9" i="65"/>
  <c r="R8" i="65"/>
  <c r="R7" i="65"/>
  <c r="Q9" i="65"/>
  <c r="Q8" i="65"/>
  <c r="Q7" i="65"/>
  <c r="P9" i="65"/>
  <c r="P8" i="65"/>
  <c r="P7" i="65"/>
  <c r="O9" i="65"/>
  <c r="O8" i="65"/>
  <c r="O7" i="65"/>
  <c r="N9" i="65"/>
  <c r="N8" i="65"/>
  <c r="N7" i="65"/>
  <c r="R6" i="65"/>
  <c r="Q6" i="65"/>
  <c r="P6" i="65"/>
  <c r="O6" i="65"/>
  <c r="N6" i="65" l="1"/>
  <c r="R5" i="65"/>
  <c r="Q5" i="65"/>
  <c r="P5" i="65"/>
  <c r="O5" i="65"/>
  <c r="N5" i="65"/>
  <c r="R4" i="65"/>
  <c r="Q4" i="65"/>
  <c r="P4" i="65"/>
  <c r="O4" i="65"/>
  <c r="N4" i="65"/>
  <c r="R34" i="64"/>
  <c r="Q34" i="64"/>
  <c r="P34" i="64"/>
  <c r="O34" i="64"/>
  <c r="N34" i="64"/>
  <c r="R33" i="64"/>
  <c r="R32" i="64"/>
  <c r="R31" i="64"/>
  <c r="Q33" i="64"/>
  <c r="Q32" i="64"/>
  <c r="Q31" i="64"/>
  <c r="P33" i="64"/>
  <c r="P32" i="64"/>
  <c r="P31" i="64"/>
  <c r="O33" i="64"/>
  <c r="O32" i="64"/>
  <c r="O31" i="64"/>
  <c r="N33" i="64"/>
  <c r="N32" i="64"/>
  <c r="N31" i="64"/>
  <c r="R30" i="64"/>
  <c r="Q30" i="64"/>
  <c r="P30" i="64"/>
  <c r="O30" i="64"/>
  <c r="N30" i="64"/>
  <c r="P5" i="70"/>
  <c r="P6" i="70"/>
  <c r="M5" i="70"/>
  <c r="M6" i="70"/>
  <c r="J5" i="70"/>
  <c r="J6" i="70"/>
  <c r="P4" i="70"/>
  <c r="M4" i="70"/>
  <c r="J4" i="70"/>
  <c r="G5" i="70"/>
  <c r="G6" i="70"/>
  <c r="G4" i="70"/>
  <c r="D5" i="70"/>
  <c r="D6" i="70"/>
  <c r="D4" i="70"/>
  <c r="C12" i="70"/>
  <c r="F12" i="70"/>
  <c r="I12" i="70"/>
  <c r="L12" i="70"/>
  <c r="O12" i="70"/>
  <c r="Q11" i="70"/>
  <c r="Q10" i="70"/>
  <c r="Q9" i="70"/>
  <c r="Q8" i="70"/>
  <c r="Q7" i="70"/>
  <c r="N12" i="70"/>
  <c r="H12" i="70"/>
  <c r="K12" i="70"/>
  <c r="E12" i="70"/>
  <c r="R29" i="64"/>
  <c r="Q29" i="64"/>
  <c r="P29" i="64"/>
  <c r="O29" i="64"/>
  <c r="N29" i="64"/>
  <c r="R28" i="64"/>
  <c r="Q28" i="64"/>
  <c r="P28" i="64"/>
  <c r="O28" i="64"/>
  <c r="D12" i="70" l="1"/>
  <c r="P12" i="70"/>
  <c r="M12" i="70"/>
  <c r="G12" i="70"/>
  <c r="J12" i="70"/>
  <c r="Q6" i="70"/>
  <c r="B12" i="70"/>
  <c r="Q4" i="70"/>
  <c r="Q5" i="70"/>
  <c r="N28" i="64"/>
  <c r="R27" i="64"/>
  <c r="Q27" i="64"/>
  <c r="P27" i="64"/>
  <c r="O27" i="64"/>
  <c r="N27" i="64"/>
  <c r="Q19" i="64"/>
  <c r="R26" i="64"/>
  <c r="R25" i="64"/>
  <c r="R24" i="64"/>
  <c r="Q26" i="64"/>
  <c r="Q25" i="64"/>
  <c r="Q24" i="64"/>
  <c r="P26" i="64"/>
  <c r="P25" i="64"/>
  <c r="P24" i="64"/>
  <c r="O26" i="64"/>
  <c r="O25" i="64"/>
  <c r="O24" i="64"/>
  <c r="N26" i="64"/>
  <c r="N25" i="64"/>
  <c r="N24" i="64"/>
  <c r="R23" i="64"/>
  <c r="Q23" i="64"/>
  <c r="P23" i="64"/>
  <c r="O23" i="64"/>
  <c r="N23" i="64"/>
  <c r="R22" i="64"/>
  <c r="Q22" i="64"/>
  <c r="P22" i="64"/>
  <c r="O22" i="64"/>
  <c r="N22" i="64"/>
  <c r="R21" i="64"/>
  <c r="Q21" i="64"/>
  <c r="P21" i="64"/>
  <c r="O21" i="64"/>
  <c r="Q12" i="70" l="1"/>
  <c r="N21" i="64"/>
  <c r="R20" i="64"/>
  <c r="Q20" i="64"/>
  <c r="P20" i="64"/>
  <c r="O20" i="64"/>
  <c r="N20" i="64"/>
  <c r="R19" i="64"/>
  <c r="P19" i="64"/>
  <c r="O19" i="64"/>
  <c r="N19" i="64"/>
  <c r="R18" i="64"/>
  <c r="Q18" i="64"/>
  <c r="P18" i="64"/>
  <c r="O18" i="64"/>
  <c r="N18" i="64"/>
  <c r="R17" i="64"/>
  <c r="Q17" i="64"/>
  <c r="P17" i="64"/>
  <c r="O17" i="64"/>
  <c r="N17" i="64"/>
  <c r="R16" i="64"/>
  <c r="Q16" i="64"/>
  <c r="P16" i="64"/>
  <c r="O16" i="64"/>
  <c r="N16" i="64"/>
  <c r="R15" i="64"/>
  <c r="Q15" i="64"/>
  <c r="P15" i="64"/>
  <c r="O15" i="64"/>
  <c r="N15" i="64"/>
  <c r="R14" i="64"/>
  <c r="Q14" i="64"/>
  <c r="P14" i="64"/>
  <c r="O14" i="64"/>
  <c r="N14" i="64"/>
  <c r="R13" i="64"/>
  <c r="Q13" i="64"/>
  <c r="P13" i="64"/>
  <c r="O13" i="64"/>
  <c r="N13" i="64"/>
  <c r="R12" i="64"/>
  <c r="R11" i="64"/>
  <c r="R10" i="64"/>
  <c r="Q12" i="64"/>
  <c r="Q11" i="64"/>
  <c r="Q10" i="64"/>
  <c r="P12" i="64"/>
  <c r="P11" i="64"/>
  <c r="P10" i="64"/>
  <c r="O12" i="64"/>
  <c r="O11" i="64"/>
  <c r="O10" i="64"/>
  <c r="N12" i="64"/>
  <c r="N11" i="64"/>
  <c r="N10" i="64"/>
  <c r="R9" i="64"/>
  <c r="Q9" i="64"/>
  <c r="P9" i="64"/>
  <c r="O9" i="64"/>
  <c r="N9" i="64"/>
  <c r="R8" i="64"/>
  <c r="Q8" i="64"/>
  <c r="P8" i="64"/>
  <c r="O8" i="64"/>
  <c r="N8" i="64"/>
  <c r="R7" i="64"/>
  <c r="Q7" i="64"/>
  <c r="P7" i="64"/>
  <c r="O7" i="64"/>
  <c r="N7" i="64"/>
  <c r="R6" i="64"/>
  <c r="Q6" i="64"/>
  <c r="O6" i="64"/>
  <c r="P6" i="64"/>
  <c r="N6" i="64"/>
  <c r="R5" i="64"/>
  <c r="R4" i="64"/>
  <c r="Q5" i="64"/>
  <c r="Q4" i="64"/>
  <c r="P5" i="64"/>
  <c r="P4" i="64"/>
  <c r="O5" i="64"/>
  <c r="O4" i="64"/>
  <c r="N5" i="64"/>
  <c r="N4" i="64"/>
  <c r="S34" i="69" l="1"/>
  <c r="Q35" i="69"/>
  <c r="S33" i="69"/>
  <c r="S30" i="69"/>
  <c r="S28" i="69"/>
  <c r="N35" i="69"/>
  <c r="S17" i="69"/>
  <c r="S19" i="69"/>
  <c r="L35" i="69"/>
  <c r="K35" i="69"/>
  <c r="J35" i="69"/>
  <c r="I35" i="69"/>
  <c r="H35" i="69"/>
  <c r="F35" i="69"/>
  <c r="E35" i="69"/>
  <c r="D35" i="69"/>
  <c r="C35" i="69"/>
  <c r="B35" i="69"/>
  <c r="M34" i="69"/>
  <c r="G34" i="69"/>
  <c r="M33" i="69"/>
  <c r="G33" i="69"/>
  <c r="S32" i="69"/>
  <c r="M32" i="69"/>
  <c r="G32" i="69"/>
  <c r="S31" i="69"/>
  <c r="M31" i="69"/>
  <c r="G31" i="69"/>
  <c r="M30" i="69"/>
  <c r="G30" i="69"/>
  <c r="S29" i="69"/>
  <c r="M29" i="69"/>
  <c r="G29" i="69"/>
  <c r="M28" i="69"/>
  <c r="G28" i="69"/>
  <c r="S27" i="69"/>
  <c r="M27" i="69"/>
  <c r="G27" i="69"/>
  <c r="S26" i="69"/>
  <c r="M26" i="69"/>
  <c r="G26" i="69"/>
  <c r="S25" i="69"/>
  <c r="M25" i="69"/>
  <c r="G25" i="69"/>
  <c r="S24" i="69"/>
  <c r="M24" i="69"/>
  <c r="G24" i="69"/>
  <c r="S23" i="69"/>
  <c r="M23" i="69"/>
  <c r="G23" i="69"/>
  <c r="S22" i="69"/>
  <c r="M22" i="69"/>
  <c r="G22" i="69"/>
  <c r="S21" i="69"/>
  <c r="M21" i="69"/>
  <c r="G21" i="69"/>
  <c r="S20" i="69"/>
  <c r="M20" i="69"/>
  <c r="G20" i="69"/>
  <c r="M19" i="69"/>
  <c r="G19" i="69"/>
  <c r="S18" i="69"/>
  <c r="M18" i="69"/>
  <c r="G18" i="69"/>
  <c r="M17" i="69"/>
  <c r="G17" i="69"/>
  <c r="S16" i="69"/>
  <c r="M16" i="69"/>
  <c r="G16" i="69"/>
  <c r="S15" i="69"/>
  <c r="M15" i="69"/>
  <c r="G15" i="69"/>
  <c r="S14" i="69"/>
  <c r="M14" i="69"/>
  <c r="G14" i="69"/>
  <c r="S13" i="69"/>
  <c r="M13" i="69"/>
  <c r="G13" i="69"/>
  <c r="S12" i="69"/>
  <c r="M12" i="69"/>
  <c r="G12" i="69"/>
  <c r="S11" i="69"/>
  <c r="M11" i="69"/>
  <c r="G11" i="69"/>
  <c r="S10" i="69"/>
  <c r="M10" i="69"/>
  <c r="G10" i="69"/>
  <c r="S9" i="69"/>
  <c r="M9" i="69"/>
  <c r="G9" i="69"/>
  <c r="S8" i="69"/>
  <c r="M8" i="69"/>
  <c r="G8" i="69"/>
  <c r="S7" i="69"/>
  <c r="M7" i="69"/>
  <c r="G7" i="69"/>
  <c r="S6" i="69"/>
  <c r="M6" i="69"/>
  <c r="G6" i="69"/>
  <c r="M5" i="69"/>
  <c r="G5" i="69"/>
  <c r="O35" i="69"/>
  <c r="G4" i="69"/>
  <c r="P35" i="69" l="1"/>
  <c r="R35" i="69"/>
  <c r="G35" i="69"/>
  <c r="M35" i="69"/>
  <c r="S35" i="69"/>
  <c r="M9" i="66" l="1"/>
  <c r="R34" i="67" l="1"/>
  <c r="Q34" i="67"/>
  <c r="P34" i="67"/>
  <c r="O34" i="67"/>
  <c r="N34" i="67"/>
  <c r="L34" i="67"/>
  <c r="K34" i="67"/>
  <c r="J34" i="67"/>
  <c r="I34" i="67"/>
  <c r="H34" i="67"/>
  <c r="F34" i="67"/>
  <c r="E34" i="67"/>
  <c r="D34" i="67"/>
  <c r="C34" i="67"/>
  <c r="B34" i="67"/>
  <c r="S33" i="67"/>
  <c r="M33" i="67"/>
  <c r="G33" i="67"/>
  <c r="S32" i="67"/>
  <c r="M32" i="67"/>
  <c r="G32" i="67"/>
  <c r="S31" i="67"/>
  <c r="M31" i="67"/>
  <c r="G31" i="67"/>
  <c r="S30" i="67"/>
  <c r="M30" i="67"/>
  <c r="G30" i="67"/>
  <c r="S29" i="67"/>
  <c r="M29" i="67"/>
  <c r="G29" i="67"/>
  <c r="S28" i="67"/>
  <c r="M28" i="67"/>
  <c r="G28" i="67"/>
  <c r="S27" i="67"/>
  <c r="M27" i="67"/>
  <c r="G27" i="67"/>
  <c r="S26" i="67"/>
  <c r="M26" i="67"/>
  <c r="G26" i="67"/>
  <c r="S25" i="67"/>
  <c r="M25" i="67"/>
  <c r="G25" i="67"/>
  <c r="S24" i="67"/>
  <c r="M24" i="67"/>
  <c r="G24" i="67"/>
  <c r="S23" i="67"/>
  <c r="M23" i="67"/>
  <c r="G23" i="67"/>
  <c r="S22" i="67"/>
  <c r="M22" i="67"/>
  <c r="G22" i="67"/>
  <c r="S21" i="67"/>
  <c r="M21" i="67"/>
  <c r="G21" i="67"/>
  <c r="S20" i="67"/>
  <c r="M20" i="67"/>
  <c r="G20" i="67"/>
  <c r="S19" i="67"/>
  <c r="M19" i="67"/>
  <c r="G19" i="67"/>
  <c r="S18" i="67"/>
  <c r="M18" i="67"/>
  <c r="G18" i="67"/>
  <c r="S17" i="67"/>
  <c r="M17" i="67"/>
  <c r="G17" i="67"/>
  <c r="S16" i="67"/>
  <c r="M16" i="67"/>
  <c r="G16" i="67"/>
  <c r="S15" i="67"/>
  <c r="M15" i="67"/>
  <c r="G15" i="67"/>
  <c r="S14" i="67"/>
  <c r="M14" i="67"/>
  <c r="G14" i="67"/>
  <c r="S13" i="67"/>
  <c r="M13" i="67"/>
  <c r="G13" i="67"/>
  <c r="S12" i="67"/>
  <c r="M12" i="67"/>
  <c r="G12" i="67"/>
  <c r="S11" i="67"/>
  <c r="M11" i="67"/>
  <c r="G11" i="67"/>
  <c r="S10" i="67"/>
  <c r="M10" i="67"/>
  <c r="G10" i="67"/>
  <c r="S9" i="67"/>
  <c r="M9" i="67"/>
  <c r="G9" i="67"/>
  <c r="S8" i="67"/>
  <c r="M8" i="67"/>
  <c r="G8" i="67"/>
  <c r="S7" i="67"/>
  <c r="M7" i="67"/>
  <c r="G7" i="67"/>
  <c r="S6" i="67"/>
  <c r="M6" i="67"/>
  <c r="G6" i="67"/>
  <c r="S5" i="67"/>
  <c r="M5" i="67"/>
  <c r="G5" i="67"/>
  <c r="S4" i="67"/>
  <c r="M4" i="67"/>
  <c r="G4" i="67"/>
  <c r="M25" i="65"/>
  <c r="M34" i="67" l="1"/>
  <c r="S34" i="67"/>
  <c r="G34" i="67"/>
  <c r="G25" i="65"/>
  <c r="G16" i="65"/>
  <c r="G17" i="65"/>
  <c r="G18" i="65"/>
  <c r="G19" i="65"/>
  <c r="G20" i="65"/>
  <c r="G21" i="65"/>
  <c r="G22" i="65"/>
  <c r="G23" i="65"/>
  <c r="G24" i="65"/>
  <c r="G26" i="65"/>
  <c r="G27" i="65"/>
  <c r="G28" i="65"/>
  <c r="G29" i="65"/>
  <c r="G30" i="65"/>
  <c r="G31" i="65"/>
  <c r="G15" i="65"/>
  <c r="R35" i="66" l="1"/>
  <c r="Q35" i="66"/>
  <c r="P35" i="66"/>
  <c r="O35" i="66"/>
  <c r="N35" i="66"/>
  <c r="L35" i="66"/>
  <c r="K35" i="66"/>
  <c r="J35" i="66"/>
  <c r="I35" i="66"/>
  <c r="H35" i="66"/>
  <c r="F35" i="66"/>
  <c r="E35" i="66"/>
  <c r="D35" i="66"/>
  <c r="C35" i="66"/>
  <c r="B35" i="66"/>
  <c r="S34" i="66"/>
  <c r="M34" i="66"/>
  <c r="G34" i="66"/>
  <c r="S33" i="66"/>
  <c r="M33" i="66"/>
  <c r="G33" i="66"/>
  <c r="S32" i="66"/>
  <c r="M32" i="66"/>
  <c r="G32" i="66"/>
  <c r="S31" i="66"/>
  <c r="M31" i="66"/>
  <c r="G31" i="66"/>
  <c r="S30" i="66"/>
  <c r="M30" i="66"/>
  <c r="G30" i="66"/>
  <c r="S29" i="66"/>
  <c r="M29" i="66"/>
  <c r="G29" i="66"/>
  <c r="S28" i="66"/>
  <c r="M28" i="66"/>
  <c r="G28" i="66"/>
  <c r="S27" i="66"/>
  <c r="M27" i="66"/>
  <c r="G27" i="66"/>
  <c r="S26" i="66"/>
  <c r="M26" i="66"/>
  <c r="G26" i="66"/>
  <c r="S25" i="66"/>
  <c r="M25" i="66"/>
  <c r="G25" i="66"/>
  <c r="S24" i="66"/>
  <c r="M24" i="66"/>
  <c r="G24" i="66"/>
  <c r="S23" i="66"/>
  <c r="M23" i="66"/>
  <c r="G23" i="66"/>
  <c r="S22" i="66"/>
  <c r="M22" i="66"/>
  <c r="G22" i="66"/>
  <c r="S21" i="66"/>
  <c r="M21" i="66"/>
  <c r="G21" i="66"/>
  <c r="S20" i="66"/>
  <c r="M20" i="66"/>
  <c r="G20" i="66"/>
  <c r="S19" i="66"/>
  <c r="M19" i="66"/>
  <c r="G19" i="66"/>
  <c r="S18" i="66"/>
  <c r="M18" i="66"/>
  <c r="G18" i="66"/>
  <c r="S17" i="66"/>
  <c r="M17" i="66"/>
  <c r="G17" i="66"/>
  <c r="S16" i="66"/>
  <c r="M16" i="66"/>
  <c r="G16" i="66"/>
  <c r="S15" i="66"/>
  <c r="M15" i="66"/>
  <c r="G15" i="66"/>
  <c r="S14" i="66"/>
  <c r="M14" i="66"/>
  <c r="G14" i="66"/>
  <c r="S13" i="66"/>
  <c r="M13" i="66"/>
  <c r="G13" i="66"/>
  <c r="S12" i="66"/>
  <c r="M12" i="66"/>
  <c r="G12" i="66"/>
  <c r="S11" i="66"/>
  <c r="M11" i="66"/>
  <c r="G11" i="66"/>
  <c r="S10" i="66"/>
  <c r="M10" i="66"/>
  <c r="G10" i="66"/>
  <c r="S9" i="66"/>
  <c r="G9" i="66"/>
  <c r="S8" i="66"/>
  <c r="M8" i="66"/>
  <c r="G8" i="66"/>
  <c r="S7" i="66"/>
  <c r="M7" i="66"/>
  <c r="G7" i="66"/>
  <c r="S6" i="66"/>
  <c r="M6" i="66"/>
  <c r="G6" i="66"/>
  <c r="S5" i="66"/>
  <c r="M5" i="66"/>
  <c r="G5" i="66"/>
  <c r="S4" i="66"/>
  <c r="M4" i="66"/>
  <c r="G4" i="66"/>
  <c r="L32" i="65"/>
  <c r="K32" i="65"/>
  <c r="J32" i="65"/>
  <c r="I32" i="65"/>
  <c r="H32" i="65"/>
  <c r="F32" i="65"/>
  <c r="E32" i="65"/>
  <c r="D32" i="65"/>
  <c r="C32" i="65"/>
  <c r="B32" i="65"/>
  <c r="R32" i="65"/>
  <c r="Q32" i="65"/>
  <c r="P32" i="65"/>
  <c r="O32" i="65"/>
  <c r="N32" i="65"/>
  <c r="S31" i="65"/>
  <c r="M31" i="65"/>
  <c r="S30" i="65"/>
  <c r="M30" i="65"/>
  <c r="S29" i="65"/>
  <c r="M29" i="65"/>
  <c r="S28" i="65"/>
  <c r="M28" i="65"/>
  <c r="S27" i="65"/>
  <c r="M27" i="65"/>
  <c r="S26" i="65"/>
  <c r="M26" i="65"/>
  <c r="S25" i="65"/>
  <c r="S24" i="65"/>
  <c r="M24" i="65"/>
  <c r="S23" i="65"/>
  <c r="M23" i="65"/>
  <c r="S22" i="65"/>
  <c r="M22" i="65"/>
  <c r="S21" i="65"/>
  <c r="M21" i="65"/>
  <c r="S20" i="65"/>
  <c r="M20" i="65"/>
  <c r="S19" i="65"/>
  <c r="M19" i="65"/>
  <c r="S18" i="65"/>
  <c r="M18" i="65"/>
  <c r="S17" i="65"/>
  <c r="M17" i="65"/>
  <c r="S16" i="65"/>
  <c r="M16" i="65"/>
  <c r="S15" i="65"/>
  <c r="M15" i="65"/>
  <c r="S14" i="65"/>
  <c r="M14" i="65"/>
  <c r="G14" i="65"/>
  <c r="S13" i="65"/>
  <c r="M13" i="65"/>
  <c r="G13" i="65"/>
  <c r="S12" i="65"/>
  <c r="M12" i="65"/>
  <c r="G12" i="65"/>
  <c r="S11" i="65"/>
  <c r="M11" i="65"/>
  <c r="G11" i="65"/>
  <c r="S10" i="65"/>
  <c r="M10" i="65"/>
  <c r="G10" i="65"/>
  <c r="S9" i="65"/>
  <c r="M9" i="65"/>
  <c r="G9" i="65"/>
  <c r="S8" i="65"/>
  <c r="M8" i="65"/>
  <c r="G8" i="65"/>
  <c r="S7" i="65"/>
  <c r="M7" i="65"/>
  <c r="G7" i="65"/>
  <c r="S6" i="65"/>
  <c r="M6" i="65"/>
  <c r="G6" i="65"/>
  <c r="S5" i="65"/>
  <c r="M5" i="65"/>
  <c r="G5" i="65"/>
  <c r="S4" i="65"/>
  <c r="M4" i="65"/>
  <c r="G4" i="65"/>
  <c r="R35" i="64"/>
  <c r="P35" i="64"/>
  <c r="O35" i="64"/>
  <c r="N35" i="64"/>
  <c r="L35" i="64"/>
  <c r="K35" i="64"/>
  <c r="J35" i="64"/>
  <c r="I35" i="64"/>
  <c r="H35" i="64"/>
  <c r="F35" i="64"/>
  <c r="E35" i="64"/>
  <c r="D35" i="64"/>
  <c r="C35" i="64"/>
  <c r="B35" i="64"/>
  <c r="S34" i="64"/>
  <c r="M34" i="64"/>
  <c r="G34" i="64"/>
  <c r="S33" i="64"/>
  <c r="M33" i="64"/>
  <c r="G33" i="64"/>
  <c r="S32" i="64"/>
  <c r="M32" i="64"/>
  <c r="G32" i="64"/>
  <c r="S31" i="64"/>
  <c r="M31" i="64"/>
  <c r="G31" i="64"/>
  <c r="S30" i="64"/>
  <c r="M30" i="64"/>
  <c r="G30" i="64"/>
  <c r="S29" i="64"/>
  <c r="M29" i="64"/>
  <c r="G29" i="64"/>
  <c r="S28" i="64"/>
  <c r="M28" i="64"/>
  <c r="G28" i="64"/>
  <c r="S27" i="64"/>
  <c r="M27" i="64"/>
  <c r="G27" i="64"/>
  <c r="S26" i="64"/>
  <c r="M26" i="64"/>
  <c r="G26" i="64"/>
  <c r="S25" i="64"/>
  <c r="M25" i="64"/>
  <c r="G25" i="64"/>
  <c r="S24" i="64"/>
  <c r="M24" i="64"/>
  <c r="G24" i="64"/>
  <c r="S23" i="64"/>
  <c r="M23" i="64"/>
  <c r="G23" i="64"/>
  <c r="S22" i="64"/>
  <c r="M22" i="64"/>
  <c r="G22" i="64"/>
  <c r="S21" i="64"/>
  <c r="M21" i="64"/>
  <c r="G21" i="64"/>
  <c r="S20" i="64"/>
  <c r="M20" i="64"/>
  <c r="G20" i="64"/>
  <c r="S19" i="64"/>
  <c r="M19" i="64"/>
  <c r="G19" i="64"/>
  <c r="S18" i="64"/>
  <c r="M18" i="64"/>
  <c r="G18" i="64"/>
  <c r="S17" i="64"/>
  <c r="M17" i="64"/>
  <c r="G17" i="64"/>
  <c r="S16" i="64"/>
  <c r="M16" i="64"/>
  <c r="G16" i="64"/>
  <c r="S15" i="64"/>
  <c r="M15" i="64"/>
  <c r="G15" i="64"/>
  <c r="S14" i="64"/>
  <c r="M14" i="64"/>
  <c r="G14" i="64"/>
  <c r="M13" i="64"/>
  <c r="G13" i="64"/>
  <c r="S12" i="64"/>
  <c r="M12" i="64"/>
  <c r="G12" i="64"/>
  <c r="S11" i="64"/>
  <c r="M11" i="64"/>
  <c r="G11" i="64"/>
  <c r="S10" i="64"/>
  <c r="M10" i="64"/>
  <c r="G10" i="64"/>
  <c r="S9" i="64"/>
  <c r="M9" i="64"/>
  <c r="G9" i="64"/>
  <c r="S8" i="64"/>
  <c r="M8" i="64"/>
  <c r="G8" i="64"/>
  <c r="S7" i="64"/>
  <c r="M7" i="64"/>
  <c r="G7" i="64"/>
  <c r="S6" i="64"/>
  <c r="M6" i="64"/>
  <c r="G6" i="64"/>
  <c r="S5" i="64"/>
  <c r="M5" i="64"/>
  <c r="G5" i="64"/>
  <c r="S4" i="64"/>
  <c r="M4" i="64"/>
  <c r="G4" i="64"/>
  <c r="S35" i="66" l="1"/>
  <c r="M35" i="66"/>
  <c r="G35" i="66"/>
  <c r="G32" i="65"/>
  <c r="M32" i="65"/>
  <c r="S32" i="65"/>
  <c r="G35" i="64"/>
  <c r="M35" i="64"/>
  <c r="Q35" i="64"/>
  <c r="S13" i="64"/>
  <c r="S35" i="64" s="1"/>
</calcChain>
</file>

<file path=xl/sharedStrings.xml><?xml version="1.0" encoding="utf-8"?>
<sst xmlns="http://schemas.openxmlformats.org/spreadsheetml/2006/main" count="300" uniqueCount="20">
  <si>
    <t>DATA</t>
  </si>
  <si>
    <t>REC. CAIXA</t>
  </si>
  <si>
    <t>LISTA LOG</t>
  </si>
  <si>
    <t>DEPÓSITO BANCO</t>
  </si>
  <si>
    <t>FLORES</t>
  </si>
  <si>
    <t>REAL RIO</t>
  </si>
  <si>
    <t>RIO DOURO</t>
  </si>
  <si>
    <t>MAGELI</t>
  </si>
  <si>
    <t>BEIRA MAR</t>
  </si>
  <si>
    <t>TOTAL</t>
  </si>
  <si>
    <t>TOTAIS</t>
  </si>
  <si>
    <t xml:space="preserve"> </t>
  </si>
  <si>
    <t>ACOMPANHAMENTO DE VALORES  -  Janeiro 2022</t>
  </si>
  <si>
    <t>ACOMPANHAMENTO DE VALORES  -  Fevereiro 2022</t>
  </si>
  <si>
    <t>ACOMPANHAMENTO DE VALORES  -  Março 2022</t>
  </si>
  <si>
    <t>ACOMPANHAMENTO DE VALORES  -  Abril 2022</t>
  </si>
  <si>
    <t>ACOMPANHAMENTO DE VALORES  -  Maio 2022</t>
  </si>
  <si>
    <t>V.T</t>
  </si>
  <si>
    <t>B.U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</si>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</sst>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\-#,##0.00\ "/>
    <numFmt numFmtId="165" formatCode="0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000000"/>
      <name val="Verdana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39" fontId="5" fillId="0" borderId="1" xfId="0" applyNumberFormat="1" applyFont="1" applyBorder="1" applyAlignment="1">
      <alignment horizontal="right" vertical="center"/>
    </xf>
    <xf numFmtId="39" fontId="0" fillId="0" borderId="1" xfId="0" applyNumberFormat="1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4" fontId="0" fillId="6" borderId="1" xfId="0" applyNumberFormat="1" applyFill="1" applyBorder="1" applyAlignment="1">
      <alignment horizontal="right" vertical="center"/>
    </xf>
    <xf numFmtId="39" fontId="0" fillId="6" borderId="1" xfId="0" applyNumberFormat="1" applyFill="1" applyBorder="1" applyAlignment="1">
      <alignment horizontal="right" vertical="center"/>
    </xf>
    <xf numFmtId="39" fontId="5" fillId="6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10" fontId="6" fillId="0" borderId="0" xfId="0" applyNumberFormat="1" applyFont="1" applyAlignment="1">
      <alignment horizontal="center"/>
    </xf>
    <xf numFmtId="164" fontId="0" fillId="0" borderId="9" xfId="0" applyNumberFormat="1" applyBorder="1" applyAlignment="1">
      <alignment horizontal="right" vertical="center"/>
    </xf>
    <xf numFmtId="4" fontId="5" fillId="0" borderId="9" xfId="0" applyNumberFormat="1" applyFont="1" applyBorder="1" applyAlignment="1">
      <alignment horizontal="right" vertical="center"/>
    </xf>
    <xf numFmtId="4" fontId="0" fillId="0" borderId="9" xfId="0" applyNumberFormat="1" applyBorder="1" applyAlignment="1">
      <alignment horizontal="right" vertical="center"/>
    </xf>
    <xf numFmtId="39" fontId="0" fillId="0" borderId="9" xfId="0" applyNumberFormat="1" applyBorder="1" applyAlignment="1">
      <alignment horizontal="right" vertical="center"/>
    </xf>
    <xf numFmtId="39" fontId="5" fillId="0" borderId="9" xfId="0" applyNumberFormat="1" applyFont="1" applyBorder="1" applyAlignment="1">
      <alignment horizontal="right" vertical="center"/>
    </xf>
    <xf numFmtId="39" fontId="0" fillId="6" borderId="9" xfId="0" applyNumberFormat="1" applyFill="1" applyBorder="1" applyAlignment="1">
      <alignment horizontal="right" vertical="center"/>
    </xf>
    <xf numFmtId="39" fontId="5" fillId="6" borderId="9" xfId="0" applyNumberFormat="1" applyFont="1" applyFill="1" applyBorder="1" applyAlignment="1">
      <alignment horizontal="right" vertical="center"/>
    </xf>
    <xf numFmtId="4" fontId="0" fillId="0" borderId="7" xfId="0" applyNumberFormat="1" applyBorder="1" applyAlignment="1">
      <alignment horizontal="right" vertical="center"/>
    </xf>
    <xf numFmtId="4" fontId="0" fillId="0" borderId="3" xfId="0" applyNumberFormat="1" applyBorder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4" fontId="0" fillId="0" borderId="11" xfId="0" applyNumberFormat="1" applyBorder="1" applyAlignment="1">
      <alignment horizontal="right" vertical="center"/>
    </xf>
    <xf numFmtId="4" fontId="0" fillId="0" borderId="9" xfId="0" applyNumberFormat="1" applyBorder="1" applyAlignment="1">
      <alignment horizontal="right" vertical="center" wrapText="1"/>
    </xf>
    <xf numFmtId="4" fontId="0" fillId="0" borderId="1" xfId="0" applyNumberFormat="1" applyBorder="1" applyAlignment="1">
      <alignment horizontal="right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39" fontId="9" fillId="3" borderId="10" xfId="0" applyNumberFormat="1" applyFont="1" applyFill="1" applyBorder="1" applyAlignment="1">
      <alignment horizontal="right" vertical="center"/>
    </xf>
    <xf numFmtId="39" fontId="9" fillId="3" borderId="8" xfId="0" applyNumberFormat="1" applyFont="1" applyFill="1" applyBorder="1" applyAlignment="1">
      <alignment horizontal="right" vertical="center"/>
    </xf>
    <xf numFmtId="0" fontId="6" fillId="4" borderId="17" xfId="0" applyFont="1" applyFill="1" applyBorder="1" applyAlignment="1">
      <alignment horizontal="center"/>
    </xf>
    <xf numFmtId="39" fontId="9" fillId="3" borderId="12" xfId="0" applyNumberFormat="1" applyFont="1" applyFill="1" applyBorder="1" applyAlignment="1">
      <alignment horizontal="right" vertical="center"/>
    </xf>
    <xf numFmtId="39" fontId="9" fillId="3" borderId="13" xfId="0" applyNumberFormat="1" applyFont="1" applyFill="1" applyBorder="1" applyAlignment="1">
      <alignment horizontal="right" vertical="center"/>
    </xf>
    <xf numFmtId="39" fontId="9" fillId="3" borderId="14" xfId="0" applyNumberFormat="1" applyFont="1" applyFill="1" applyBorder="1" applyAlignment="1">
      <alignment horizontal="right" vertical="center"/>
    </xf>
    <xf numFmtId="39" fontId="8" fillId="4" borderId="15" xfId="0" applyNumberFormat="1" applyFont="1" applyFill="1" applyBorder="1" applyAlignment="1">
      <alignment horizontal="right" vertical="center"/>
    </xf>
    <xf numFmtId="2" fontId="9" fillId="3" borderId="12" xfId="0" applyNumberFormat="1" applyFont="1" applyFill="1" applyBorder="1" applyAlignment="1">
      <alignment horizontal="right" vertical="center"/>
    </xf>
    <xf numFmtId="39" fontId="6" fillId="4" borderId="15" xfId="0" applyNumberFormat="1" applyFont="1" applyFill="1" applyBorder="1" applyAlignment="1">
      <alignment horizontal="right" vertical="center"/>
    </xf>
    <xf numFmtId="39" fontId="6" fillId="4" borderId="27" xfId="0" applyNumberFormat="1" applyFont="1" applyFill="1" applyBorder="1" applyAlignment="1">
      <alignment horizontal="right" vertical="center"/>
    </xf>
    <xf numFmtId="165" fontId="6" fillId="5" borderId="16" xfId="0" applyNumberFormat="1" applyFont="1" applyFill="1" applyBorder="1" applyAlignment="1">
      <alignment horizontal="center"/>
    </xf>
    <xf numFmtId="4" fontId="0" fillId="6" borderId="1" xfId="0" applyNumberFormat="1" applyFill="1" applyBorder="1" applyAlignment="1">
      <alignment horizontal="right" vertical="center" wrapText="1"/>
    </xf>
    <xf numFmtId="4" fontId="0" fillId="6" borderId="3" xfId="0" applyNumberFormat="1" applyFill="1" applyBorder="1" applyAlignment="1">
      <alignment horizontal="right" vertical="center"/>
    </xf>
    <xf numFmtId="4" fontId="0" fillId="6" borderId="0" xfId="0" applyNumberFormat="1" applyFill="1" applyAlignment="1">
      <alignment horizontal="right" vertical="center"/>
    </xf>
    <xf numFmtId="39" fontId="8" fillId="7" borderId="10" xfId="0" applyNumberFormat="1" applyFont="1" applyFill="1" applyBorder="1" applyAlignment="1">
      <alignment horizontal="right" vertical="center"/>
    </xf>
    <xf numFmtId="39" fontId="10" fillId="3" borderId="10" xfId="0" applyNumberFormat="1" applyFont="1" applyFill="1" applyBorder="1" applyAlignment="1">
      <alignment horizontal="right" vertical="center"/>
    </xf>
    <xf numFmtId="0" fontId="11" fillId="3" borderId="1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9" fontId="10" fillId="3" borderId="1" xfId="0" applyNumberFormat="1" applyFont="1" applyFill="1" applyBorder="1" applyAlignment="1">
      <alignment horizontal="right" vertical="center"/>
    </xf>
    <xf numFmtId="4" fontId="0" fillId="0" borderId="1" xfId="0" applyNumberFormat="1" applyBorder="1" applyAlignment="1">
      <alignment horizontal="right"/>
    </xf>
    <xf numFmtId="0" fontId="2" fillId="0" borderId="4" xfId="0" applyFont="1" applyBorder="1" applyAlignment="1">
      <alignment vertical="center"/>
    </xf>
    <xf numFmtId="165" fontId="11" fillId="5" borderId="9" xfId="0" applyNumberFormat="1" applyFont="1" applyFill="1" applyBorder="1" applyAlignment="1">
      <alignment horizontal="center"/>
    </xf>
    <xf numFmtId="0" fontId="6" fillId="4" borderId="28" xfId="0" applyFont="1" applyFill="1" applyBorder="1" applyAlignment="1">
      <alignment horizontal="center"/>
    </xf>
    <xf numFmtId="39" fontId="9" fillId="3" borderId="29" xfId="0" applyNumberFormat="1" applyFont="1" applyFill="1" applyBorder="1" applyAlignment="1">
      <alignment horizontal="right" vertical="center"/>
    </xf>
    <xf numFmtId="39" fontId="8" fillId="4" borderId="29" xfId="0" applyNumberFormat="1" applyFont="1" applyFill="1" applyBorder="1" applyAlignment="1">
      <alignment horizontal="right" vertical="center"/>
    </xf>
    <xf numFmtId="2" fontId="9" fillId="3" borderId="29" xfId="0" applyNumberFormat="1" applyFont="1" applyFill="1" applyBorder="1" applyAlignment="1">
      <alignment horizontal="right" vertical="center"/>
    </xf>
    <xf numFmtId="39" fontId="6" fillId="4" borderId="29" xfId="0" applyNumberFormat="1" applyFont="1" applyFill="1" applyBorder="1" applyAlignment="1">
      <alignment horizontal="right" vertical="center"/>
    </xf>
    <xf numFmtId="4" fontId="5" fillId="6" borderId="1" xfId="0" applyNumberFormat="1" applyFont="1" applyFill="1" applyBorder="1" applyAlignment="1">
      <alignment horizontal="right" vertical="center"/>
    </xf>
    <xf numFmtId="4" fontId="9" fillId="3" borderId="12" xfId="0" applyNumberFormat="1" applyFont="1" applyFill="1" applyBorder="1" applyAlignment="1">
      <alignment horizontal="right" vertical="center"/>
    </xf>
    <xf numFmtId="4" fontId="9" fillId="3" borderId="13" xfId="0" applyNumberFormat="1" applyFont="1" applyFill="1" applyBorder="1" applyAlignment="1">
      <alignment horizontal="right" vertical="center"/>
    </xf>
    <xf numFmtId="4" fontId="9" fillId="3" borderId="14" xfId="0" applyNumberFormat="1" applyFont="1" applyFill="1" applyBorder="1" applyAlignment="1">
      <alignment horizontal="right" vertical="center"/>
    </xf>
    <xf numFmtId="4" fontId="8" fillId="4" borderId="15" xfId="0" applyNumberFormat="1" applyFont="1" applyFill="1" applyBorder="1" applyAlignment="1">
      <alignment horizontal="right" vertical="center"/>
    </xf>
    <xf numFmtId="4" fontId="6" fillId="4" borderId="15" xfId="0" applyNumberFormat="1" applyFont="1" applyFill="1" applyBorder="1" applyAlignment="1">
      <alignment horizontal="right" vertical="center"/>
    </xf>
    <xf numFmtId="4" fontId="6" fillId="4" borderId="27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5" fontId="6" fillId="5" borderId="1" xfId="0" applyNumberFormat="1" applyFont="1" applyFill="1" applyBorder="1" applyAlignment="1">
      <alignment horizontal="center"/>
    </xf>
    <xf numFmtId="4" fontId="9" fillId="3" borderId="1" xfId="0" applyNumberFormat="1" applyFont="1" applyFill="1" applyBorder="1" applyAlignment="1">
      <alignment horizontal="right" vertical="center"/>
    </xf>
    <xf numFmtId="0" fontId="2" fillId="0" borderId="21" xfId="0" applyFont="1" applyBorder="1" applyAlignment="1">
      <alignment vertical="center"/>
    </xf>
    <xf numFmtId="165" fontId="8" fillId="5" borderId="16" xfId="0" applyNumberFormat="1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 vertical="center"/>
    </xf>
    <xf numFmtId="165" fontId="6" fillId="5" borderId="30" xfId="0" applyNumberFormat="1" applyFont="1" applyFill="1" applyBorder="1" applyAlignment="1">
      <alignment horizontal="center"/>
    </xf>
    <xf numFmtId="0" fontId="6" fillId="4" borderId="30" xfId="0" applyFont="1" applyFill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39" fontId="15" fillId="3" borderId="16" xfId="0" applyNumberFormat="1" applyFont="1" applyFill="1" applyBorder="1" applyAlignment="1">
      <alignment horizontal="right" vertical="center"/>
    </xf>
    <xf numFmtId="39" fontId="15" fillId="3" borderId="28" xfId="0" applyNumberFormat="1" applyFont="1" applyFill="1" applyBorder="1" applyAlignment="1">
      <alignment horizontal="right" vertical="center"/>
    </xf>
    <xf numFmtId="39" fontId="15" fillId="3" borderId="29" xfId="0" applyNumberFormat="1" applyFont="1" applyFill="1" applyBorder="1" applyAlignment="1">
      <alignment horizontal="right" vertical="center"/>
    </xf>
    <xf numFmtId="39" fontId="15" fillId="3" borderId="27" xfId="0" applyNumberFormat="1" applyFont="1" applyFill="1" applyBorder="1" applyAlignment="1">
      <alignment horizontal="right" vertical="center"/>
    </xf>
    <xf numFmtId="39" fontId="15" fillId="3" borderId="17" xfId="0" applyNumberFormat="1" applyFont="1" applyFill="1" applyBorder="1" applyAlignment="1">
      <alignment horizontal="righ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64" fontId="3" fillId="0" borderId="10" xfId="0" applyNumberFormat="1" applyFont="1" applyBorder="1" applyAlignment="1">
      <alignment horizontal="right" vertical="center"/>
    </xf>
    <xf numFmtId="4" fontId="16" fillId="0" borderId="9" xfId="0" applyNumberFormat="1" applyFont="1" applyBorder="1" applyAlignment="1">
      <alignment horizontal="right" vertical="center"/>
    </xf>
    <xf numFmtId="4" fontId="16" fillId="0" borderId="1" xfId="0" applyNumberFormat="1" applyFont="1" applyBorder="1" applyAlignment="1">
      <alignment horizontal="right" vertical="center"/>
    </xf>
    <xf numFmtId="4" fontId="16" fillId="0" borderId="10" xfId="0" applyNumberFormat="1" applyFont="1" applyBorder="1" applyAlignment="1">
      <alignment horizontal="right" vertical="center"/>
    </xf>
    <xf numFmtId="39" fontId="3" fillId="0" borderId="9" xfId="0" applyNumberFormat="1" applyFont="1" applyBorder="1" applyAlignment="1">
      <alignment horizontal="right" vertical="center"/>
    </xf>
    <xf numFmtId="39" fontId="3" fillId="0" borderId="1" xfId="0" applyNumberFormat="1" applyFont="1" applyBorder="1" applyAlignment="1">
      <alignment horizontal="right" vertical="center"/>
    </xf>
    <xf numFmtId="39" fontId="3" fillId="0" borderId="10" xfId="0" applyNumberFormat="1" applyFont="1" applyBorder="1" applyAlignment="1">
      <alignment horizontal="right" vertical="center"/>
    </xf>
    <xf numFmtId="4" fontId="3" fillId="0" borderId="9" xfId="0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horizontal="right" vertical="center"/>
    </xf>
    <xf numFmtId="4" fontId="3" fillId="0" borderId="10" xfId="0" applyNumberFormat="1" applyFont="1" applyBorder="1" applyAlignment="1">
      <alignment horizontal="right" vertical="center"/>
    </xf>
    <xf numFmtId="39" fontId="3" fillId="6" borderId="9" xfId="0" applyNumberFormat="1" applyFont="1" applyFill="1" applyBorder="1" applyAlignment="1">
      <alignment horizontal="right" vertical="center"/>
    </xf>
    <xf numFmtId="39" fontId="3" fillId="6" borderId="1" xfId="0" applyNumberFormat="1" applyFont="1" applyFill="1" applyBorder="1" applyAlignment="1">
      <alignment horizontal="right" vertical="center"/>
    </xf>
    <xf numFmtId="39" fontId="16" fillId="6" borderId="9" xfId="0" applyNumberFormat="1" applyFont="1" applyFill="1" applyBorder="1" applyAlignment="1">
      <alignment horizontal="right" vertical="center"/>
    </xf>
    <xf numFmtId="39" fontId="16" fillId="6" borderId="1" xfId="0" applyNumberFormat="1" applyFont="1" applyFill="1" applyBorder="1" applyAlignment="1">
      <alignment horizontal="right" vertical="center"/>
    </xf>
    <xf numFmtId="39" fontId="16" fillId="6" borderId="10" xfId="0" applyNumberFormat="1" applyFont="1" applyFill="1" applyBorder="1" applyAlignment="1">
      <alignment horizontal="right" vertical="center"/>
    </xf>
    <xf numFmtId="39" fontId="16" fillId="0" borderId="9" xfId="0" applyNumberFormat="1" applyFont="1" applyBorder="1" applyAlignment="1">
      <alignment horizontal="right" vertical="center"/>
    </xf>
    <xf numFmtId="39" fontId="16" fillId="0" borderId="1" xfId="0" applyNumberFormat="1" applyFont="1" applyBorder="1" applyAlignment="1">
      <alignment horizontal="right" vertical="center"/>
    </xf>
    <xf numFmtId="39" fontId="16" fillId="0" borderId="10" xfId="0" applyNumberFormat="1" applyFont="1" applyBorder="1" applyAlignment="1">
      <alignment horizontal="right" vertical="center"/>
    </xf>
    <xf numFmtId="39" fontId="3" fillId="6" borderId="10" xfId="0" applyNumberFormat="1" applyFont="1" applyFill="1" applyBorder="1" applyAlignment="1">
      <alignment horizontal="right" vertical="center"/>
    </xf>
    <xf numFmtId="0" fontId="17" fillId="3" borderId="31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4" fontId="0" fillId="6" borderId="9" xfId="0" applyNumberFormat="1" applyFill="1" applyBorder="1" applyAlignment="1">
      <alignment horizontal="right" vertical="center"/>
    </xf>
    <xf numFmtId="4" fontId="5" fillId="6" borderId="9" xfId="0" applyNumberFormat="1" applyFont="1" applyFill="1" applyBorder="1" applyAlignment="1">
      <alignment horizontal="right" vertical="center"/>
    </xf>
    <xf numFmtId="164" fontId="5" fillId="6" borderId="1" xfId="0" applyNumberFormat="1" applyFont="1" applyFill="1" applyBorder="1" applyAlignment="1">
      <alignment horizontal="right" vertical="center"/>
    </xf>
    <xf numFmtId="39" fontId="9" fillId="6" borderId="12" xfId="0" applyNumberFormat="1" applyFont="1" applyFill="1" applyBorder="1" applyAlignment="1">
      <alignment horizontal="right" vertical="center"/>
    </xf>
    <xf numFmtId="39" fontId="9" fillId="6" borderId="14" xfId="0" applyNumberFormat="1" applyFont="1" applyFill="1" applyBorder="1" applyAlignment="1">
      <alignment horizontal="right" vertical="center"/>
    </xf>
    <xf numFmtId="2" fontId="3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/>
    <xf numFmtId="0" fontId="6" fillId="2" borderId="30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1F28-8584-422D-9F20-9619B8E55FC7}">
  <sheetPr>
    <pageSetUpPr fitToPage="1"/>
  </sheetPr>
  <dimension ref="A1:T39"/>
  <sheetViews>
    <sheetView tabSelected="1" workbookViewId="0">
      <pane xSplit="1" ySplit="3" topLeftCell="K4" activePane="bottomRight" state="frozen"/>
      <selection pane="topRight" activeCell="B1" sqref="B1"/>
      <selection pane="bottomLeft" activeCell="A2" sqref="A2"/>
      <selection pane="bottomRight" activeCell="R7" sqref="R7"/>
    </sheetView>
  </sheetViews>
  <sheetFormatPr defaultColWidth="9.140625" defaultRowHeight="12.75" x14ac:dyDescent="0.2"/>
  <cols>
    <col min="1" max="1" width="6.85546875" style="1" customWidth="1"/>
    <col min="2" max="6" width="11.7109375" style="1" customWidth="1"/>
    <col min="7" max="7" width="12.7109375" style="2" customWidth="1"/>
    <col min="8" max="8" width="11.7109375" style="4" customWidth="1"/>
    <col min="9" max="12" width="11.7109375" style="1" customWidth="1"/>
    <col min="13" max="13" width="12.7109375" style="2" customWidth="1"/>
    <col min="14" max="18" width="11.7109375" style="13" customWidth="1"/>
    <col min="19" max="19" width="12.7109375" style="1" customWidth="1"/>
    <col min="20" max="20" width="10.7109375" style="1" customWidth="1"/>
    <col min="21" max="16384" width="9.140625" style="1"/>
  </cols>
  <sheetData>
    <row r="1" spans="1:19" ht="24" customHeight="1" x14ac:dyDescent="0.2">
      <c r="A1" s="74"/>
      <c r="B1" s="125" t="s">
        <v>16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</row>
    <row r="2" spans="1:19" ht="18.75" x14ac:dyDescent="0.25">
      <c r="A2" s="126" t="s">
        <v>0</v>
      </c>
      <c r="B2" s="127" t="s">
        <v>1</v>
      </c>
      <c r="C2" s="128"/>
      <c r="D2" s="128"/>
      <c r="E2" s="128"/>
      <c r="F2" s="128"/>
      <c r="G2" s="128"/>
      <c r="H2" s="127" t="s">
        <v>2</v>
      </c>
      <c r="I2" s="128"/>
      <c r="J2" s="128"/>
      <c r="K2" s="128"/>
      <c r="L2" s="128"/>
      <c r="M2" s="128"/>
      <c r="N2" s="127" t="s">
        <v>3</v>
      </c>
      <c r="O2" s="128"/>
      <c r="P2" s="128"/>
      <c r="Q2" s="128"/>
      <c r="R2" s="128"/>
      <c r="S2" s="128"/>
    </row>
    <row r="3" spans="1:19" ht="16.149999999999999" customHeight="1" x14ac:dyDescent="0.2">
      <c r="A3" s="126"/>
      <c r="B3" s="75" t="s">
        <v>4</v>
      </c>
      <c r="C3" s="75" t="s">
        <v>5</v>
      </c>
      <c r="D3" s="75" t="s">
        <v>6</v>
      </c>
      <c r="E3" s="75" t="s">
        <v>7</v>
      </c>
      <c r="F3" s="75" t="s">
        <v>8</v>
      </c>
      <c r="G3" s="76" t="s">
        <v>9</v>
      </c>
      <c r="H3" s="77" t="s">
        <v>4</v>
      </c>
      <c r="I3" s="75" t="s">
        <v>5</v>
      </c>
      <c r="J3" s="75" t="s">
        <v>6</v>
      </c>
      <c r="K3" s="75" t="s">
        <v>7</v>
      </c>
      <c r="L3" s="75" t="s">
        <v>8</v>
      </c>
      <c r="M3" s="78" t="s">
        <v>9</v>
      </c>
      <c r="N3" s="75" t="s">
        <v>4</v>
      </c>
      <c r="O3" s="75" t="s">
        <v>5</v>
      </c>
      <c r="P3" s="75" t="s">
        <v>6</v>
      </c>
      <c r="Q3" s="75" t="s">
        <v>7</v>
      </c>
      <c r="R3" s="75" t="s">
        <v>8</v>
      </c>
      <c r="S3" s="78" t="s">
        <v>9</v>
      </c>
    </row>
    <row r="4" spans="1:19" ht="16.149999999999999" customHeight="1" x14ac:dyDescent="0.2">
      <c r="A4" s="79">
        <v>1</v>
      </c>
      <c r="B4" s="7">
        <v>264385.83</v>
      </c>
      <c r="C4" s="7">
        <v>71901.429999999993</v>
      </c>
      <c r="D4" s="7">
        <v>26327.49</v>
      </c>
      <c r="E4" s="7">
        <v>16496.32</v>
      </c>
      <c r="F4" s="7"/>
      <c r="G4" s="80">
        <f t="shared" ref="G4:G35" si="0">SUM(B4:F4)</f>
        <v>379111.07</v>
      </c>
      <c r="H4" s="7">
        <v>410547.66</v>
      </c>
      <c r="I4" s="7">
        <v>70670.070000000007</v>
      </c>
      <c r="J4" s="7">
        <v>26094.75</v>
      </c>
      <c r="K4" s="7">
        <v>16946.98</v>
      </c>
      <c r="L4" s="7"/>
      <c r="M4" s="80">
        <f t="shared" ref="M4:M34" si="1">SUM(H4:L4)</f>
        <v>524259.45999999996</v>
      </c>
      <c r="N4" s="8">
        <f>254773.17+11698.05</f>
        <v>266471.22000000003</v>
      </c>
      <c r="O4" s="8">
        <f>62920.12+7749.95</f>
        <v>70670.070000000007</v>
      </c>
      <c r="P4" s="8">
        <f>25737.89+589.6</f>
        <v>26327.489999999998</v>
      </c>
      <c r="Q4" s="7">
        <f>14570.22+1926.1</f>
        <v>16496.32</v>
      </c>
      <c r="R4" s="8">
        <f>7413.5+489.85</f>
        <v>7903.35</v>
      </c>
      <c r="S4" s="80">
        <f t="shared" ref="S4:S34" si="2">SUM(N4:R4)</f>
        <v>387868.45</v>
      </c>
    </row>
    <row r="5" spans="1:19" ht="16.149999999999999" customHeight="1" x14ac:dyDescent="0.2">
      <c r="A5" s="79">
        <v>2</v>
      </c>
      <c r="B5" s="7">
        <v>192342.66</v>
      </c>
      <c r="C5" s="7">
        <v>52898.48</v>
      </c>
      <c r="D5" s="7">
        <v>17096.27</v>
      </c>
      <c r="E5" s="7">
        <v>8345.31</v>
      </c>
      <c r="F5" s="7"/>
      <c r="G5" s="80">
        <f t="shared" si="0"/>
        <v>270682.72000000003</v>
      </c>
      <c r="H5" s="7">
        <v>165655.75</v>
      </c>
      <c r="I5" s="7">
        <v>53707.6</v>
      </c>
      <c r="J5" s="7">
        <v>15308.71</v>
      </c>
      <c r="K5" s="7"/>
      <c r="L5" s="7"/>
      <c r="M5" s="80">
        <f t="shared" si="1"/>
        <v>234672.06</v>
      </c>
      <c r="N5" s="8">
        <f>157786.62+6702.65</f>
        <v>164489.26999999999</v>
      </c>
      <c r="O5" s="7">
        <f>48089.6+4861.3</f>
        <v>52950.9</v>
      </c>
      <c r="P5" s="8">
        <f>14956.06+352.7</f>
        <v>15308.76</v>
      </c>
      <c r="Q5" s="7">
        <f>7469.41+875.9</f>
        <v>8345.31</v>
      </c>
      <c r="R5" s="8">
        <f>4438.59+281.3</f>
        <v>4719.8900000000003</v>
      </c>
      <c r="S5" s="80">
        <f t="shared" si="2"/>
        <v>245814.13</v>
      </c>
    </row>
    <row r="6" spans="1:19" ht="16.149999999999999" customHeight="1" x14ac:dyDescent="0.2">
      <c r="A6" s="79">
        <v>3</v>
      </c>
      <c r="B6" s="7"/>
      <c r="C6" s="7"/>
      <c r="D6" s="7"/>
      <c r="E6" s="7"/>
      <c r="F6" s="7"/>
      <c r="G6" s="80">
        <f t="shared" si="0"/>
        <v>0</v>
      </c>
      <c r="H6" s="7"/>
      <c r="I6" s="7"/>
      <c r="J6" s="7"/>
      <c r="K6" s="7"/>
      <c r="L6" s="7"/>
      <c r="M6" s="80">
        <f t="shared" si="1"/>
        <v>0</v>
      </c>
      <c r="N6" s="7">
        <f>408289.53+25029.05</f>
        <v>433318.58</v>
      </c>
      <c r="O6" s="8">
        <f>132350.83+17067.5</f>
        <v>149418.32999999999</v>
      </c>
      <c r="P6" s="7">
        <f>46194.2+1267.3</f>
        <v>47461.5</v>
      </c>
      <c r="Q6" s="7">
        <f>40288.05+4512.4</f>
        <v>44800.450000000004</v>
      </c>
      <c r="R6" s="7">
        <f>12807.8+1249.7</f>
        <v>14057.5</v>
      </c>
      <c r="S6" s="80">
        <f t="shared" si="2"/>
        <v>689056.36</v>
      </c>
    </row>
    <row r="7" spans="1:19" ht="16.149999999999999" customHeight="1" x14ac:dyDescent="0.2">
      <c r="A7" s="79">
        <v>4</v>
      </c>
      <c r="B7" s="7"/>
      <c r="C7" s="7"/>
      <c r="D7" s="7"/>
      <c r="E7" s="7"/>
      <c r="F7" s="7"/>
      <c r="G7" s="80">
        <f t="shared" si="0"/>
        <v>0</v>
      </c>
      <c r="H7" s="7"/>
      <c r="I7" s="7"/>
      <c r="J7" s="7"/>
      <c r="K7" s="7"/>
      <c r="L7" s="7"/>
      <c r="M7" s="80">
        <f t="shared" si="1"/>
        <v>0</v>
      </c>
      <c r="N7" s="9">
        <f>399824.4+24901.5</f>
        <v>424725.9</v>
      </c>
      <c r="O7" s="67">
        <f>135778.44+17388.3</f>
        <v>153166.74</v>
      </c>
      <c r="P7" s="9">
        <f>48048.25+1409.1</f>
        <v>49457.35</v>
      </c>
      <c r="Q7" s="7">
        <f>42054.11+4763.25</f>
        <v>46817.36</v>
      </c>
      <c r="R7" s="9">
        <f>13351.47+1357.2</f>
        <v>14708.67</v>
      </c>
      <c r="S7" s="80">
        <f t="shared" si="2"/>
        <v>688876.02</v>
      </c>
    </row>
    <row r="8" spans="1:19" ht="16.149999999999999" customHeight="1" x14ac:dyDescent="0.2">
      <c r="A8" s="79">
        <v>5</v>
      </c>
      <c r="B8" s="7"/>
      <c r="C8" s="30"/>
      <c r="D8" s="30"/>
      <c r="E8" s="30"/>
      <c r="F8" s="30"/>
      <c r="G8" s="80">
        <f t="shared" si="0"/>
        <v>0</v>
      </c>
      <c r="H8" s="7"/>
      <c r="I8" s="30"/>
      <c r="J8" s="30"/>
      <c r="K8" s="30"/>
      <c r="L8" s="30"/>
      <c r="M8" s="80">
        <f t="shared" si="1"/>
        <v>0</v>
      </c>
      <c r="N8" s="7"/>
      <c r="O8" s="8"/>
      <c r="P8" s="7"/>
      <c r="Q8" s="9"/>
      <c r="R8" s="7"/>
      <c r="S8" s="80">
        <f t="shared" si="2"/>
        <v>0</v>
      </c>
    </row>
    <row r="9" spans="1:19" ht="16.149999999999999" customHeight="1" x14ac:dyDescent="0.2">
      <c r="A9" s="79">
        <v>6</v>
      </c>
      <c r="B9" s="8"/>
      <c r="C9" s="7"/>
      <c r="D9" s="7"/>
      <c r="E9" s="7"/>
      <c r="F9" s="7"/>
      <c r="G9" s="80">
        <f t="shared" si="0"/>
        <v>0</v>
      </c>
      <c r="H9" s="7"/>
      <c r="I9" s="7"/>
      <c r="J9" s="7"/>
      <c r="K9" s="7"/>
      <c r="L9" s="7"/>
      <c r="M9" s="80">
        <f t="shared" si="1"/>
        <v>0</v>
      </c>
      <c r="N9" s="7"/>
      <c r="O9" s="8"/>
      <c r="P9" s="7"/>
      <c r="Q9" s="7"/>
      <c r="R9" s="7"/>
      <c r="S9" s="80">
        <f t="shared" si="2"/>
        <v>0</v>
      </c>
    </row>
    <row r="10" spans="1:19" ht="16.149999999999999" customHeight="1" x14ac:dyDescent="0.2">
      <c r="A10" s="79">
        <v>7</v>
      </c>
      <c r="B10" s="7"/>
      <c r="C10" s="7"/>
      <c r="D10" s="7"/>
      <c r="E10" s="7"/>
      <c r="F10" s="7"/>
      <c r="G10" s="80">
        <f t="shared" si="0"/>
        <v>0</v>
      </c>
      <c r="H10" s="30"/>
      <c r="I10" s="7"/>
      <c r="J10" s="7"/>
      <c r="K10" s="7"/>
      <c r="L10" s="7"/>
      <c r="M10" s="80">
        <f t="shared" si="1"/>
        <v>0</v>
      </c>
      <c r="N10" s="7"/>
      <c r="O10" s="30"/>
      <c r="P10" s="7"/>
      <c r="Q10" s="7"/>
      <c r="R10" s="7"/>
      <c r="S10" s="80">
        <f t="shared" si="2"/>
        <v>0</v>
      </c>
    </row>
    <row r="11" spans="1:19" ht="16.149999999999999" customHeight="1" x14ac:dyDescent="0.2">
      <c r="A11" s="79">
        <v>8</v>
      </c>
      <c r="B11" s="7"/>
      <c r="C11" s="7"/>
      <c r="D11" s="7"/>
      <c r="E11" s="7"/>
      <c r="F11" s="7"/>
      <c r="G11" s="80">
        <f t="shared" si="0"/>
        <v>0</v>
      </c>
      <c r="H11" s="7"/>
      <c r="I11" s="7"/>
      <c r="J11" s="7"/>
      <c r="K11" s="7"/>
      <c r="L11" s="7"/>
      <c r="M11" s="80">
        <f t="shared" si="1"/>
        <v>0</v>
      </c>
      <c r="N11" s="7"/>
      <c r="O11" s="8"/>
      <c r="P11" s="7"/>
      <c r="Q11" s="7"/>
      <c r="R11" s="7"/>
      <c r="S11" s="80">
        <f t="shared" si="2"/>
        <v>0</v>
      </c>
    </row>
    <row r="12" spans="1:19" ht="16.149999999999999" customHeight="1" x14ac:dyDescent="0.2">
      <c r="A12" s="79">
        <v>9</v>
      </c>
      <c r="B12" s="7"/>
      <c r="C12" s="7"/>
      <c r="D12" s="7"/>
      <c r="E12" s="7"/>
      <c r="F12" s="7"/>
      <c r="G12" s="80">
        <f t="shared" si="0"/>
        <v>0</v>
      </c>
      <c r="H12" s="7"/>
      <c r="I12" s="7"/>
      <c r="J12" s="7"/>
      <c r="K12" s="7"/>
      <c r="L12" s="7"/>
      <c r="M12" s="80">
        <f t="shared" si="1"/>
        <v>0</v>
      </c>
      <c r="N12" s="9"/>
      <c r="O12" s="67"/>
      <c r="P12" s="9"/>
      <c r="Q12" s="7"/>
      <c r="R12" s="9"/>
      <c r="S12" s="80">
        <f t="shared" si="2"/>
        <v>0</v>
      </c>
    </row>
    <row r="13" spans="1:19" ht="16.149999999999999" customHeight="1" x14ac:dyDescent="0.2">
      <c r="A13" s="79">
        <v>10</v>
      </c>
      <c r="B13" s="7"/>
      <c r="C13" s="7"/>
      <c r="D13" s="7"/>
      <c r="E13" s="7"/>
      <c r="F13" s="7"/>
      <c r="G13" s="80">
        <f t="shared" si="0"/>
        <v>0</v>
      </c>
      <c r="H13" s="7"/>
      <c r="I13" s="7"/>
      <c r="J13" s="7"/>
      <c r="K13" s="7"/>
      <c r="L13" s="7"/>
      <c r="M13" s="80">
        <f t="shared" si="1"/>
        <v>0</v>
      </c>
      <c r="N13" s="8"/>
      <c r="O13" s="8"/>
      <c r="P13" s="8"/>
      <c r="Q13" s="7"/>
      <c r="R13" s="8"/>
      <c r="S13" s="80">
        <f t="shared" si="2"/>
        <v>0</v>
      </c>
    </row>
    <row r="14" spans="1:19" ht="16.149999999999999" customHeight="1" x14ac:dyDescent="0.2">
      <c r="A14" s="79">
        <v>11</v>
      </c>
      <c r="B14" s="7"/>
      <c r="C14" s="7"/>
      <c r="D14" s="7"/>
      <c r="E14" s="7"/>
      <c r="F14" s="7"/>
      <c r="G14" s="80">
        <f t="shared" si="0"/>
        <v>0</v>
      </c>
      <c r="H14" s="7"/>
      <c r="I14" s="7"/>
      <c r="J14" s="7"/>
      <c r="K14" s="7"/>
      <c r="L14" s="7"/>
      <c r="M14" s="80">
        <f t="shared" si="1"/>
        <v>0</v>
      </c>
      <c r="N14" s="8"/>
      <c r="O14" s="7"/>
      <c r="P14" s="8"/>
      <c r="Q14" s="7"/>
      <c r="R14" s="8"/>
      <c r="S14" s="80">
        <f t="shared" si="2"/>
        <v>0</v>
      </c>
    </row>
    <row r="15" spans="1:19" ht="16.149999999999999" customHeight="1" x14ac:dyDescent="0.2">
      <c r="A15" s="79">
        <v>12</v>
      </c>
      <c r="B15" s="7"/>
      <c r="C15" s="7"/>
      <c r="D15" s="7"/>
      <c r="E15" s="7"/>
      <c r="F15" s="7"/>
      <c r="G15" s="80">
        <f t="shared" si="0"/>
        <v>0</v>
      </c>
      <c r="H15" s="7"/>
      <c r="I15" s="7"/>
      <c r="J15" s="7"/>
      <c r="K15" s="7"/>
      <c r="L15" s="7"/>
      <c r="M15" s="80">
        <f t="shared" si="1"/>
        <v>0</v>
      </c>
      <c r="N15" s="7"/>
      <c r="O15" s="8"/>
      <c r="P15" s="7"/>
      <c r="Q15" s="7"/>
      <c r="R15" s="7"/>
      <c r="S15" s="80">
        <f t="shared" si="2"/>
        <v>0</v>
      </c>
    </row>
    <row r="16" spans="1:19" ht="16.149999999999999" customHeight="1" x14ac:dyDescent="0.2">
      <c r="A16" s="79">
        <v>13</v>
      </c>
      <c r="B16" s="7"/>
      <c r="C16" s="7"/>
      <c r="D16" s="7"/>
      <c r="E16" s="7"/>
      <c r="F16" s="7"/>
      <c r="G16" s="80">
        <f t="shared" si="0"/>
        <v>0</v>
      </c>
      <c r="H16" s="7"/>
      <c r="I16" s="7"/>
      <c r="J16" s="7"/>
      <c r="K16" s="7"/>
      <c r="L16" s="7"/>
      <c r="M16" s="80">
        <f t="shared" si="1"/>
        <v>0</v>
      </c>
      <c r="N16" s="7"/>
      <c r="O16" s="7"/>
      <c r="P16" s="7"/>
      <c r="Q16" s="7"/>
      <c r="R16" s="7"/>
      <c r="S16" s="80">
        <f t="shared" si="2"/>
        <v>0</v>
      </c>
    </row>
    <row r="17" spans="1:20" ht="16.149999999999999" customHeight="1" x14ac:dyDescent="0.2">
      <c r="A17" s="79">
        <v>14</v>
      </c>
      <c r="B17" s="7"/>
      <c r="C17" s="7"/>
      <c r="D17" s="7"/>
      <c r="E17" s="7"/>
      <c r="F17" s="7"/>
      <c r="G17" s="80">
        <f t="shared" si="0"/>
        <v>0</v>
      </c>
      <c r="H17" s="7"/>
      <c r="I17" s="7"/>
      <c r="J17" s="7"/>
      <c r="K17" s="7"/>
      <c r="L17" s="7"/>
      <c r="M17" s="80">
        <f t="shared" si="1"/>
        <v>0</v>
      </c>
      <c r="N17" s="7"/>
      <c r="O17" s="8"/>
      <c r="P17" s="7"/>
      <c r="Q17" s="7"/>
      <c r="R17" s="7"/>
      <c r="S17" s="80">
        <f t="shared" si="2"/>
        <v>0</v>
      </c>
    </row>
    <row r="18" spans="1:20" ht="16.149999999999999" customHeight="1" x14ac:dyDescent="0.2">
      <c r="A18" s="79">
        <v>15</v>
      </c>
      <c r="B18" s="7"/>
      <c r="C18" s="7"/>
      <c r="D18" s="7"/>
      <c r="E18" s="7"/>
      <c r="F18" s="7"/>
      <c r="G18" s="80">
        <f t="shared" si="0"/>
        <v>0</v>
      </c>
      <c r="H18" s="7"/>
      <c r="I18" s="7"/>
      <c r="J18" s="7"/>
      <c r="K18" s="7"/>
      <c r="L18" s="7"/>
      <c r="M18" s="80">
        <f t="shared" si="1"/>
        <v>0</v>
      </c>
      <c r="N18" s="9"/>
      <c r="O18" s="67"/>
      <c r="P18" s="9"/>
      <c r="Q18" s="7"/>
      <c r="R18" s="9"/>
      <c r="S18" s="80">
        <f t="shared" si="2"/>
        <v>0</v>
      </c>
    </row>
    <row r="19" spans="1:20" ht="16.149999999999999" customHeight="1" x14ac:dyDescent="0.2">
      <c r="A19" s="79">
        <v>16</v>
      </c>
      <c r="B19" s="7"/>
      <c r="C19" s="30"/>
      <c r="D19" s="30"/>
      <c r="E19" s="30"/>
      <c r="F19" s="30"/>
      <c r="G19" s="80">
        <f t="shared" si="0"/>
        <v>0</v>
      </c>
      <c r="H19" s="7"/>
      <c r="I19" s="30"/>
      <c r="J19" s="30"/>
      <c r="K19" s="30"/>
      <c r="L19" s="30"/>
      <c r="M19" s="80">
        <f t="shared" si="1"/>
        <v>0</v>
      </c>
      <c r="N19" s="7"/>
      <c r="O19" s="8"/>
      <c r="P19" s="7"/>
      <c r="Q19" s="9"/>
      <c r="R19" s="7"/>
      <c r="S19" s="80">
        <f t="shared" si="2"/>
        <v>0</v>
      </c>
    </row>
    <row r="20" spans="1:20" ht="16.149999999999999" customHeight="1" x14ac:dyDescent="0.2">
      <c r="A20" s="79">
        <v>17</v>
      </c>
      <c r="B20" s="7"/>
      <c r="C20" s="30"/>
      <c r="D20" s="30"/>
      <c r="E20" s="30"/>
      <c r="F20" s="30"/>
      <c r="G20" s="80">
        <f t="shared" si="0"/>
        <v>0</v>
      </c>
      <c r="H20" s="7"/>
      <c r="I20" s="30"/>
      <c r="J20" s="30"/>
      <c r="K20" s="30"/>
      <c r="L20" s="30"/>
      <c r="M20" s="80">
        <f t="shared" si="1"/>
        <v>0</v>
      </c>
      <c r="N20" s="7"/>
      <c r="O20" s="8"/>
      <c r="P20" s="7"/>
      <c r="Q20" s="7"/>
      <c r="R20" s="7"/>
      <c r="S20" s="80">
        <f t="shared" si="2"/>
        <v>0</v>
      </c>
    </row>
    <row r="21" spans="1:20" ht="16.149999999999999" customHeight="1" x14ac:dyDescent="0.2">
      <c r="A21" s="79">
        <v>18</v>
      </c>
      <c r="B21" s="7"/>
      <c r="C21" s="30"/>
      <c r="D21" s="30"/>
      <c r="E21" s="30"/>
      <c r="F21" s="30"/>
      <c r="G21" s="80">
        <f t="shared" si="0"/>
        <v>0</v>
      </c>
      <c r="H21" s="7"/>
      <c r="I21" s="30"/>
      <c r="J21" s="30"/>
      <c r="K21" s="30"/>
      <c r="L21" s="30"/>
      <c r="M21" s="80">
        <f t="shared" si="1"/>
        <v>0</v>
      </c>
      <c r="N21" s="7"/>
      <c r="O21" s="30"/>
      <c r="P21" s="7"/>
      <c r="Q21" s="7"/>
      <c r="R21" s="7"/>
      <c r="S21" s="80">
        <f>SUM(N21:R21)</f>
        <v>0</v>
      </c>
    </row>
    <row r="22" spans="1:20" ht="16.149999999999999" customHeight="1" x14ac:dyDescent="0.2">
      <c r="A22" s="79">
        <v>19</v>
      </c>
      <c r="B22" s="7"/>
      <c r="C22" s="7"/>
      <c r="D22" s="7"/>
      <c r="E22" s="7"/>
      <c r="F22" s="7"/>
      <c r="G22" s="80">
        <f t="shared" si="0"/>
        <v>0</v>
      </c>
      <c r="H22" s="7"/>
      <c r="I22" s="7"/>
      <c r="J22" s="7"/>
      <c r="K22" s="7"/>
      <c r="L22" s="7"/>
      <c r="M22" s="80">
        <f t="shared" si="1"/>
        <v>0</v>
      </c>
      <c r="N22" s="7"/>
      <c r="O22" s="8"/>
      <c r="P22" s="7"/>
      <c r="Q22" s="7"/>
      <c r="R22" s="7"/>
      <c r="S22" s="80">
        <f t="shared" si="2"/>
        <v>0</v>
      </c>
    </row>
    <row r="23" spans="1:20" ht="16.149999999999999" customHeight="1" x14ac:dyDescent="0.2">
      <c r="A23" s="79">
        <v>20</v>
      </c>
      <c r="B23" s="7"/>
      <c r="C23" s="7"/>
      <c r="D23" s="7"/>
      <c r="E23" s="7"/>
      <c r="F23" s="7"/>
      <c r="G23" s="80">
        <f t="shared" si="0"/>
        <v>0</v>
      </c>
      <c r="H23" s="7"/>
      <c r="I23" s="7"/>
      <c r="J23" s="7"/>
      <c r="K23" s="7"/>
      <c r="L23" s="7"/>
      <c r="M23" s="80">
        <f t="shared" si="1"/>
        <v>0</v>
      </c>
      <c r="N23" s="9"/>
      <c r="O23" s="67"/>
      <c r="P23" s="9"/>
      <c r="Q23" s="9"/>
      <c r="R23" s="9"/>
      <c r="S23" s="80">
        <f t="shared" si="2"/>
        <v>0</v>
      </c>
    </row>
    <row r="24" spans="1:20" ht="16.149999999999999" customHeight="1" x14ac:dyDescent="0.2">
      <c r="A24" s="79">
        <v>21</v>
      </c>
      <c r="B24" s="7"/>
      <c r="C24" s="7"/>
      <c r="D24" s="7"/>
      <c r="E24" s="7"/>
      <c r="F24" s="7"/>
      <c r="G24" s="80">
        <f t="shared" si="0"/>
        <v>0</v>
      </c>
      <c r="H24" s="7"/>
      <c r="I24" s="7"/>
      <c r="J24" s="7"/>
      <c r="K24" s="7"/>
      <c r="L24" s="7"/>
      <c r="M24" s="80">
        <f t="shared" si="1"/>
        <v>0</v>
      </c>
      <c r="N24" s="7"/>
      <c r="O24" s="67"/>
      <c r="P24" s="9"/>
      <c r="Q24" s="7"/>
      <c r="R24" s="9"/>
      <c r="S24" s="80">
        <f t="shared" si="2"/>
        <v>0</v>
      </c>
    </row>
    <row r="25" spans="1:20" ht="16.149999999999999" customHeight="1" x14ac:dyDescent="0.2">
      <c r="A25" s="79">
        <v>22</v>
      </c>
      <c r="B25" s="7"/>
      <c r="C25" s="7"/>
      <c r="D25" s="7"/>
      <c r="E25" s="7"/>
      <c r="F25" s="7"/>
      <c r="G25" s="80">
        <f t="shared" si="0"/>
        <v>0</v>
      </c>
      <c r="H25" s="7"/>
      <c r="I25" s="7"/>
      <c r="J25" s="7"/>
      <c r="K25" s="7"/>
      <c r="L25" s="7"/>
      <c r="M25" s="80">
        <f t="shared" si="1"/>
        <v>0</v>
      </c>
      <c r="N25" s="7"/>
      <c r="O25" s="8"/>
      <c r="P25" s="7"/>
      <c r="Q25" s="7"/>
      <c r="R25" s="7"/>
      <c r="S25" s="80">
        <f t="shared" si="2"/>
        <v>0</v>
      </c>
    </row>
    <row r="26" spans="1:20" ht="16.149999999999999" customHeight="1" x14ac:dyDescent="0.2">
      <c r="A26" s="79">
        <v>23</v>
      </c>
      <c r="B26" s="7"/>
      <c r="C26" s="7"/>
      <c r="D26" s="7"/>
      <c r="E26" s="7"/>
      <c r="F26" s="7"/>
      <c r="G26" s="80">
        <f t="shared" si="0"/>
        <v>0</v>
      </c>
      <c r="H26" s="7"/>
      <c r="I26" s="7"/>
      <c r="J26" s="7"/>
      <c r="K26" s="7"/>
      <c r="L26" s="7"/>
      <c r="M26" s="80">
        <f t="shared" si="1"/>
        <v>0</v>
      </c>
      <c r="N26" s="7"/>
      <c r="O26" s="8"/>
      <c r="P26" s="7"/>
      <c r="Q26" s="7"/>
      <c r="R26" s="7"/>
      <c r="S26" s="80">
        <f t="shared" si="2"/>
        <v>0</v>
      </c>
    </row>
    <row r="27" spans="1:20" ht="16.149999999999999" customHeight="1" x14ac:dyDescent="0.2">
      <c r="A27" s="79">
        <v>24</v>
      </c>
      <c r="B27" s="7"/>
      <c r="C27" s="7"/>
      <c r="D27" s="7"/>
      <c r="E27" s="7"/>
      <c r="F27" s="7"/>
      <c r="G27" s="80">
        <f t="shared" si="0"/>
        <v>0</v>
      </c>
      <c r="H27" s="7"/>
      <c r="I27" s="7"/>
      <c r="J27" s="7"/>
      <c r="K27" s="7"/>
      <c r="L27" s="7"/>
      <c r="M27" s="80">
        <f t="shared" si="1"/>
        <v>0</v>
      </c>
      <c r="N27" s="7"/>
      <c r="O27" s="8"/>
      <c r="P27" s="7"/>
      <c r="Q27" s="7"/>
      <c r="R27" s="7"/>
      <c r="S27" s="80">
        <f t="shared" si="2"/>
        <v>0</v>
      </c>
      <c r="T27" s="3"/>
    </row>
    <row r="28" spans="1:20" ht="16.149999999999999" customHeight="1" x14ac:dyDescent="0.2">
      <c r="A28" s="79">
        <v>25</v>
      </c>
      <c r="B28" s="7"/>
      <c r="C28" s="7"/>
      <c r="D28" s="7"/>
      <c r="E28" s="7"/>
      <c r="F28" s="7"/>
      <c r="G28" s="80">
        <f t="shared" si="0"/>
        <v>0</v>
      </c>
      <c r="H28" s="7"/>
      <c r="I28" s="7"/>
      <c r="J28" s="7"/>
      <c r="K28" s="7"/>
      <c r="L28" s="7"/>
      <c r="M28" s="80">
        <f t="shared" si="1"/>
        <v>0</v>
      </c>
      <c r="N28" s="124"/>
      <c r="O28" s="124"/>
      <c r="P28" s="124"/>
      <c r="Q28" s="124"/>
      <c r="R28" s="124"/>
      <c r="S28" s="80">
        <f t="shared" si="2"/>
        <v>0</v>
      </c>
      <c r="T28" s="3"/>
    </row>
    <row r="29" spans="1:20" ht="16.149999999999999" customHeight="1" x14ac:dyDescent="0.2">
      <c r="A29" s="79">
        <v>26</v>
      </c>
      <c r="B29" s="7"/>
      <c r="C29" s="7"/>
      <c r="D29" s="7"/>
      <c r="E29" s="7"/>
      <c r="F29" s="7"/>
      <c r="G29" s="80">
        <f t="shared" si="0"/>
        <v>0</v>
      </c>
      <c r="H29" s="7"/>
      <c r="I29" s="7"/>
      <c r="J29" s="7"/>
      <c r="K29" s="7"/>
      <c r="L29" s="7"/>
      <c r="M29" s="80">
        <f t="shared" si="1"/>
        <v>0</v>
      </c>
      <c r="N29" s="9"/>
      <c r="O29" s="67"/>
      <c r="P29" s="9"/>
      <c r="Q29" s="7"/>
      <c r="R29" s="9"/>
      <c r="S29" s="80">
        <f t="shared" si="2"/>
        <v>0</v>
      </c>
      <c r="T29" s="3"/>
    </row>
    <row r="30" spans="1:20" ht="16.149999999999999" customHeight="1" x14ac:dyDescent="0.2">
      <c r="A30" s="79">
        <v>27</v>
      </c>
      <c r="B30" s="7"/>
      <c r="C30" s="7"/>
      <c r="D30" s="7"/>
      <c r="E30" s="7"/>
      <c r="F30" s="7"/>
      <c r="G30" s="80">
        <f t="shared" si="0"/>
        <v>0</v>
      </c>
      <c r="H30" s="7"/>
      <c r="I30" s="7"/>
      <c r="J30" s="7"/>
      <c r="K30" s="7"/>
      <c r="L30" s="7"/>
      <c r="M30" s="80">
        <f t="shared" si="1"/>
        <v>0</v>
      </c>
      <c r="N30" s="67"/>
      <c r="O30" s="8"/>
      <c r="P30" s="7"/>
      <c r="Q30" s="7"/>
      <c r="R30" s="7"/>
      <c r="S30" s="80">
        <f t="shared" si="2"/>
        <v>0</v>
      </c>
      <c r="T30" s="3"/>
    </row>
    <row r="31" spans="1:20" ht="16.149999999999999" customHeight="1" x14ac:dyDescent="0.2">
      <c r="A31" s="79">
        <v>28</v>
      </c>
      <c r="B31" s="7"/>
      <c r="C31" s="7"/>
      <c r="D31" s="7"/>
      <c r="E31" s="7"/>
      <c r="F31" s="7"/>
      <c r="G31" s="80">
        <f t="shared" si="0"/>
        <v>0</v>
      </c>
      <c r="H31" s="7"/>
      <c r="I31" s="7"/>
      <c r="J31" s="7"/>
      <c r="K31" s="7"/>
      <c r="L31" s="7"/>
      <c r="M31" s="80">
        <f t="shared" si="1"/>
        <v>0</v>
      </c>
      <c r="N31" s="7"/>
      <c r="O31" s="7"/>
      <c r="P31" s="7"/>
      <c r="Q31" s="7"/>
      <c r="R31" s="7"/>
      <c r="S31" s="80">
        <f t="shared" si="2"/>
        <v>0</v>
      </c>
    </row>
    <row r="32" spans="1:20" ht="16.149999999999999" customHeight="1" x14ac:dyDescent="0.2">
      <c r="A32" s="79">
        <v>29</v>
      </c>
      <c r="B32" s="7"/>
      <c r="C32" s="7"/>
      <c r="D32" s="7"/>
      <c r="E32" s="7"/>
      <c r="F32" s="7"/>
      <c r="G32" s="80">
        <f t="shared" si="0"/>
        <v>0</v>
      </c>
      <c r="H32" s="7"/>
      <c r="I32" s="7"/>
      <c r="J32" s="7"/>
      <c r="K32" s="7"/>
      <c r="L32" s="7"/>
      <c r="M32" s="80">
        <f t="shared" si="1"/>
        <v>0</v>
      </c>
      <c r="N32" s="9"/>
      <c r="O32" s="9"/>
      <c r="P32" s="9"/>
      <c r="Q32" s="9"/>
      <c r="R32" s="9"/>
      <c r="S32" s="80">
        <f t="shared" si="2"/>
        <v>0</v>
      </c>
    </row>
    <row r="33" spans="1:20" ht="16.149999999999999" customHeight="1" x14ac:dyDescent="0.2">
      <c r="A33" s="79">
        <v>30</v>
      </c>
      <c r="B33" s="7"/>
      <c r="C33" s="7"/>
      <c r="D33" s="7"/>
      <c r="E33" s="7"/>
      <c r="F33" s="7"/>
      <c r="G33" s="80">
        <f t="shared" si="0"/>
        <v>0</v>
      </c>
      <c r="H33" s="7"/>
      <c r="I33" s="7"/>
      <c r="J33" s="7"/>
      <c r="K33" s="7"/>
      <c r="L33" s="7"/>
      <c r="M33" s="80">
        <f t="shared" si="1"/>
        <v>0</v>
      </c>
      <c r="N33" s="9"/>
      <c r="O33" s="9"/>
      <c r="P33" s="9"/>
      <c r="Q33" s="9"/>
      <c r="R33" s="9"/>
      <c r="S33" s="80">
        <f>SUM(N33:R33)</f>
        <v>0</v>
      </c>
    </row>
    <row r="34" spans="1:20" ht="16.149999999999999" customHeight="1" x14ac:dyDescent="0.2">
      <c r="A34" s="79">
        <v>31</v>
      </c>
      <c r="B34" s="9"/>
      <c r="C34" s="9"/>
      <c r="D34" s="7"/>
      <c r="E34" s="7"/>
      <c r="F34" s="7"/>
      <c r="G34" s="80">
        <f t="shared" si="0"/>
        <v>0</v>
      </c>
      <c r="H34" s="7"/>
      <c r="I34" s="7"/>
      <c r="J34" s="7"/>
      <c r="K34" s="7"/>
      <c r="L34" s="7"/>
      <c r="M34" s="80">
        <f t="shared" si="1"/>
        <v>0</v>
      </c>
      <c r="N34" s="9"/>
      <c r="O34" s="9"/>
      <c r="P34" s="9"/>
      <c r="Q34" s="9"/>
      <c r="R34" s="9"/>
      <c r="S34" s="80">
        <f t="shared" si="2"/>
        <v>0</v>
      </c>
    </row>
    <row r="35" spans="1:20" ht="16.149999999999999" customHeight="1" thickBot="1" x14ac:dyDescent="0.25">
      <c r="A35" s="39" t="s">
        <v>10</v>
      </c>
      <c r="B35" s="68">
        <f>SUM(B4:B34)</f>
        <v>456728.49</v>
      </c>
      <c r="C35" s="69">
        <f>SUM(C4:C34)</f>
        <v>124799.91</v>
      </c>
      <c r="D35" s="70">
        <f>SUM(D4:D34)</f>
        <v>43423.76</v>
      </c>
      <c r="E35" s="70">
        <f>SUM(E4:E34)</f>
        <v>24841.629999999997</v>
      </c>
      <c r="F35" s="70">
        <f>SUM(F4:F34)</f>
        <v>0</v>
      </c>
      <c r="G35" s="71">
        <f t="shared" si="0"/>
        <v>649793.79</v>
      </c>
      <c r="H35" s="68">
        <f t="shared" ref="H35:S35" si="3">SUM(H4:H34)</f>
        <v>576203.40999999992</v>
      </c>
      <c r="I35" s="70">
        <f t="shared" si="3"/>
        <v>124377.67000000001</v>
      </c>
      <c r="J35" s="70">
        <f t="shared" si="3"/>
        <v>41403.46</v>
      </c>
      <c r="K35" s="70">
        <f t="shared" si="3"/>
        <v>16946.98</v>
      </c>
      <c r="L35" s="70">
        <f t="shared" si="3"/>
        <v>0</v>
      </c>
      <c r="M35" s="72">
        <f t="shared" si="3"/>
        <v>758931.52</v>
      </c>
      <c r="N35" s="68">
        <f>SUM(N4:N34)</f>
        <v>1289004.9700000002</v>
      </c>
      <c r="O35" s="70">
        <f t="shared" si="3"/>
        <v>426206.04</v>
      </c>
      <c r="P35" s="70">
        <f t="shared" si="3"/>
        <v>138555.1</v>
      </c>
      <c r="Q35" s="70">
        <f t="shared" si="3"/>
        <v>116459.44</v>
      </c>
      <c r="R35" s="70">
        <f t="shared" si="3"/>
        <v>41389.410000000003</v>
      </c>
      <c r="S35" s="73">
        <f t="shared" si="3"/>
        <v>2011614.96</v>
      </c>
      <c r="T35" s="17"/>
    </row>
    <row r="37" spans="1:20" x14ac:dyDescent="0.2">
      <c r="H37" s="4" t="s">
        <v>11</v>
      </c>
    </row>
    <row r="38" spans="1:20" x14ac:dyDescent="0.2">
      <c r="N38" s="14" t="s">
        <v>11</v>
      </c>
      <c r="O38" s="15" t="s">
        <v>11</v>
      </c>
      <c r="P38" s="14" t="s">
        <v>11</v>
      </c>
      <c r="Q38" s="16" t="s">
        <v>11</v>
      </c>
      <c r="R38" s="16" t="s">
        <v>11</v>
      </c>
    </row>
    <row r="39" spans="1:20" x14ac:dyDescent="0.2">
      <c r="N39" s="14"/>
    </row>
  </sheetData>
  <mergeCells count="5">
    <mergeCell ref="B1:S1"/>
    <mergeCell ref="A2:A3"/>
    <mergeCell ref="B2:G2"/>
    <mergeCell ref="H2:M2"/>
    <mergeCell ref="N2:S2"/>
  </mergeCells>
  <printOptions horizontalCentered="1" verticalCentered="1"/>
  <pageMargins left="0" right="0" top="0" bottom="0" header="0" footer="0"/>
  <pageSetup paperSize="9"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T32"/>
  <sheetViews>
    <sheetView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A2" sqref="A2:A3"/>
    </sheetView>
  </sheetViews>
  <sheetFormatPr defaultColWidth="9.140625" defaultRowHeight="12.75" x14ac:dyDescent="0.2"/>
  <cols>
    <col min="1" max="1" width="6.85546875" style="1" customWidth="1"/>
    <col min="2" max="6" width="11.7109375" style="1" customWidth="1"/>
    <col min="7" max="7" width="12.5703125" style="2" bestFit="1" customWidth="1"/>
    <col min="8" max="8" width="11.7109375" style="4" customWidth="1"/>
    <col min="9" max="12" width="11.7109375" style="1" customWidth="1"/>
    <col min="13" max="13" width="12.5703125" style="2" bestFit="1" customWidth="1"/>
    <col min="14" max="18" width="11.7109375" style="13" customWidth="1"/>
    <col min="19" max="19" width="12.5703125" style="1" bestFit="1" customWidth="1"/>
    <col min="20" max="20" width="10.7109375" style="1" customWidth="1"/>
    <col min="21" max="16384" width="9.140625" style="1"/>
  </cols>
  <sheetData>
    <row r="1" spans="1:19" ht="24" customHeight="1" thickBot="1" x14ac:dyDescent="0.25">
      <c r="A1" s="143" t="s">
        <v>13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5"/>
    </row>
    <row r="2" spans="1:19" ht="18.75" x14ac:dyDescent="0.2">
      <c r="A2" s="146" t="s">
        <v>0</v>
      </c>
      <c r="B2" s="148" t="s">
        <v>1</v>
      </c>
      <c r="C2" s="149"/>
      <c r="D2" s="149"/>
      <c r="E2" s="149"/>
      <c r="F2" s="149"/>
      <c r="G2" s="150"/>
      <c r="H2" s="151" t="s">
        <v>2</v>
      </c>
      <c r="I2" s="152"/>
      <c r="J2" s="152"/>
      <c r="K2" s="152"/>
      <c r="L2" s="152"/>
      <c r="M2" s="153"/>
      <c r="N2" s="154" t="s">
        <v>3</v>
      </c>
      <c r="O2" s="155"/>
      <c r="P2" s="155"/>
      <c r="Q2" s="155"/>
      <c r="R2" s="155"/>
      <c r="S2" s="156"/>
    </row>
    <row r="3" spans="1:19" ht="16.149999999999999" customHeight="1" x14ac:dyDescent="0.2">
      <c r="A3" s="147"/>
      <c r="B3" s="31" t="s">
        <v>4</v>
      </c>
      <c r="C3" s="32" t="s">
        <v>5</v>
      </c>
      <c r="D3" s="32" t="s">
        <v>6</v>
      </c>
      <c r="E3" s="32" t="s">
        <v>7</v>
      </c>
      <c r="F3" s="32" t="s">
        <v>8</v>
      </c>
      <c r="G3" s="33" t="s">
        <v>9</v>
      </c>
      <c r="H3" s="34" t="s">
        <v>4</v>
      </c>
      <c r="I3" s="32" t="s">
        <v>5</v>
      </c>
      <c r="J3" s="32" t="s">
        <v>6</v>
      </c>
      <c r="K3" s="32" t="s">
        <v>7</v>
      </c>
      <c r="L3" s="32" t="s">
        <v>8</v>
      </c>
      <c r="M3" s="35" t="s">
        <v>9</v>
      </c>
      <c r="N3" s="117" t="s">
        <v>4</v>
      </c>
      <c r="O3" s="118" t="s">
        <v>5</v>
      </c>
      <c r="P3" s="118" t="s">
        <v>6</v>
      </c>
      <c r="Q3" s="118" t="s">
        <v>7</v>
      </c>
      <c r="R3" s="118" t="s">
        <v>8</v>
      </c>
      <c r="S3" s="36" t="s">
        <v>9</v>
      </c>
    </row>
    <row r="4" spans="1:19" ht="16.149999999999999" customHeight="1" x14ac:dyDescent="0.2">
      <c r="A4" s="47">
        <v>1</v>
      </c>
      <c r="B4" s="20">
        <v>343044.61</v>
      </c>
      <c r="C4" s="7">
        <v>120757.69</v>
      </c>
      <c r="D4" s="7">
        <v>40351.379999999997</v>
      </c>
      <c r="E4" s="7">
        <v>39786.480000000003</v>
      </c>
      <c r="F4" s="7">
        <v>11775.2</v>
      </c>
      <c r="G4" s="37">
        <f t="shared" ref="G4:G14" si="0">SUM(B4:F4)</f>
        <v>555715.36</v>
      </c>
      <c r="H4" s="20">
        <v>340666.91</v>
      </c>
      <c r="I4" s="7">
        <v>119531.02</v>
      </c>
      <c r="J4" s="7">
        <v>40351.33</v>
      </c>
      <c r="K4" s="7">
        <v>39635.269999999997</v>
      </c>
      <c r="L4" s="7">
        <v>11775.2</v>
      </c>
      <c r="M4" s="37">
        <f t="shared" ref="M4:M31" si="1">SUM(H4:L4)</f>
        <v>551959.73</v>
      </c>
      <c r="N4" s="119">
        <f>327751.51+12915.4</f>
        <v>340666.91000000003</v>
      </c>
      <c r="O4" s="9">
        <f>109091.21+9968.45</f>
        <v>119059.66</v>
      </c>
      <c r="P4" s="9">
        <f>39452.33+899.05</f>
        <v>40351.380000000005</v>
      </c>
      <c r="Q4" s="9">
        <f>36377.27+3258.05</f>
        <v>39635.32</v>
      </c>
      <c r="R4" s="9">
        <f>11079.95+695.25</f>
        <v>11775.2</v>
      </c>
      <c r="S4" s="37">
        <f t="shared" ref="S4:S31" si="2">SUM(N4:R4)</f>
        <v>551488.47</v>
      </c>
    </row>
    <row r="5" spans="1:19" ht="16.149999999999999" customHeight="1" x14ac:dyDescent="0.2">
      <c r="A5" s="47">
        <v>2</v>
      </c>
      <c r="B5" s="48">
        <v>350238.18</v>
      </c>
      <c r="C5" s="9">
        <v>125391.6</v>
      </c>
      <c r="D5" s="9">
        <v>39758.980000000003</v>
      </c>
      <c r="E5" s="9">
        <v>41505.370000000003</v>
      </c>
      <c r="F5" s="9">
        <v>11906.89</v>
      </c>
      <c r="G5" s="38">
        <f t="shared" si="0"/>
        <v>568801.02</v>
      </c>
      <c r="H5" s="25">
        <v>359473.65</v>
      </c>
      <c r="I5" s="26">
        <v>125358.46</v>
      </c>
      <c r="J5" s="26">
        <v>38764.28</v>
      </c>
      <c r="K5" s="26">
        <v>41441.19</v>
      </c>
      <c r="L5" s="26">
        <v>11895.27</v>
      </c>
      <c r="M5" s="37">
        <f t="shared" si="1"/>
        <v>576932.85000000009</v>
      </c>
      <c r="N5" s="10">
        <f>338915.46+13818.3</f>
        <v>352733.76</v>
      </c>
      <c r="O5" s="10">
        <f>114839.45+10519.05</f>
        <v>125358.5</v>
      </c>
      <c r="P5" s="10">
        <f>38000.87+763.45</f>
        <v>38764.32</v>
      </c>
      <c r="Q5" s="10">
        <f>37718.94+3722.25</f>
        <v>41441.19</v>
      </c>
      <c r="R5" s="10">
        <f>11128.27+767</f>
        <v>11895.27</v>
      </c>
      <c r="S5" s="37">
        <f t="shared" si="2"/>
        <v>570193.04</v>
      </c>
    </row>
    <row r="6" spans="1:19" ht="16.149999999999999" customHeight="1" x14ac:dyDescent="0.2">
      <c r="A6" s="47">
        <v>3</v>
      </c>
      <c r="B6" s="49">
        <v>355252.72</v>
      </c>
      <c r="C6" s="49">
        <v>124467.14</v>
      </c>
      <c r="D6" s="49">
        <v>40908.29</v>
      </c>
      <c r="E6" s="49">
        <v>41865.410000000003</v>
      </c>
      <c r="F6" s="50">
        <v>12247.75</v>
      </c>
      <c r="G6" s="37">
        <f t="shared" si="0"/>
        <v>574741.30999999994</v>
      </c>
      <c r="H6" s="20">
        <v>357377.8</v>
      </c>
      <c r="I6" s="7">
        <v>126545.11</v>
      </c>
      <c r="J6" s="7">
        <v>42270.2</v>
      </c>
      <c r="K6" s="7">
        <v>42276.71</v>
      </c>
      <c r="L6" s="7">
        <v>12232.26</v>
      </c>
      <c r="M6" s="37">
        <f t="shared" si="1"/>
        <v>580702.07999999996</v>
      </c>
      <c r="N6" s="10">
        <f>338673.92+13648.15</f>
        <v>352322.07</v>
      </c>
      <c r="O6" s="10">
        <f>115911.05+10634.1</f>
        <v>126545.15000000001</v>
      </c>
      <c r="P6" s="10">
        <f>40864.4+1038.55</f>
        <v>41902.950000000004</v>
      </c>
      <c r="Q6" s="10">
        <f>38435.75+3390.3</f>
        <v>41826.050000000003</v>
      </c>
      <c r="R6" s="10">
        <f>11490.96+741.3</f>
        <v>12232.259999999998</v>
      </c>
      <c r="S6" s="37">
        <f t="shared" si="2"/>
        <v>574828.4800000001</v>
      </c>
    </row>
    <row r="7" spans="1:19" ht="16.149999999999999" customHeight="1" x14ac:dyDescent="0.2">
      <c r="A7" s="47">
        <v>4</v>
      </c>
      <c r="B7" s="20">
        <v>355856.64000000001</v>
      </c>
      <c r="C7" s="7">
        <v>123601.98</v>
      </c>
      <c r="D7" s="7">
        <v>42475.73</v>
      </c>
      <c r="E7" s="7">
        <v>39923.24</v>
      </c>
      <c r="F7" s="7">
        <v>12298.11</v>
      </c>
      <c r="G7" s="37">
        <f t="shared" si="0"/>
        <v>574155.69999999995</v>
      </c>
      <c r="H7" s="20">
        <v>357628.09</v>
      </c>
      <c r="I7" s="7">
        <v>112656.46</v>
      </c>
      <c r="J7" s="7">
        <v>42663.9</v>
      </c>
      <c r="K7" s="7">
        <v>39907.65</v>
      </c>
      <c r="L7" s="7">
        <v>12294.24</v>
      </c>
      <c r="M7" s="37">
        <f t="shared" si="1"/>
        <v>565150.34000000008</v>
      </c>
      <c r="N7" s="10">
        <f>344242.94+13385.2</f>
        <v>357628.14</v>
      </c>
      <c r="O7" s="10">
        <f>111457.83+10190.8</f>
        <v>121648.63</v>
      </c>
      <c r="P7" s="10">
        <f>41630.38+845.35</f>
        <v>42475.729999999996</v>
      </c>
      <c r="Q7" s="10">
        <f>36754.45+3153.25</f>
        <v>39907.699999999997</v>
      </c>
      <c r="R7" s="10">
        <f>11640.24+654</f>
        <v>12294.24</v>
      </c>
      <c r="S7" s="37">
        <f t="shared" si="2"/>
        <v>573954.43999999994</v>
      </c>
    </row>
    <row r="8" spans="1:19" ht="16.149999999999999" customHeight="1" x14ac:dyDescent="0.2">
      <c r="A8" s="47">
        <v>5</v>
      </c>
      <c r="B8" s="7">
        <v>247218.5</v>
      </c>
      <c r="C8" s="7">
        <v>64794.57</v>
      </c>
      <c r="D8" s="7">
        <v>26303.01</v>
      </c>
      <c r="E8" s="7">
        <v>16999.77</v>
      </c>
      <c r="F8" s="7">
        <v>8110.94</v>
      </c>
      <c r="G8" s="37">
        <f t="shared" si="0"/>
        <v>363426.79000000004</v>
      </c>
      <c r="H8" s="20">
        <v>234732.46</v>
      </c>
      <c r="I8" s="7">
        <v>65414.75</v>
      </c>
      <c r="J8" s="7">
        <v>25786.55</v>
      </c>
      <c r="K8" s="7">
        <v>16999.77</v>
      </c>
      <c r="L8" s="7">
        <v>8110.94</v>
      </c>
      <c r="M8" s="37">
        <f t="shared" si="1"/>
        <v>351044.47</v>
      </c>
      <c r="N8" s="10">
        <f>228459.31+6260.95</f>
        <v>234720.26</v>
      </c>
      <c r="O8" s="10">
        <f>60039.34+5375.45</f>
        <v>65414.789999999994</v>
      </c>
      <c r="P8" s="10">
        <f>25362.65+423.9</f>
        <v>25786.550000000003</v>
      </c>
      <c r="Q8" s="10">
        <f>15133.12+1866.65</f>
        <v>16999.77</v>
      </c>
      <c r="R8" s="10">
        <f>7813.94+297</f>
        <v>8110.94</v>
      </c>
      <c r="S8" s="37">
        <f t="shared" si="2"/>
        <v>351032.31</v>
      </c>
    </row>
    <row r="9" spans="1:19" ht="16.149999999999999" customHeight="1" x14ac:dyDescent="0.2">
      <c r="A9" s="47">
        <v>6</v>
      </c>
      <c r="B9" s="8">
        <v>110875.55</v>
      </c>
      <c r="C9" s="7">
        <v>32482.07</v>
      </c>
      <c r="D9" s="7">
        <v>12670</v>
      </c>
      <c r="E9" s="7">
        <v>8619.4599999999991</v>
      </c>
      <c r="F9" s="7">
        <v>3536.43</v>
      </c>
      <c r="G9" s="37">
        <f t="shared" si="0"/>
        <v>168183.50999999998</v>
      </c>
      <c r="H9" s="20">
        <v>118579.49</v>
      </c>
      <c r="I9" s="7">
        <v>32477.62</v>
      </c>
      <c r="J9" s="7">
        <v>13186.46</v>
      </c>
      <c r="K9" s="7">
        <v>8619.4599999999991</v>
      </c>
      <c r="L9" s="7">
        <v>3536.38</v>
      </c>
      <c r="M9" s="37">
        <f t="shared" si="1"/>
        <v>176399.41</v>
      </c>
      <c r="N9" s="10">
        <f>115030.85+3234.9</f>
        <v>118265.75</v>
      </c>
      <c r="O9" s="10">
        <f>29672.22+2805.4</f>
        <v>32477.620000000003</v>
      </c>
      <c r="P9" s="10">
        <f>12988.76+197.7</f>
        <v>13186.460000000001</v>
      </c>
      <c r="Q9" s="10">
        <f>7741.76+877.7</f>
        <v>8619.4600000000009</v>
      </c>
      <c r="R9" s="10">
        <f>3360.93+175.5</f>
        <v>3536.43</v>
      </c>
      <c r="S9" s="37">
        <f t="shared" si="2"/>
        <v>176085.71999999997</v>
      </c>
    </row>
    <row r="10" spans="1:19" ht="16.149999999999999" customHeight="1" x14ac:dyDescent="0.2">
      <c r="A10" s="47">
        <v>7</v>
      </c>
      <c r="B10" s="8">
        <v>349567.93</v>
      </c>
      <c r="C10" s="8">
        <v>122928.63</v>
      </c>
      <c r="D10" s="7">
        <v>42596.05</v>
      </c>
      <c r="E10" s="8">
        <v>36691.57</v>
      </c>
      <c r="F10" s="7">
        <v>12112.18</v>
      </c>
      <c r="G10" s="37">
        <f t="shared" si="0"/>
        <v>563896.36</v>
      </c>
      <c r="H10" s="29">
        <v>349001.88</v>
      </c>
      <c r="I10" s="7">
        <v>123663.05</v>
      </c>
      <c r="J10" s="7">
        <v>41677.760000000002</v>
      </c>
      <c r="K10" s="7">
        <v>36668.76</v>
      </c>
      <c r="L10" s="7">
        <v>12112.18</v>
      </c>
      <c r="M10" s="37">
        <f t="shared" si="1"/>
        <v>563123.63</v>
      </c>
      <c r="N10" s="10">
        <f>336343.59+12658.35</f>
        <v>349001.94</v>
      </c>
      <c r="O10" s="10">
        <f>112906.96+10336.6</f>
        <v>123243.56000000001</v>
      </c>
      <c r="P10" s="10">
        <f>40925.56+752.25</f>
        <v>41677.81</v>
      </c>
      <c r="Q10" s="10">
        <f>33409.71+3259.05</f>
        <v>36668.76</v>
      </c>
      <c r="R10" s="10">
        <f>11417.68+694.5</f>
        <v>12112.18</v>
      </c>
      <c r="S10" s="37">
        <f t="shared" si="2"/>
        <v>562704.25</v>
      </c>
    </row>
    <row r="11" spans="1:19" ht="16.149999999999999" customHeight="1" x14ac:dyDescent="0.2">
      <c r="A11" s="47">
        <v>8</v>
      </c>
      <c r="B11" s="20">
        <v>359684.49</v>
      </c>
      <c r="C11" s="7">
        <v>122795.78</v>
      </c>
      <c r="D11" s="7">
        <v>42422.559999999998</v>
      </c>
      <c r="E11" s="7">
        <v>38916.11</v>
      </c>
      <c r="F11" s="7">
        <v>12542.13</v>
      </c>
      <c r="G11" s="37">
        <f t="shared" si="0"/>
        <v>576361.07000000007</v>
      </c>
      <c r="H11" s="20">
        <v>359946.64</v>
      </c>
      <c r="I11" s="7">
        <v>123750.03</v>
      </c>
      <c r="J11" s="7">
        <v>43329.22</v>
      </c>
      <c r="K11" s="7">
        <v>37322.269999999997</v>
      </c>
      <c r="L11" s="7">
        <v>12542.13</v>
      </c>
      <c r="M11" s="37">
        <f t="shared" si="1"/>
        <v>576890.29</v>
      </c>
      <c r="N11" s="119">
        <f>346301+13202.7</f>
        <v>359503.7</v>
      </c>
      <c r="O11" s="67">
        <f>113426.13+10323.9</f>
        <v>123750.03</v>
      </c>
      <c r="P11" s="10">
        <f>42492.52+836.7</f>
        <v>43329.219999999994</v>
      </c>
      <c r="Q11" s="9">
        <f>34163.86+3158.4</f>
        <v>37322.26</v>
      </c>
      <c r="R11" s="10">
        <f>11825.03+717.1</f>
        <v>12542.130000000001</v>
      </c>
      <c r="S11" s="37">
        <f t="shared" si="2"/>
        <v>576447.34</v>
      </c>
    </row>
    <row r="12" spans="1:19" ht="16.149999999999999" customHeight="1" x14ac:dyDescent="0.2">
      <c r="A12" s="47">
        <v>9</v>
      </c>
      <c r="B12" s="28">
        <v>358239.99</v>
      </c>
      <c r="C12" s="7">
        <v>125252.82</v>
      </c>
      <c r="D12" s="7">
        <v>42167.199999999997</v>
      </c>
      <c r="E12" s="7">
        <v>40578.76</v>
      </c>
      <c r="F12" s="7">
        <v>12805.53</v>
      </c>
      <c r="G12" s="37">
        <f t="shared" si="0"/>
        <v>579044.30000000005</v>
      </c>
      <c r="H12" s="20">
        <v>362169.65</v>
      </c>
      <c r="I12" s="7">
        <v>126322.32</v>
      </c>
      <c r="J12" s="7">
        <v>42167.199999999997</v>
      </c>
      <c r="K12" s="7">
        <v>42156.06</v>
      </c>
      <c r="L12" s="7">
        <v>12097.55</v>
      </c>
      <c r="M12" s="37">
        <f t="shared" si="1"/>
        <v>584912.78</v>
      </c>
      <c r="N12" s="10">
        <f>348661.9+13507.8</f>
        <v>362169.7</v>
      </c>
      <c r="O12" s="10">
        <f>115278.41+10349.85</f>
        <v>125628.26000000001</v>
      </c>
      <c r="P12" s="10">
        <f>41332.89+834.3</f>
        <v>42167.19</v>
      </c>
      <c r="Q12" s="10">
        <f>38569.2+3586.85</f>
        <v>42156.049999999996</v>
      </c>
      <c r="R12" s="10">
        <f>12065.28+740.25</f>
        <v>12805.53</v>
      </c>
      <c r="S12" s="37">
        <f t="shared" si="2"/>
        <v>584926.7300000001</v>
      </c>
    </row>
    <row r="13" spans="1:19" ht="16.149999999999999" customHeight="1" x14ac:dyDescent="0.2">
      <c r="A13" s="47">
        <v>10</v>
      </c>
      <c r="B13" s="20">
        <v>360001.58</v>
      </c>
      <c r="C13" s="7">
        <v>127686.05</v>
      </c>
      <c r="D13" s="7">
        <v>42670.46</v>
      </c>
      <c r="E13" s="7">
        <v>42048.41</v>
      </c>
      <c r="F13" s="7">
        <v>12716.44</v>
      </c>
      <c r="G13" s="37">
        <f t="shared" si="0"/>
        <v>585122.93999999994</v>
      </c>
      <c r="H13" s="20">
        <v>359582.78</v>
      </c>
      <c r="I13" s="7">
        <v>125729.2</v>
      </c>
      <c r="J13" s="7">
        <v>42695.75</v>
      </c>
      <c r="K13" s="7">
        <v>42092.6</v>
      </c>
      <c r="L13" s="7">
        <v>12047.1</v>
      </c>
      <c r="M13" s="37">
        <f t="shared" si="1"/>
        <v>582147.42999999993</v>
      </c>
      <c r="N13" s="120">
        <f>346048.38+13534.4</f>
        <v>359582.78</v>
      </c>
      <c r="O13" s="67">
        <f>114928.85+10800.4</f>
        <v>125729.25</v>
      </c>
      <c r="P13" s="121">
        <f>41874.35+821.45</f>
        <v>42695.799999999996</v>
      </c>
      <c r="Q13" s="9">
        <f>38468.05+3624.6</f>
        <v>42092.65</v>
      </c>
      <c r="R13" s="121">
        <f>12016.59+699.85</f>
        <v>12716.44</v>
      </c>
      <c r="S13" s="37">
        <f t="shared" si="2"/>
        <v>582816.92000000004</v>
      </c>
    </row>
    <row r="14" spans="1:19" ht="16.149999999999999" customHeight="1" x14ac:dyDescent="0.2">
      <c r="A14" s="47">
        <v>11</v>
      </c>
      <c r="B14" s="20">
        <v>355477.19</v>
      </c>
      <c r="C14" s="7">
        <v>124859.07</v>
      </c>
      <c r="D14" s="7">
        <v>41402.129999999997</v>
      </c>
      <c r="E14" s="7">
        <v>39252.230000000003</v>
      </c>
      <c r="F14" s="7">
        <v>12232.26</v>
      </c>
      <c r="G14" s="37">
        <f t="shared" si="0"/>
        <v>573222.88</v>
      </c>
      <c r="H14" s="20">
        <v>355334.93</v>
      </c>
      <c r="I14" s="7">
        <v>122993.09</v>
      </c>
      <c r="J14" s="7">
        <v>41512.589999999997</v>
      </c>
      <c r="K14" s="7">
        <v>39526.82</v>
      </c>
      <c r="L14" s="7">
        <v>11627.43</v>
      </c>
      <c r="M14" s="37">
        <f t="shared" si="1"/>
        <v>570994.86</v>
      </c>
      <c r="N14" s="24">
        <f>342281.48+13053.45</f>
        <v>355334.93</v>
      </c>
      <c r="O14" s="9">
        <f>112968.88+10024.25</f>
        <v>122993.13</v>
      </c>
      <c r="P14" s="67">
        <f>40611.19+901.45</f>
        <v>41512.639999999999</v>
      </c>
      <c r="Q14" s="9">
        <f>36209.51+3318.35</f>
        <v>39527.86</v>
      </c>
      <c r="R14" s="67">
        <f>11599.86+632.4</f>
        <v>12232.26</v>
      </c>
      <c r="S14" s="37">
        <f t="shared" si="2"/>
        <v>571600.82000000007</v>
      </c>
    </row>
    <row r="15" spans="1:19" ht="16.149999999999999" customHeight="1" x14ac:dyDescent="0.2">
      <c r="A15" s="47">
        <v>12</v>
      </c>
      <c r="B15" s="7">
        <v>235280.19</v>
      </c>
      <c r="C15" s="7">
        <v>62926.15</v>
      </c>
      <c r="D15" s="7">
        <v>25750.02</v>
      </c>
      <c r="E15" s="7">
        <v>16431.29</v>
      </c>
      <c r="F15" s="7">
        <v>7522.18</v>
      </c>
      <c r="G15" s="37">
        <f>SUM(B15:F15)</f>
        <v>347909.83</v>
      </c>
      <c r="H15" s="20">
        <v>230960.99</v>
      </c>
      <c r="I15" s="7">
        <v>65135</v>
      </c>
      <c r="J15" s="7">
        <v>25750.02</v>
      </c>
      <c r="K15" s="7">
        <v>14950.11</v>
      </c>
      <c r="L15" s="7">
        <v>7522.18</v>
      </c>
      <c r="M15" s="37">
        <f t="shared" si="1"/>
        <v>344318.3</v>
      </c>
      <c r="N15" s="10">
        <f>224845.23+6115.75</f>
        <v>230960.98</v>
      </c>
      <c r="O15" s="10">
        <f>60037.45+5097.55</f>
        <v>65135</v>
      </c>
      <c r="P15" s="10">
        <f>25350.87+399.15</f>
        <v>25750.02</v>
      </c>
      <c r="Q15" s="10">
        <f>14882.59+1548.7</f>
        <v>16431.29</v>
      </c>
      <c r="R15" s="10">
        <f>7226.69+295.5</f>
        <v>7522.19</v>
      </c>
      <c r="S15" s="37">
        <f t="shared" si="2"/>
        <v>345799.48</v>
      </c>
    </row>
    <row r="16" spans="1:19" ht="16.149999999999999" customHeight="1" x14ac:dyDescent="0.2">
      <c r="A16" s="47">
        <v>13</v>
      </c>
      <c r="B16" s="7">
        <v>111029.67</v>
      </c>
      <c r="C16" s="7">
        <v>33087.42</v>
      </c>
      <c r="D16" s="7">
        <v>12593.3</v>
      </c>
      <c r="E16" s="7">
        <v>8293.3700000000008</v>
      </c>
      <c r="F16" s="7">
        <v>3137.47</v>
      </c>
      <c r="G16" s="37">
        <f>SUM(B16:F16)</f>
        <v>168141.22999999998</v>
      </c>
      <c r="H16" s="20">
        <v>110288.89</v>
      </c>
      <c r="I16" s="7">
        <v>33985.769999999997</v>
      </c>
      <c r="J16" s="7">
        <v>11732.49</v>
      </c>
      <c r="K16" s="7">
        <v>8293.3700000000008</v>
      </c>
      <c r="L16" s="7">
        <v>3137.42</v>
      </c>
      <c r="M16" s="37">
        <f t="shared" si="1"/>
        <v>167437.94</v>
      </c>
      <c r="N16" s="10">
        <f>107326.25+3150.05</f>
        <v>110476.3</v>
      </c>
      <c r="O16" s="10">
        <f>30014.92+3228.2</f>
        <v>33243.119999999995</v>
      </c>
      <c r="P16" s="10">
        <f>11574.11+169.1</f>
        <v>11743.210000000001</v>
      </c>
      <c r="Q16" s="10">
        <f>7518.29+782.35</f>
        <v>8300.64</v>
      </c>
      <c r="R16" s="10">
        <f>3011.02+126.45</f>
        <v>3137.47</v>
      </c>
      <c r="S16" s="37">
        <f t="shared" si="2"/>
        <v>166900.73999999996</v>
      </c>
    </row>
    <row r="17" spans="1:20" ht="16.149999999999999" customHeight="1" x14ac:dyDescent="0.2">
      <c r="A17" s="47">
        <v>14</v>
      </c>
      <c r="B17" s="7">
        <v>353252.84</v>
      </c>
      <c r="C17" s="7">
        <v>128628.82</v>
      </c>
      <c r="D17" s="7">
        <v>40627.39</v>
      </c>
      <c r="E17" s="7">
        <v>40171.19</v>
      </c>
      <c r="F17" s="7">
        <v>12484.03</v>
      </c>
      <c r="G17" s="37">
        <f t="shared" ref="G17:G32" si="3">SUM(B17:F17)</f>
        <v>575164.27</v>
      </c>
      <c r="H17" s="20">
        <v>361922.71</v>
      </c>
      <c r="I17" s="7">
        <v>130196.17</v>
      </c>
      <c r="J17" s="7">
        <v>40677.99</v>
      </c>
      <c r="K17" s="7">
        <v>40171.19</v>
      </c>
      <c r="L17" s="7">
        <v>12484.03</v>
      </c>
      <c r="M17" s="37">
        <f t="shared" si="1"/>
        <v>585452.09000000008</v>
      </c>
      <c r="N17" s="10">
        <f>349500.16+13422.55</f>
        <v>362922.70999999996</v>
      </c>
      <c r="O17" s="10">
        <f>118303.57+10849.6</f>
        <v>129153.17000000001</v>
      </c>
      <c r="P17" s="10">
        <f>40641.06+847.1</f>
        <v>41488.159999999996</v>
      </c>
      <c r="Q17" s="10">
        <f>36611.24+3559.95</f>
        <v>40171.189999999995</v>
      </c>
      <c r="R17" s="10">
        <f>11786.18+697.85</f>
        <v>12484.03</v>
      </c>
      <c r="S17" s="37">
        <f t="shared" si="2"/>
        <v>586219.26</v>
      </c>
    </row>
    <row r="18" spans="1:20" ht="16.149999999999999" customHeight="1" x14ac:dyDescent="0.2">
      <c r="A18" s="47">
        <v>15</v>
      </c>
      <c r="B18" s="7">
        <v>363792.71</v>
      </c>
      <c r="C18" s="7">
        <v>130757.57</v>
      </c>
      <c r="D18" s="7">
        <v>41402.65</v>
      </c>
      <c r="E18" s="7">
        <v>41309.35</v>
      </c>
      <c r="F18" s="7">
        <v>12615.73</v>
      </c>
      <c r="G18" s="37">
        <f t="shared" si="3"/>
        <v>589878.01</v>
      </c>
      <c r="H18" s="20">
        <v>362730.29</v>
      </c>
      <c r="I18" s="7">
        <v>131905.4</v>
      </c>
      <c r="J18" s="7">
        <v>42175.42</v>
      </c>
      <c r="K18" s="7">
        <v>41309.35</v>
      </c>
      <c r="L18" s="7">
        <v>12615.73</v>
      </c>
      <c r="M18" s="37">
        <f t="shared" si="1"/>
        <v>590736.18999999994</v>
      </c>
      <c r="N18" s="10">
        <f>348553.33+14177</f>
        <v>362730.33</v>
      </c>
      <c r="O18" s="11">
        <f>119657.26+11323.1</f>
        <v>130980.36</v>
      </c>
      <c r="P18" s="10">
        <f>41332.12+843.3</f>
        <v>42175.420000000006</v>
      </c>
      <c r="Q18" s="9">
        <f>37848.65+3460.7</f>
        <v>41309.35</v>
      </c>
      <c r="R18" s="10">
        <f>11915.93+699.8</f>
        <v>12615.73</v>
      </c>
      <c r="S18" s="37">
        <f t="shared" si="2"/>
        <v>589811.18999999994</v>
      </c>
    </row>
    <row r="19" spans="1:20" ht="16.149999999999999" customHeight="1" x14ac:dyDescent="0.2">
      <c r="A19" s="47">
        <v>16</v>
      </c>
      <c r="B19" s="7">
        <v>362668.55</v>
      </c>
      <c r="C19" s="7">
        <v>129553.51</v>
      </c>
      <c r="D19" s="7">
        <v>42755</v>
      </c>
      <c r="E19" s="7">
        <v>41074.46</v>
      </c>
      <c r="F19" s="7">
        <v>12507.27</v>
      </c>
      <c r="G19" s="37">
        <f t="shared" si="3"/>
        <v>588558.79</v>
      </c>
      <c r="H19" s="20">
        <v>365508.92</v>
      </c>
      <c r="I19" s="7">
        <v>130198.8</v>
      </c>
      <c r="J19" s="7">
        <v>42754.95</v>
      </c>
      <c r="K19" s="7">
        <v>37882.959999999999</v>
      </c>
      <c r="L19" s="7">
        <v>12507.27</v>
      </c>
      <c r="M19" s="37">
        <f t="shared" si="1"/>
        <v>588852.89999999991</v>
      </c>
      <c r="N19" s="10">
        <f>351407.37+14101.6</f>
        <v>365508.97</v>
      </c>
      <c r="O19" s="10">
        <f>119146.86+10406.65</f>
        <v>129553.51</v>
      </c>
      <c r="P19" s="10">
        <f>41843.55+911.45</f>
        <v>42755</v>
      </c>
      <c r="Q19" s="10">
        <f>37736.9+3350</f>
        <v>41086.9</v>
      </c>
      <c r="R19" s="10">
        <f>11827.77+679.5</f>
        <v>12507.27</v>
      </c>
      <c r="S19" s="37">
        <f t="shared" si="2"/>
        <v>591411.65</v>
      </c>
    </row>
    <row r="20" spans="1:20" ht="16.149999999999999" customHeight="1" x14ac:dyDescent="0.2">
      <c r="A20" s="47">
        <v>17</v>
      </c>
      <c r="B20" s="7">
        <v>358458.72</v>
      </c>
      <c r="C20" s="7">
        <v>129800.98</v>
      </c>
      <c r="D20" s="7">
        <v>41673.03</v>
      </c>
      <c r="E20" s="7">
        <v>39745.160000000003</v>
      </c>
      <c r="F20" s="7">
        <v>12425.93</v>
      </c>
      <c r="G20" s="37">
        <f t="shared" si="3"/>
        <v>582103.82000000007</v>
      </c>
      <c r="H20" s="20">
        <v>353063.57</v>
      </c>
      <c r="I20" s="7">
        <v>129378.49</v>
      </c>
      <c r="J20" s="7">
        <v>41673.019999999997</v>
      </c>
      <c r="K20" s="7">
        <v>39745.160000000003</v>
      </c>
      <c r="L20" s="7">
        <v>12425.93</v>
      </c>
      <c r="M20" s="37">
        <f t="shared" si="1"/>
        <v>576286.17000000004</v>
      </c>
      <c r="N20" s="10">
        <f>339814.18+13249.4</f>
        <v>353063.58</v>
      </c>
      <c r="O20" s="10">
        <f>118296.84+10685.85</f>
        <v>128982.69</v>
      </c>
      <c r="P20" s="10">
        <f>40779.72+893.3</f>
        <v>41673.020000000004</v>
      </c>
      <c r="Q20" s="10">
        <f>36422.62+3322.55</f>
        <v>39745.170000000006</v>
      </c>
      <c r="R20" s="10">
        <f>11687.13+738.8</f>
        <v>12425.929999999998</v>
      </c>
      <c r="S20" s="37">
        <f t="shared" si="2"/>
        <v>575890.39000000013</v>
      </c>
    </row>
    <row r="21" spans="1:20" ht="16.149999999999999" customHeight="1" x14ac:dyDescent="0.2">
      <c r="A21" s="47">
        <v>18</v>
      </c>
      <c r="B21" s="7">
        <v>349509.69</v>
      </c>
      <c r="C21" s="7">
        <v>122054.52</v>
      </c>
      <c r="D21" s="7">
        <v>40768.65</v>
      </c>
      <c r="E21" s="7">
        <v>38046.07</v>
      </c>
      <c r="F21" s="7">
        <v>12367.83</v>
      </c>
      <c r="G21" s="37">
        <f t="shared" si="3"/>
        <v>562746.76</v>
      </c>
      <c r="H21" s="20">
        <v>358505.92</v>
      </c>
      <c r="I21" s="30">
        <v>123793.4</v>
      </c>
      <c r="J21" s="7">
        <v>40768.61</v>
      </c>
      <c r="K21" s="7">
        <v>36534.19</v>
      </c>
      <c r="L21" s="7">
        <v>11742.63</v>
      </c>
      <c r="M21" s="37">
        <f t="shared" si="1"/>
        <v>571344.74999999988</v>
      </c>
      <c r="N21" s="10">
        <f>340711.86+13045.1</f>
        <v>353756.95999999996</v>
      </c>
      <c r="O21" s="10">
        <f>113222.66+10570.75</f>
        <v>123793.41</v>
      </c>
      <c r="P21" s="10">
        <f>39953.5+815.15</f>
        <v>40768.65</v>
      </c>
      <c r="Q21" s="10">
        <f>33531.44+3002.75</f>
        <v>36534.19</v>
      </c>
      <c r="R21" s="10">
        <f>11714.13+653.7</f>
        <v>12367.83</v>
      </c>
      <c r="S21" s="37">
        <f>SUM(N21:R21)</f>
        <v>567221.03999999992</v>
      </c>
    </row>
    <row r="22" spans="1:20" ht="16.149999999999999" customHeight="1" x14ac:dyDescent="0.2">
      <c r="A22" s="47">
        <v>19</v>
      </c>
      <c r="B22" s="7">
        <v>235611.96</v>
      </c>
      <c r="C22" s="7">
        <v>63621.31</v>
      </c>
      <c r="D22" s="7">
        <v>24664.5</v>
      </c>
      <c r="E22" s="7">
        <v>16229.77</v>
      </c>
      <c r="F22" s="7">
        <v>7351.75</v>
      </c>
      <c r="G22" s="37">
        <f t="shared" si="3"/>
        <v>347479.29000000004</v>
      </c>
      <c r="H22" s="20">
        <v>238704.82</v>
      </c>
      <c r="I22" s="7">
        <v>63621.26</v>
      </c>
      <c r="J22" s="7">
        <v>25031.759999999998</v>
      </c>
      <c r="K22" s="7">
        <v>18192.259999999998</v>
      </c>
      <c r="L22" s="7">
        <v>7351.75</v>
      </c>
      <c r="M22" s="37">
        <f t="shared" si="1"/>
        <v>352901.85000000003</v>
      </c>
      <c r="N22" s="10">
        <f>227193.54+6280.15</f>
        <v>233473.69</v>
      </c>
      <c r="O22" s="10">
        <f>58508.01+5113.3</f>
        <v>63621.310000000005</v>
      </c>
      <c r="P22" s="10">
        <f>24268+396.5</f>
        <v>24664.5</v>
      </c>
      <c r="Q22" s="10">
        <f>15894.55+1847.1</f>
        <v>17741.649999999998</v>
      </c>
      <c r="R22" s="10">
        <f>7090.66+261.1</f>
        <v>7351.76</v>
      </c>
      <c r="S22" s="37">
        <f t="shared" si="2"/>
        <v>346852.91000000003</v>
      </c>
    </row>
    <row r="23" spans="1:20" ht="16.149999999999999" customHeight="1" x14ac:dyDescent="0.2">
      <c r="A23" s="47">
        <v>20</v>
      </c>
      <c r="B23" s="30">
        <v>103533.55</v>
      </c>
      <c r="C23" s="7">
        <v>31948.02</v>
      </c>
      <c r="D23" s="7">
        <v>11518.79</v>
      </c>
      <c r="E23" s="7">
        <v>8039.12</v>
      </c>
      <c r="F23" s="7">
        <v>2905.07</v>
      </c>
      <c r="G23" s="37">
        <f t="shared" si="3"/>
        <v>157944.55000000002</v>
      </c>
      <c r="H23" s="20">
        <v>104155.21</v>
      </c>
      <c r="I23" s="7">
        <v>33127.26</v>
      </c>
      <c r="J23" s="7">
        <v>11714.66</v>
      </c>
      <c r="K23" s="7">
        <v>8039.07</v>
      </c>
      <c r="L23" s="7">
        <v>2905.07</v>
      </c>
      <c r="M23" s="37">
        <f t="shared" si="1"/>
        <v>159941.27000000002</v>
      </c>
      <c r="N23" s="10">
        <f>100704.25+2936.9</f>
        <v>103641.15</v>
      </c>
      <c r="O23" s="10">
        <f>29678.2+2692.35</f>
        <v>32370.55</v>
      </c>
      <c r="P23" s="10">
        <f>11307.64+218.8</f>
        <v>11526.439999999999</v>
      </c>
      <c r="Q23" s="10">
        <f>7198.27+840.85</f>
        <v>8039.1200000000008</v>
      </c>
      <c r="R23" s="10">
        <f>2772.87+132.2</f>
        <v>2905.0699999999997</v>
      </c>
      <c r="S23" s="37">
        <f t="shared" si="2"/>
        <v>158482.32999999999</v>
      </c>
    </row>
    <row r="24" spans="1:20" ht="16.149999999999999" customHeight="1" x14ac:dyDescent="0.2">
      <c r="A24" s="47">
        <v>21</v>
      </c>
      <c r="B24" s="7">
        <v>344074.51</v>
      </c>
      <c r="C24" s="7">
        <v>126748.58</v>
      </c>
      <c r="D24" s="7">
        <v>41251.25</v>
      </c>
      <c r="E24" s="7">
        <v>37779.660000000003</v>
      </c>
      <c r="F24" s="7">
        <v>11442.08</v>
      </c>
      <c r="G24" s="37">
        <f t="shared" si="3"/>
        <v>561296.07999999996</v>
      </c>
      <c r="H24" s="20">
        <v>344649.98</v>
      </c>
      <c r="I24" s="7">
        <v>117220.93</v>
      </c>
      <c r="J24" s="7">
        <v>41297.11</v>
      </c>
      <c r="K24" s="7">
        <v>38256.959999999999</v>
      </c>
      <c r="L24" s="7">
        <v>11442.08</v>
      </c>
      <c r="M24" s="37">
        <f t="shared" si="1"/>
        <v>552867.05999999994</v>
      </c>
      <c r="N24" s="10">
        <f>331781.19+12481.45</f>
        <v>344262.64</v>
      </c>
      <c r="O24" s="10">
        <f>116762.73+10509.2</f>
        <v>127271.93</v>
      </c>
      <c r="P24" s="10">
        <f>40502.21+794.95</f>
        <v>41297.159999999996</v>
      </c>
      <c r="Q24" s="10">
        <f>35086.96+3170</f>
        <v>38256.959999999999</v>
      </c>
      <c r="R24" s="10">
        <f>10841.34+600.75</f>
        <v>11442.09</v>
      </c>
      <c r="S24" s="37">
        <f t="shared" si="2"/>
        <v>562530.77999999991</v>
      </c>
    </row>
    <row r="25" spans="1:20" ht="16.149999999999999" customHeight="1" x14ac:dyDescent="0.2">
      <c r="A25" s="47">
        <v>22</v>
      </c>
      <c r="B25" s="7">
        <v>354299.15</v>
      </c>
      <c r="C25" s="7">
        <v>128905.41</v>
      </c>
      <c r="D25" s="7">
        <v>41627.79</v>
      </c>
      <c r="E25" s="7">
        <v>40086.449999999997</v>
      </c>
      <c r="F25" s="7">
        <v>12375.58</v>
      </c>
      <c r="G25" s="37">
        <f t="shared" si="3"/>
        <v>577294.38</v>
      </c>
      <c r="H25" s="20">
        <v>356285.54</v>
      </c>
      <c r="I25" s="7">
        <v>119972.39</v>
      </c>
      <c r="J25" s="7">
        <v>41666.57</v>
      </c>
      <c r="K25" s="7">
        <v>40086.449999999997</v>
      </c>
      <c r="L25" s="7">
        <v>11691.32</v>
      </c>
      <c r="M25" s="37">
        <f t="shared" si="1"/>
        <v>569702.2699999999</v>
      </c>
      <c r="N25" s="10">
        <f>342861.4+13110.4</f>
        <v>355971.80000000005</v>
      </c>
      <c r="O25" s="10">
        <f>119491.91+11020.25</f>
        <v>130512.16</v>
      </c>
      <c r="P25" s="10">
        <f>40789.77+876.85</f>
        <v>41666.619999999995</v>
      </c>
      <c r="Q25" s="10">
        <f>36621.4+3465.05</f>
        <v>40086.450000000004</v>
      </c>
      <c r="R25" s="10">
        <f>11660.13+715.45</f>
        <v>12375.58</v>
      </c>
      <c r="S25" s="37">
        <f t="shared" si="2"/>
        <v>580612.61</v>
      </c>
    </row>
    <row r="26" spans="1:20" ht="16.149999999999999" customHeight="1" x14ac:dyDescent="0.2">
      <c r="A26" s="47">
        <v>23</v>
      </c>
      <c r="B26" s="7">
        <v>355067.33</v>
      </c>
      <c r="C26" s="7">
        <v>127892.1</v>
      </c>
      <c r="D26" s="7">
        <v>40900.06</v>
      </c>
      <c r="E26" s="7">
        <v>38595.57</v>
      </c>
      <c r="F26" s="7">
        <v>12197.4</v>
      </c>
      <c r="G26" s="37">
        <f t="shared" si="3"/>
        <v>574652.46000000008</v>
      </c>
      <c r="H26" s="20">
        <v>355104.34</v>
      </c>
      <c r="I26" s="7">
        <v>130344.07</v>
      </c>
      <c r="J26" s="7">
        <v>40911.78</v>
      </c>
      <c r="K26" s="7">
        <v>37995.050000000003</v>
      </c>
      <c r="L26" s="7">
        <v>12197.4</v>
      </c>
      <c r="M26" s="37">
        <f t="shared" si="1"/>
        <v>576552.64000000013</v>
      </c>
      <c r="N26" s="10">
        <f>341820.14+13284.2</f>
        <v>355104.34</v>
      </c>
      <c r="O26" s="10">
        <f>119111.45+10813.15</f>
        <v>129924.59999999999</v>
      </c>
      <c r="P26" s="10">
        <f>40005.47+906.35</f>
        <v>40911.82</v>
      </c>
      <c r="Q26" s="10">
        <f>34847.84+3147.2</f>
        <v>37995.039999999994</v>
      </c>
      <c r="R26" s="10">
        <f>11462+735.4</f>
        <v>12197.4</v>
      </c>
      <c r="S26" s="37">
        <f t="shared" si="2"/>
        <v>576133.20000000007</v>
      </c>
    </row>
    <row r="27" spans="1:20" ht="16.149999999999999" customHeight="1" x14ac:dyDescent="0.2">
      <c r="A27" s="47">
        <v>24</v>
      </c>
      <c r="B27" s="20">
        <v>346033.98</v>
      </c>
      <c r="C27" s="7">
        <v>128686.68</v>
      </c>
      <c r="D27" s="7">
        <v>40552.79</v>
      </c>
      <c r="E27" s="7">
        <v>37310.120000000003</v>
      </c>
      <c r="F27" s="7">
        <v>11937.88</v>
      </c>
      <c r="G27" s="37">
        <f t="shared" si="3"/>
        <v>564521.44999999995</v>
      </c>
      <c r="H27" s="20">
        <v>346351.46</v>
      </c>
      <c r="I27" s="7">
        <v>126237.2</v>
      </c>
      <c r="J27" s="7">
        <v>40109.22</v>
      </c>
      <c r="K27" s="7">
        <v>38189.629999999997</v>
      </c>
      <c r="L27" s="7">
        <v>11937.88</v>
      </c>
      <c r="M27" s="37">
        <f t="shared" si="1"/>
        <v>562825.39</v>
      </c>
      <c r="N27" s="10">
        <f>333466.71+12884.75</f>
        <v>346351.46</v>
      </c>
      <c r="O27" s="10">
        <f>115465.9+10473.05</f>
        <v>125938.95</v>
      </c>
      <c r="P27" s="10">
        <f>39277.12+832.1</f>
        <v>40109.22</v>
      </c>
      <c r="Q27" s="10">
        <f>35067.28+3122.35</f>
        <v>38189.629999999997</v>
      </c>
      <c r="R27" s="10">
        <f>11192.33+745.55</f>
        <v>11937.88</v>
      </c>
      <c r="S27" s="37">
        <f t="shared" si="2"/>
        <v>562527.14</v>
      </c>
      <c r="T27" s="3"/>
    </row>
    <row r="28" spans="1:20" ht="16.149999999999999" customHeight="1" x14ac:dyDescent="0.2">
      <c r="A28" s="47">
        <v>25</v>
      </c>
      <c r="B28" s="20">
        <v>330057.42</v>
      </c>
      <c r="C28" s="7">
        <v>107193.95</v>
      </c>
      <c r="D28" s="7">
        <v>38137.410000000003</v>
      </c>
      <c r="E28" s="7">
        <v>37188.99</v>
      </c>
      <c r="F28" s="7">
        <v>10872.69</v>
      </c>
      <c r="G28" s="37">
        <f t="shared" si="3"/>
        <v>523450.46</v>
      </c>
      <c r="H28" s="20">
        <v>334365.09000000003</v>
      </c>
      <c r="I28" s="7">
        <v>114109.61</v>
      </c>
      <c r="J28" s="7">
        <v>38619.43</v>
      </c>
      <c r="K28" s="7">
        <v>33726.44</v>
      </c>
      <c r="L28" s="7">
        <v>10285.41</v>
      </c>
      <c r="M28" s="37">
        <f t="shared" si="1"/>
        <v>531105.98</v>
      </c>
      <c r="N28" s="10">
        <f>321694.59+12670.5</f>
        <v>334365.09000000003</v>
      </c>
      <c r="O28" s="10">
        <f>113270.29+10545.5</f>
        <v>123815.79</v>
      </c>
      <c r="P28" s="10">
        <f>37850.23+769.2</f>
        <v>38619.43</v>
      </c>
      <c r="Q28" s="10">
        <f>30950.34+2776.1</f>
        <v>33726.44</v>
      </c>
      <c r="R28" s="10">
        <f>10258.64+614.05</f>
        <v>10872.689999999999</v>
      </c>
      <c r="S28" s="37">
        <f t="shared" si="2"/>
        <v>541399.43999999994</v>
      </c>
      <c r="T28" s="3"/>
    </row>
    <row r="29" spans="1:20" ht="16.149999999999999" customHeight="1" x14ac:dyDescent="0.2">
      <c r="A29" s="47">
        <v>26</v>
      </c>
      <c r="B29" s="20">
        <v>203995.15</v>
      </c>
      <c r="C29" s="7">
        <v>62324.09</v>
      </c>
      <c r="D29" s="7">
        <v>21541.38</v>
      </c>
      <c r="E29" s="7">
        <v>14507.34</v>
      </c>
      <c r="F29" s="7">
        <v>6588.69</v>
      </c>
      <c r="G29" s="37">
        <f t="shared" si="3"/>
        <v>308956.65000000002</v>
      </c>
      <c r="H29" s="20">
        <v>204639.19</v>
      </c>
      <c r="I29" s="7">
        <v>63500.13</v>
      </c>
      <c r="J29" s="7">
        <v>21633.19</v>
      </c>
      <c r="K29" s="7">
        <v>14507.34</v>
      </c>
      <c r="L29" s="7">
        <v>6588.69</v>
      </c>
      <c r="M29" s="37">
        <f t="shared" si="1"/>
        <v>310868.54000000004</v>
      </c>
      <c r="N29" s="10">
        <f>198918.99+5720.2</f>
        <v>204639.19</v>
      </c>
      <c r="O29" s="10">
        <f>57975.18+5524.95</f>
        <v>63500.13</v>
      </c>
      <c r="P29" s="10">
        <f>21348.44+284.75</f>
        <v>21633.19</v>
      </c>
      <c r="Q29" s="10">
        <f>13096.75+1410.6</f>
        <v>14507.35</v>
      </c>
      <c r="R29" s="10">
        <f>6328.34+260.35</f>
        <v>6588.6900000000005</v>
      </c>
      <c r="S29" s="37">
        <f t="shared" si="2"/>
        <v>310868.55</v>
      </c>
      <c r="T29" s="3"/>
    </row>
    <row r="30" spans="1:20" ht="16.149999999999999" customHeight="1" x14ac:dyDescent="0.2">
      <c r="A30" s="47">
        <v>27</v>
      </c>
      <c r="B30" s="20">
        <v>95823.15</v>
      </c>
      <c r="C30" s="7">
        <v>30500.17</v>
      </c>
      <c r="D30" s="7">
        <v>10099.11</v>
      </c>
      <c r="E30" s="7">
        <v>8109.89</v>
      </c>
      <c r="F30" s="7">
        <v>2908.94</v>
      </c>
      <c r="G30" s="37">
        <f t="shared" si="3"/>
        <v>147441.26</v>
      </c>
      <c r="H30" s="20">
        <v>94736.25</v>
      </c>
      <c r="I30" s="7">
        <v>31927.98</v>
      </c>
      <c r="J30" s="7">
        <v>10099.11</v>
      </c>
      <c r="K30" s="7">
        <v>8109.84</v>
      </c>
      <c r="L30" s="7">
        <v>2908.89</v>
      </c>
      <c r="M30" s="37">
        <f t="shared" si="1"/>
        <v>147782.07</v>
      </c>
      <c r="N30" s="10">
        <f>91878+2858.25</f>
        <v>94736.25</v>
      </c>
      <c r="O30" s="10">
        <f>29041.83+2886.15</f>
        <v>31927.980000000003</v>
      </c>
      <c r="P30" s="10">
        <f>9919.26+179.85</f>
        <v>10099.11</v>
      </c>
      <c r="Q30" s="10">
        <f>7397.04+712.85</f>
        <v>8109.89</v>
      </c>
      <c r="R30" s="10">
        <f>2751.84+157.1</f>
        <v>2908.94</v>
      </c>
      <c r="S30" s="37">
        <f t="shared" si="2"/>
        <v>147782.17000000004</v>
      </c>
      <c r="T30" s="3"/>
    </row>
    <row r="31" spans="1:20" ht="16.149999999999999" customHeight="1" x14ac:dyDescent="0.2">
      <c r="A31" s="47">
        <v>28</v>
      </c>
      <c r="B31" s="20">
        <v>193510.42</v>
      </c>
      <c r="C31" s="7">
        <v>64892.51</v>
      </c>
      <c r="D31" s="7">
        <v>21591.5</v>
      </c>
      <c r="E31" s="7">
        <v>16267.89</v>
      </c>
      <c r="F31" s="7">
        <v>5856.61</v>
      </c>
      <c r="G31" s="37">
        <f t="shared" si="3"/>
        <v>302118.93000000005</v>
      </c>
      <c r="H31" s="20">
        <v>195101.49</v>
      </c>
      <c r="I31" s="7">
        <v>70235.63</v>
      </c>
      <c r="J31" s="7">
        <v>21599.1</v>
      </c>
      <c r="K31" s="7">
        <v>15461.02</v>
      </c>
      <c r="L31" s="7">
        <v>5856.66</v>
      </c>
      <c r="M31" s="37">
        <f t="shared" si="1"/>
        <v>308253.89999999997</v>
      </c>
      <c r="N31" s="10">
        <f>188305.93+6795.6</f>
        <v>195101.53</v>
      </c>
      <c r="O31" s="10">
        <f>64216.47+6019.2</f>
        <v>70235.67</v>
      </c>
      <c r="P31" s="10">
        <f>21229.4+369.75</f>
        <v>21599.15</v>
      </c>
      <c r="Q31" s="10">
        <f>13874.12+1586.95</f>
        <v>15461.070000000002</v>
      </c>
      <c r="R31" s="10">
        <f>5558.51+298.1</f>
        <v>5856.6100000000006</v>
      </c>
      <c r="S31" s="37">
        <f t="shared" si="2"/>
        <v>308254.03000000003</v>
      </c>
    </row>
    <row r="32" spans="1:20" ht="16.149999999999999" customHeight="1" thickBot="1" x14ac:dyDescent="0.25">
      <c r="A32" s="39" t="s">
        <v>10</v>
      </c>
      <c r="B32" s="40">
        <f>SUM(B4:B31)</f>
        <v>8241456.370000001</v>
      </c>
      <c r="C32" s="41">
        <f>SUM(C4:C31)</f>
        <v>2824539.1900000004</v>
      </c>
      <c r="D32" s="42">
        <f>SUM(D4:D31)</f>
        <v>951180.41000000027</v>
      </c>
      <c r="E32" s="42">
        <f>SUM(E4:E31)</f>
        <v>865372.49999999977</v>
      </c>
      <c r="F32" s="42">
        <f>SUM(F4:F31)</f>
        <v>279780.98999999993</v>
      </c>
      <c r="G32" s="51">
        <f t="shared" si="3"/>
        <v>13162329.460000003</v>
      </c>
      <c r="H32" s="44">
        <f t="shared" ref="H32:S32" si="4">SUM(H4:H31)</f>
        <v>8271568.9400000023</v>
      </c>
      <c r="I32" s="42">
        <f t="shared" si="4"/>
        <v>2819330.5999999996</v>
      </c>
      <c r="J32" s="42">
        <f t="shared" si="4"/>
        <v>952619.66999999993</v>
      </c>
      <c r="K32" s="42">
        <f t="shared" si="4"/>
        <v>858096.94999999972</v>
      </c>
      <c r="L32" s="42">
        <f t="shared" si="4"/>
        <v>275871.02</v>
      </c>
      <c r="M32" s="45">
        <f t="shared" si="4"/>
        <v>13177487.180000002</v>
      </c>
      <c r="N32" s="122">
        <f t="shared" si="4"/>
        <v>8248996.9100000011</v>
      </c>
      <c r="O32" s="123">
        <f t="shared" si="4"/>
        <v>2851808.9100000006</v>
      </c>
      <c r="P32" s="123">
        <f t="shared" si="4"/>
        <v>952330.16999999993</v>
      </c>
      <c r="Q32" s="123">
        <f t="shared" si="4"/>
        <v>861889.4</v>
      </c>
      <c r="R32" s="123">
        <f t="shared" si="4"/>
        <v>279750.03999999992</v>
      </c>
      <c r="S32" s="46">
        <f t="shared" si="4"/>
        <v>13194775.429999998</v>
      </c>
      <c r="T32" s="17"/>
    </row>
  </sheetData>
  <mergeCells count="5">
    <mergeCell ref="A1:S1"/>
    <mergeCell ref="A2:A3"/>
    <mergeCell ref="B2:G2"/>
    <mergeCell ref="H2:M2"/>
    <mergeCell ref="N2:S2"/>
  </mergeCells>
  <conditionalFormatting sqref="P18 N18 R18">
    <cfRule type="duplicateValues" dxfId="0" priority="1"/>
  </conditionalFormatting>
  <printOptions horizontalCentered="1" verticalCentered="1"/>
  <pageMargins left="0" right="0" top="0" bottom="0" header="0" footer="0"/>
  <pageSetup paperSize="9" scale="65" orientation="landscape" verticalDpi="0" r:id="rId1"/>
  <ignoredErrors>
    <ignoredError sqref="G4:G31" formulaRange="1"/>
    <ignoredError sqref="G32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T35"/>
  <sheetViews>
    <sheetView zoomScale="99" zoomScaleNormal="99" workbookViewId="0">
      <pane xSplit="1" ySplit="3" topLeftCell="B26" activePane="bottomRight" state="frozen"/>
      <selection pane="topRight" activeCell="B1" sqref="B1"/>
      <selection pane="bottomLeft" activeCell="A2" sqref="A2"/>
      <selection pane="bottomRight" activeCell="A2" sqref="A2:A3"/>
    </sheetView>
  </sheetViews>
  <sheetFormatPr defaultColWidth="9.140625" defaultRowHeight="12.75" x14ac:dyDescent="0.2"/>
  <cols>
    <col min="1" max="1" width="6.85546875" style="1" customWidth="1"/>
    <col min="2" max="6" width="11.7109375" style="1" customWidth="1"/>
    <col min="7" max="7" width="12.5703125" style="2" bestFit="1" customWidth="1"/>
    <col min="8" max="8" width="11.7109375" style="4" customWidth="1"/>
    <col min="9" max="12" width="11.7109375" style="1" customWidth="1"/>
    <col min="13" max="13" width="12.5703125" style="2" bestFit="1" customWidth="1"/>
    <col min="14" max="18" width="11.7109375" style="13" customWidth="1"/>
    <col min="19" max="19" width="12.5703125" style="1" bestFit="1" customWidth="1"/>
    <col min="20" max="20" width="10.7109375" style="1" customWidth="1"/>
    <col min="21" max="16384" width="9.140625" style="1"/>
  </cols>
  <sheetData>
    <row r="1" spans="1:19" ht="24" customHeight="1" thickBot="1" x14ac:dyDescent="0.25">
      <c r="A1" s="81"/>
      <c r="B1" s="143" t="s">
        <v>12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5"/>
    </row>
    <row r="2" spans="1:19" ht="18.75" x14ac:dyDescent="0.2">
      <c r="A2" s="146" t="s">
        <v>0</v>
      </c>
      <c r="B2" s="148" t="s">
        <v>1</v>
      </c>
      <c r="C2" s="149"/>
      <c r="D2" s="149"/>
      <c r="E2" s="149"/>
      <c r="F2" s="149"/>
      <c r="G2" s="150"/>
      <c r="H2" s="151" t="s">
        <v>2</v>
      </c>
      <c r="I2" s="152"/>
      <c r="J2" s="152"/>
      <c r="K2" s="152"/>
      <c r="L2" s="152"/>
      <c r="M2" s="153"/>
      <c r="N2" s="154" t="s">
        <v>3</v>
      </c>
      <c r="O2" s="155"/>
      <c r="P2" s="155"/>
      <c r="Q2" s="155"/>
      <c r="R2" s="155"/>
      <c r="S2" s="156"/>
    </row>
    <row r="3" spans="1:19" ht="16.149999999999999" customHeight="1" x14ac:dyDescent="0.2">
      <c r="A3" s="147"/>
      <c r="B3" s="31" t="s">
        <v>4</v>
      </c>
      <c r="C3" s="32" t="s">
        <v>5</v>
      </c>
      <c r="D3" s="32" t="s">
        <v>6</v>
      </c>
      <c r="E3" s="32" t="s">
        <v>7</v>
      </c>
      <c r="F3" s="32" t="s">
        <v>8</v>
      </c>
      <c r="G3" s="33" t="s">
        <v>9</v>
      </c>
      <c r="H3" s="34" t="s">
        <v>4</v>
      </c>
      <c r="I3" s="32" t="s">
        <v>5</v>
      </c>
      <c r="J3" s="32" t="s">
        <v>6</v>
      </c>
      <c r="K3" s="32" t="s">
        <v>7</v>
      </c>
      <c r="L3" s="32" t="s">
        <v>8</v>
      </c>
      <c r="M3" s="35" t="s">
        <v>9</v>
      </c>
      <c r="N3" s="31" t="s">
        <v>4</v>
      </c>
      <c r="O3" s="32" t="s">
        <v>5</v>
      </c>
      <c r="P3" s="32" t="s">
        <v>6</v>
      </c>
      <c r="Q3" s="32" t="s">
        <v>7</v>
      </c>
      <c r="R3" s="32" t="s">
        <v>8</v>
      </c>
      <c r="S3" s="36" t="s">
        <v>9</v>
      </c>
    </row>
    <row r="4" spans="1:19" ht="16.149999999999999" customHeight="1" x14ac:dyDescent="0.2">
      <c r="A4" s="47">
        <v>1</v>
      </c>
      <c r="B4" s="20">
        <v>54429.54</v>
      </c>
      <c r="C4" s="7">
        <v>20841.73</v>
      </c>
      <c r="D4" s="7">
        <v>4468.3</v>
      </c>
      <c r="E4" s="7">
        <v>4602.87</v>
      </c>
      <c r="F4" s="7">
        <v>1344.08</v>
      </c>
      <c r="G4" s="37">
        <f t="shared" ref="G4:G35" si="0">SUM(B4:F4)</f>
        <v>85686.52</v>
      </c>
      <c r="H4" s="20">
        <v>61642.71</v>
      </c>
      <c r="I4" s="7">
        <v>20841.73</v>
      </c>
      <c r="J4" s="7">
        <v>4468.3</v>
      </c>
      <c r="K4" s="7">
        <v>4602.87</v>
      </c>
      <c r="L4" s="7">
        <v>1344.08</v>
      </c>
      <c r="M4" s="37">
        <f t="shared" ref="M4:M34" si="1">SUM(H4:L4)</f>
        <v>92899.69</v>
      </c>
      <c r="N4" s="20">
        <f>52415.84+2037.9</f>
        <v>54453.74</v>
      </c>
      <c r="O4" s="7">
        <f>18821.48+2020.25</f>
        <v>20841.73</v>
      </c>
      <c r="P4" s="7">
        <f>4366.5+101.8</f>
        <v>4468.3</v>
      </c>
      <c r="Q4" s="7">
        <f>4090.36+512.5</f>
        <v>4602.8600000000006</v>
      </c>
      <c r="R4" s="7">
        <f>1266.93+77.15</f>
        <v>1344.0800000000002</v>
      </c>
      <c r="S4" s="37">
        <f t="shared" ref="S4:S34" si="2">SUM(N4:R4)</f>
        <v>85710.71</v>
      </c>
    </row>
    <row r="5" spans="1:19" ht="16.149999999999999" customHeight="1" x14ac:dyDescent="0.2">
      <c r="A5" s="47">
        <v>2</v>
      </c>
      <c r="B5" s="25">
        <v>88975.95</v>
      </c>
      <c r="C5" s="26">
        <v>29100.959999999999</v>
      </c>
      <c r="D5" s="26">
        <v>10907.41</v>
      </c>
      <c r="E5" s="27">
        <v>7893.84</v>
      </c>
      <c r="F5" s="26">
        <v>2854.71</v>
      </c>
      <c r="G5" s="38">
        <f t="shared" si="0"/>
        <v>139732.87</v>
      </c>
      <c r="H5" s="25">
        <v>94102.68</v>
      </c>
      <c r="I5" s="26">
        <v>29100.91</v>
      </c>
      <c r="J5" s="26">
        <v>11292.84</v>
      </c>
      <c r="K5" s="26">
        <v>8344.4500000000007</v>
      </c>
      <c r="L5" s="26">
        <v>2854.71</v>
      </c>
      <c r="M5" s="37">
        <f t="shared" si="1"/>
        <v>145695.59</v>
      </c>
      <c r="N5" s="19">
        <f>86270.66+2776.3</f>
        <v>89046.96</v>
      </c>
      <c r="O5" s="8">
        <f>26459.61+2644.35</f>
        <v>29103.96</v>
      </c>
      <c r="P5" s="8">
        <f>10760.93+164.7</f>
        <v>10925.630000000001</v>
      </c>
      <c r="Q5" s="7">
        <f>7120.49+773.35</f>
        <v>7893.84</v>
      </c>
      <c r="R5" s="7">
        <f>2701.66+153.05</f>
        <v>2854.71</v>
      </c>
      <c r="S5" s="37">
        <f t="shared" si="2"/>
        <v>139825.1</v>
      </c>
    </row>
    <row r="6" spans="1:19" ht="16.149999999999999" customHeight="1" x14ac:dyDescent="0.2">
      <c r="A6" s="47">
        <v>3</v>
      </c>
      <c r="B6" s="20">
        <v>304014.31</v>
      </c>
      <c r="C6" s="7">
        <v>109965.96</v>
      </c>
      <c r="D6" s="7">
        <v>35379.53</v>
      </c>
      <c r="E6" s="7">
        <v>32014.53</v>
      </c>
      <c r="F6" s="7">
        <v>10934.66</v>
      </c>
      <c r="G6" s="37">
        <f t="shared" si="0"/>
        <v>492308.99000000005</v>
      </c>
      <c r="H6" s="20">
        <v>305654.87</v>
      </c>
      <c r="I6" s="7">
        <v>109281.04</v>
      </c>
      <c r="J6" s="7">
        <v>35721.06</v>
      </c>
      <c r="K6" s="7">
        <v>35683.14</v>
      </c>
      <c r="L6" s="7">
        <v>10934.66</v>
      </c>
      <c r="M6" s="37">
        <f t="shared" si="1"/>
        <v>497274.76999999996</v>
      </c>
      <c r="N6" s="20">
        <f>293738.17+11916.7</f>
        <v>305654.87</v>
      </c>
      <c r="O6" s="7">
        <f>99350.29+9930.8</f>
        <v>109281.09</v>
      </c>
      <c r="P6" s="7">
        <f>34713.75+819.1</f>
        <v>35532.85</v>
      </c>
      <c r="Q6" s="7">
        <f>32607.44+3075.7</f>
        <v>35683.14</v>
      </c>
      <c r="R6" s="7">
        <f>10338.27+596.4</f>
        <v>10934.67</v>
      </c>
      <c r="S6" s="37">
        <f t="shared" si="2"/>
        <v>497086.61999999994</v>
      </c>
    </row>
    <row r="7" spans="1:19" ht="16.149999999999999" customHeight="1" x14ac:dyDescent="0.2">
      <c r="A7" s="47">
        <v>4</v>
      </c>
      <c r="B7" s="20">
        <v>324340.01</v>
      </c>
      <c r="C7" s="7">
        <v>115893.35</v>
      </c>
      <c r="D7" s="7">
        <v>38154.43</v>
      </c>
      <c r="E7" s="7">
        <v>38794.410000000003</v>
      </c>
      <c r="F7" s="7">
        <v>11488.56</v>
      </c>
      <c r="G7" s="37">
        <f t="shared" si="0"/>
        <v>528670.76</v>
      </c>
      <c r="H7" s="20">
        <v>323438.21999999997</v>
      </c>
      <c r="I7" s="7">
        <v>116208.19</v>
      </c>
      <c r="J7" s="7">
        <v>38182.550000000003</v>
      </c>
      <c r="K7" s="7">
        <v>39051.01</v>
      </c>
      <c r="L7" s="7">
        <v>10790.06</v>
      </c>
      <c r="M7" s="37">
        <f t="shared" si="1"/>
        <v>527670.03</v>
      </c>
      <c r="N7" s="21">
        <f>310426.52+12994.3</f>
        <v>323420.82</v>
      </c>
      <c r="O7" s="5">
        <f>105894.94+9556.55</f>
        <v>115451.49</v>
      </c>
      <c r="P7" s="6">
        <f>37316.05+866.5</f>
        <v>38182.550000000003</v>
      </c>
      <c r="Q7" s="7">
        <f>35797.26+3253.75</f>
        <v>39051.01</v>
      </c>
      <c r="R7" s="6">
        <f>10758.22+730.35</f>
        <v>11488.57</v>
      </c>
      <c r="S7" s="37">
        <f t="shared" si="2"/>
        <v>527594.43999999994</v>
      </c>
    </row>
    <row r="8" spans="1:19" ht="16.149999999999999" customHeight="1" x14ac:dyDescent="0.2">
      <c r="A8" s="47">
        <v>5</v>
      </c>
      <c r="B8" s="28">
        <v>326531.03000000003</v>
      </c>
      <c r="C8" s="7">
        <v>116582.91</v>
      </c>
      <c r="D8" s="7">
        <v>39192.269999999997</v>
      </c>
      <c r="E8" s="7">
        <v>38634.5</v>
      </c>
      <c r="F8" s="7">
        <v>11461.45</v>
      </c>
      <c r="G8" s="37">
        <f t="shared" si="0"/>
        <v>532402.16</v>
      </c>
      <c r="H8" s="20">
        <v>325102.93</v>
      </c>
      <c r="I8" s="7">
        <v>83912.19</v>
      </c>
      <c r="J8" s="7">
        <v>37538.32</v>
      </c>
      <c r="K8" s="7">
        <v>35847.589999999997</v>
      </c>
      <c r="L8" s="7">
        <v>11124.46</v>
      </c>
      <c r="M8" s="37">
        <f t="shared" si="1"/>
        <v>493525.49000000005</v>
      </c>
      <c r="N8" s="22">
        <f>312360.28+12742.65</f>
        <v>325102.93000000005</v>
      </c>
      <c r="O8" s="5">
        <f>76633.39+7278.85</f>
        <v>83912.24</v>
      </c>
      <c r="P8" s="9">
        <f>36619.81+918.5</f>
        <v>37538.31</v>
      </c>
      <c r="Q8" s="7">
        <f>35699.04+3407.15</f>
        <v>39106.19</v>
      </c>
      <c r="R8" s="11">
        <f>10443.26+681.2</f>
        <v>11124.460000000001</v>
      </c>
      <c r="S8" s="37">
        <f t="shared" si="2"/>
        <v>496784.13000000006</v>
      </c>
    </row>
    <row r="9" spans="1:19" ht="16.149999999999999" customHeight="1" x14ac:dyDescent="0.2">
      <c r="A9" s="47">
        <v>6</v>
      </c>
      <c r="B9" s="20">
        <v>324987.11</v>
      </c>
      <c r="C9" s="7">
        <v>114562.71</v>
      </c>
      <c r="D9" s="7">
        <v>39119.68</v>
      </c>
      <c r="E9" s="7">
        <v>37818.26</v>
      </c>
      <c r="F9" s="7">
        <v>11352.99</v>
      </c>
      <c r="G9" s="37">
        <f t="shared" si="0"/>
        <v>527840.75</v>
      </c>
      <c r="H9" s="20">
        <v>327740.49</v>
      </c>
      <c r="I9" s="7">
        <v>147654.04999999999</v>
      </c>
      <c r="J9" s="7">
        <v>40914.36</v>
      </c>
      <c r="K9" s="7">
        <v>36583.589999999997</v>
      </c>
      <c r="L9" s="7">
        <v>11689.98</v>
      </c>
      <c r="M9" s="37">
        <f t="shared" si="1"/>
        <v>564582.47</v>
      </c>
      <c r="N9" s="20">
        <f>314526.25+12900.5</f>
        <v>327426.75</v>
      </c>
      <c r="O9" s="8">
        <f>134732.73+12501.85</f>
        <v>147234.58000000002</v>
      </c>
      <c r="P9" s="7">
        <f>40021.06+893.35</f>
        <v>40914.409999999996</v>
      </c>
      <c r="Q9" s="7">
        <f>33544.64+3038.95</f>
        <v>36583.589999999997</v>
      </c>
      <c r="R9" s="27">
        <f>10978.68+711.3</f>
        <v>11689.98</v>
      </c>
      <c r="S9" s="37">
        <f t="shared" si="2"/>
        <v>563849.30999999994</v>
      </c>
    </row>
    <row r="10" spans="1:19" ht="16.149999999999999" customHeight="1" x14ac:dyDescent="0.2">
      <c r="A10" s="47">
        <v>7</v>
      </c>
      <c r="B10" s="20">
        <v>313318.17</v>
      </c>
      <c r="C10" s="7">
        <v>107708</v>
      </c>
      <c r="D10" s="7">
        <v>37923.410000000003</v>
      </c>
      <c r="E10" s="7">
        <v>35345.58</v>
      </c>
      <c r="F10" s="7">
        <v>11310.39</v>
      </c>
      <c r="G10" s="37">
        <f t="shared" si="0"/>
        <v>505605.55</v>
      </c>
      <c r="H10" s="29">
        <v>315909.96999999997</v>
      </c>
      <c r="I10" s="7">
        <v>108490.72</v>
      </c>
      <c r="J10" s="7">
        <v>38019.86</v>
      </c>
      <c r="K10" s="7">
        <v>37124.870000000003</v>
      </c>
      <c r="L10" s="7">
        <v>11310.39</v>
      </c>
      <c r="M10" s="37">
        <f t="shared" si="1"/>
        <v>510855.80999999994</v>
      </c>
      <c r="N10" s="20">
        <f>303913.37+12014.05</f>
        <v>315927.42</v>
      </c>
      <c r="O10" s="7">
        <f>98451.01+9643.9</f>
        <v>108094.90999999999</v>
      </c>
      <c r="P10" s="7">
        <f>37154.06+865.8</f>
        <v>38019.86</v>
      </c>
      <c r="Q10" s="7">
        <f>33885.96+3238.9</f>
        <v>37124.86</v>
      </c>
      <c r="R10" s="7">
        <f>10668.03+642.35</f>
        <v>11310.380000000001</v>
      </c>
      <c r="S10" s="37">
        <f t="shared" si="2"/>
        <v>510477.42999999993</v>
      </c>
    </row>
    <row r="11" spans="1:19" ht="16.149999999999999" customHeight="1" x14ac:dyDescent="0.2">
      <c r="A11" s="47">
        <v>8</v>
      </c>
      <c r="B11" s="20">
        <v>211969.66</v>
      </c>
      <c r="C11" s="7">
        <v>54837.73</v>
      </c>
      <c r="D11" s="7">
        <v>23867.06</v>
      </c>
      <c r="E11" s="7">
        <v>14514.52</v>
      </c>
      <c r="F11" s="7">
        <v>7231.68</v>
      </c>
      <c r="G11" s="37">
        <f t="shared" si="0"/>
        <v>312420.65000000002</v>
      </c>
      <c r="H11" s="20">
        <v>214208.73</v>
      </c>
      <c r="I11" s="7">
        <v>55745.26</v>
      </c>
      <c r="J11" s="7">
        <v>23887.14</v>
      </c>
      <c r="K11" s="7">
        <v>14777.81</v>
      </c>
      <c r="L11" s="7">
        <v>7231.63</v>
      </c>
      <c r="M11" s="37">
        <f t="shared" si="1"/>
        <v>315850.57</v>
      </c>
      <c r="N11" s="20">
        <f>207191.28+5940.65</f>
        <v>213131.93</v>
      </c>
      <c r="O11" s="8">
        <f>51414.9+4032.1</f>
        <v>55447</v>
      </c>
      <c r="P11" s="6">
        <f>23548.59+338.55</f>
        <v>23887.14</v>
      </c>
      <c r="Q11" s="7">
        <f>13345.87+1431.95</f>
        <v>14777.820000000002</v>
      </c>
      <c r="R11" s="6">
        <f>6948.47+283.2</f>
        <v>7231.67</v>
      </c>
      <c r="S11" s="37">
        <f t="shared" si="2"/>
        <v>314475.56</v>
      </c>
    </row>
    <row r="12" spans="1:19" ht="16.149999999999999" customHeight="1" x14ac:dyDescent="0.2">
      <c r="A12" s="47">
        <v>9</v>
      </c>
      <c r="B12" s="28">
        <v>93896.67</v>
      </c>
      <c r="C12" s="7">
        <v>26599.59</v>
      </c>
      <c r="D12" s="7">
        <v>11101.89</v>
      </c>
      <c r="E12" s="7">
        <v>7906.08</v>
      </c>
      <c r="F12" s="7">
        <v>3001.9</v>
      </c>
      <c r="G12" s="37">
        <f t="shared" si="0"/>
        <v>142506.12999999998</v>
      </c>
      <c r="H12" s="20">
        <v>94024.07</v>
      </c>
      <c r="I12" s="7">
        <v>26599.59</v>
      </c>
      <c r="J12" s="7">
        <v>11109.64</v>
      </c>
      <c r="K12" s="7">
        <v>7906.03</v>
      </c>
      <c r="L12" s="7">
        <v>3001.9</v>
      </c>
      <c r="M12" s="37">
        <f t="shared" si="1"/>
        <v>142641.22999999998</v>
      </c>
      <c r="N12" s="23">
        <f>91348.27+2675.8</f>
        <v>94024.07</v>
      </c>
      <c r="O12" s="11">
        <f>24241.69+2357.9</f>
        <v>26599.59</v>
      </c>
      <c r="P12" s="10">
        <f>10932.24+177.4</f>
        <v>11109.64</v>
      </c>
      <c r="Q12" s="7">
        <f>7062.64+843.45</f>
        <v>7906.09</v>
      </c>
      <c r="R12" s="10">
        <f>2866.35+135.55</f>
        <v>3001.9</v>
      </c>
      <c r="S12" s="37">
        <f t="shared" si="2"/>
        <v>142641.28999999998</v>
      </c>
    </row>
    <row r="13" spans="1:19" ht="16.149999999999999" customHeight="1" x14ac:dyDescent="0.2">
      <c r="A13" s="47">
        <v>10</v>
      </c>
      <c r="B13" s="20">
        <v>323902.59999999998</v>
      </c>
      <c r="C13" s="7">
        <v>109849.67</v>
      </c>
      <c r="D13" s="7">
        <v>39200.83</v>
      </c>
      <c r="E13" s="7">
        <v>36258.370000000003</v>
      </c>
      <c r="F13" s="7">
        <v>11461.45</v>
      </c>
      <c r="G13" s="37">
        <f t="shared" si="0"/>
        <v>520672.92</v>
      </c>
      <c r="H13" s="20">
        <v>325440.11</v>
      </c>
      <c r="I13" s="7">
        <v>108914.83</v>
      </c>
      <c r="J13" s="7">
        <v>39236.36</v>
      </c>
      <c r="K13" s="7">
        <v>36340.9</v>
      </c>
      <c r="L13" s="7">
        <v>11461.45</v>
      </c>
      <c r="M13" s="37">
        <f t="shared" si="1"/>
        <v>521393.65</v>
      </c>
      <c r="N13" s="19">
        <f>313046.81+12393.3</f>
        <v>325440.11</v>
      </c>
      <c r="O13" s="8">
        <f>99705.43+9209.4</f>
        <v>108914.82999999999</v>
      </c>
      <c r="P13" s="12">
        <f>38463.66+772.75</f>
        <v>39236.410000000003</v>
      </c>
      <c r="Q13" s="7">
        <f>33233.26+3107.65</f>
        <v>36340.910000000003</v>
      </c>
      <c r="R13" s="12">
        <f>10815.6+645.85</f>
        <v>11461.45</v>
      </c>
      <c r="S13" s="37">
        <f t="shared" si="2"/>
        <v>521393.71</v>
      </c>
    </row>
    <row r="14" spans="1:19" ht="16.149999999999999" customHeight="1" x14ac:dyDescent="0.2">
      <c r="A14" s="47">
        <v>11</v>
      </c>
      <c r="B14" s="20">
        <v>320831.40999999997</v>
      </c>
      <c r="C14" s="7">
        <v>112801.64</v>
      </c>
      <c r="D14" s="7">
        <v>39094.33</v>
      </c>
      <c r="E14" s="7">
        <v>35351.94</v>
      </c>
      <c r="F14" s="7">
        <v>10775.85</v>
      </c>
      <c r="G14" s="37">
        <f t="shared" si="0"/>
        <v>518855.17</v>
      </c>
      <c r="H14" s="20">
        <v>321252.42</v>
      </c>
      <c r="I14" s="7">
        <v>113273.05</v>
      </c>
      <c r="J14" s="7">
        <v>38142.239999999998</v>
      </c>
      <c r="K14" s="7">
        <v>34687.29</v>
      </c>
      <c r="L14" s="7">
        <v>10775.85</v>
      </c>
      <c r="M14" s="37">
        <f t="shared" si="1"/>
        <v>518130.84999999992</v>
      </c>
      <c r="N14" s="22">
        <f>309058.3+12604.65</f>
        <v>321662.95</v>
      </c>
      <c r="O14" s="7">
        <f>103473.84+9327.8</f>
        <v>112801.64</v>
      </c>
      <c r="P14" s="8">
        <f>37362.84+779.45</f>
        <v>38142.289999999994</v>
      </c>
      <c r="Q14" s="7">
        <f>31989.49+2697.8</f>
        <v>34687.29</v>
      </c>
      <c r="R14" s="8">
        <f>10197.75+578.1</f>
        <v>10775.85</v>
      </c>
      <c r="S14" s="37">
        <f t="shared" si="2"/>
        <v>518070.01999999996</v>
      </c>
    </row>
    <row r="15" spans="1:19" ht="16.149999999999999" customHeight="1" x14ac:dyDescent="0.2">
      <c r="A15" s="47">
        <v>12</v>
      </c>
      <c r="B15" s="20">
        <v>318769.32</v>
      </c>
      <c r="C15" s="7">
        <v>110695.6</v>
      </c>
      <c r="D15" s="27">
        <v>37685.699999999997</v>
      </c>
      <c r="E15" s="7">
        <v>35329.03</v>
      </c>
      <c r="F15" s="7">
        <v>10810.72</v>
      </c>
      <c r="G15" s="37">
        <f t="shared" si="0"/>
        <v>513290.37</v>
      </c>
      <c r="H15" s="20">
        <v>319301.27</v>
      </c>
      <c r="I15" s="7">
        <v>112376.57</v>
      </c>
      <c r="J15" s="7">
        <v>38731.760000000002</v>
      </c>
      <c r="K15" s="7">
        <v>32949.410000000003</v>
      </c>
      <c r="L15" s="7">
        <v>10810.67</v>
      </c>
      <c r="M15" s="37">
        <f t="shared" si="1"/>
        <v>514169.68</v>
      </c>
      <c r="N15" s="21">
        <f>306925.52+12375.75</f>
        <v>319301.27</v>
      </c>
      <c r="O15" s="8">
        <f>101738.21+9522.1</f>
        <v>111260.31000000001</v>
      </c>
      <c r="P15" s="7">
        <f>37988.96+742.85</f>
        <v>38731.81</v>
      </c>
      <c r="Q15" s="7">
        <f>32823.33+2891.65</f>
        <v>35714.980000000003</v>
      </c>
      <c r="R15" s="7">
        <f>10186.21+624.5</f>
        <v>10810.71</v>
      </c>
      <c r="S15" s="37">
        <f t="shared" si="2"/>
        <v>515819.08</v>
      </c>
    </row>
    <row r="16" spans="1:19" ht="16.149999999999999" customHeight="1" x14ac:dyDescent="0.2">
      <c r="A16" s="47">
        <v>13</v>
      </c>
      <c r="B16" s="28">
        <v>317324.53000000003</v>
      </c>
      <c r="C16" s="7">
        <v>110952.11</v>
      </c>
      <c r="D16" s="7">
        <v>37024.83</v>
      </c>
      <c r="E16" s="7">
        <v>35181.46</v>
      </c>
      <c r="F16" s="7">
        <v>10779.73</v>
      </c>
      <c r="G16" s="37">
        <f t="shared" si="0"/>
        <v>511262.66000000003</v>
      </c>
      <c r="H16" s="20">
        <v>317781.59000000003</v>
      </c>
      <c r="I16" s="7">
        <v>110478.98</v>
      </c>
      <c r="J16" s="7">
        <v>37024.78</v>
      </c>
      <c r="K16" s="7">
        <v>35748.410000000003</v>
      </c>
      <c r="L16" s="7">
        <v>10779.68</v>
      </c>
      <c r="M16" s="37">
        <f t="shared" si="1"/>
        <v>511813.44</v>
      </c>
      <c r="N16" s="20">
        <f>305620.25+12161.35</f>
        <v>317781.59999999998</v>
      </c>
      <c r="O16" s="7">
        <f>100840.13+9638.85</f>
        <v>110478.98000000001</v>
      </c>
      <c r="P16" s="7">
        <f>36203.77+821.05</f>
        <v>37024.82</v>
      </c>
      <c r="Q16" s="7">
        <f>32763.07+2985.35</f>
        <v>35748.42</v>
      </c>
      <c r="R16" s="7">
        <f>10146.83+632.9</f>
        <v>10779.73</v>
      </c>
      <c r="S16" s="37">
        <f t="shared" si="2"/>
        <v>511813.54999999993</v>
      </c>
    </row>
    <row r="17" spans="1:20" ht="16.149999999999999" customHeight="1" x14ac:dyDescent="0.2">
      <c r="A17" s="47">
        <v>14</v>
      </c>
      <c r="B17" s="20">
        <v>310778.02</v>
      </c>
      <c r="C17" s="7">
        <v>108532.46</v>
      </c>
      <c r="D17" s="7">
        <v>36830.29</v>
      </c>
      <c r="E17" s="7">
        <v>33925.040000000001</v>
      </c>
      <c r="F17" s="7">
        <v>10462.11</v>
      </c>
      <c r="G17" s="37">
        <f t="shared" si="0"/>
        <v>500527.92</v>
      </c>
      <c r="H17" s="20">
        <v>260949.77</v>
      </c>
      <c r="I17" s="7">
        <v>111314.77</v>
      </c>
      <c r="J17" s="7">
        <v>32823.120000000003</v>
      </c>
      <c r="K17" s="7">
        <v>30708.09</v>
      </c>
      <c r="L17" s="7">
        <v>8788.7900000000009</v>
      </c>
      <c r="M17" s="37">
        <f t="shared" si="1"/>
        <v>444584.54</v>
      </c>
      <c r="N17" s="21">
        <f>251232.47+9756.85</f>
        <v>260989.32</v>
      </c>
      <c r="O17" s="8">
        <f>99949.78+9441</f>
        <v>109390.78</v>
      </c>
      <c r="P17" s="6">
        <f>32201.02+622.15</f>
        <v>32823.17</v>
      </c>
      <c r="Q17" s="7">
        <f>28008.29+2699.8</f>
        <v>30708.09</v>
      </c>
      <c r="R17" s="6">
        <f>8348.74+440.05</f>
        <v>8788.7899999999991</v>
      </c>
      <c r="S17" s="37">
        <f t="shared" si="2"/>
        <v>442700.14999999997</v>
      </c>
    </row>
    <row r="18" spans="1:20" ht="16.149999999999999" customHeight="1" x14ac:dyDescent="0.2">
      <c r="A18" s="47">
        <v>15</v>
      </c>
      <c r="B18" s="20">
        <v>212966.27</v>
      </c>
      <c r="C18" s="7">
        <v>57818.11</v>
      </c>
      <c r="D18" s="7">
        <v>23001.32</v>
      </c>
      <c r="E18" s="7">
        <v>15078.55</v>
      </c>
      <c r="F18" s="7">
        <v>6755.24</v>
      </c>
      <c r="G18" s="37">
        <f t="shared" si="0"/>
        <v>315619.49</v>
      </c>
      <c r="H18" s="20">
        <v>262367.78000000003</v>
      </c>
      <c r="I18" s="7">
        <v>57818.11</v>
      </c>
      <c r="J18" s="7">
        <v>27008.400000000001</v>
      </c>
      <c r="K18" s="7">
        <v>18295.5</v>
      </c>
      <c r="L18" s="7">
        <v>8428.56</v>
      </c>
      <c r="M18" s="37">
        <f t="shared" si="1"/>
        <v>373918.35000000003</v>
      </c>
      <c r="N18" s="23">
        <f>254131.78+4604.15</f>
        <v>258735.93</v>
      </c>
      <c r="O18" s="11">
        <f>52213.96+4604.15</f>
        <v>56818.11</v>
      </c>
      <c r="P18" s="10">
        <f>26579.1+429.35</f>
        <v>27008.449999999997</v>
      </c>
      <c r="Q18" s="7">
        <f>16515.1+1780.4</f>
        <v>18295.5</v>
      </c>
      <c r="R18" s="10">
        <f>8014.47+414.1</f>
        <v>8428.57</v>
      </c>
      <c r="S18" s="37">
        <f t="shared" si="2"/>
        <v>369286.56</v>
      </c>
    </row>
    <row r="19" spans="1:20" ht="16.149999999999999" customHeight="1" x14ac:dyDescent="0.2">
      <c r="A19" s="47">
        <v>16</v>
      </c>
      <c r="B19" s="20">
        <v>97055.52</v>
      </c>
      <c r="C19" s="7">
        <v>29973.43</v>
      </c>
      <c r="D19" s="7">
        <v>10844.24</v>
      </c>
      <c r="E19" s="7">
        <v>7805.85</v>
      </c>
      <c r="F19" s="7">
        <v>2908.94</v>
      </c>
      <c r="G19" s="37">
        <f t="shared" si="0"/>
        <v>148587.98000000001</v>
      </c>
      <c r="H19" s="20">
        <v>98353.12</v>
      </c>
      <c r="I19" s="7">
        <v>29973.38</v>
      </c>
      <c r="J19" s="7">
        <v>10844.19</v>
      </c>
      <c r="K19" s="7">
        <v>7805.8</v>
      </c>
      <c r="L19" s="7">
        <v>2908.89</v>
      </c>
      <c r="M19" s="37">
        <f t="shared" si="1"/>
        <v>149885.38</v>
      </c>
      <c r="N19" s="20">
        <f>95531.52+2821.6</f>
        <v>98353.12000000001</v>
      </c>
      <c r="O19" s="8">
        <f>27466.63+2506.8</f>
        <v>29973.43</v>
      </c>
      <c r="P19" s="7">
        <f>10707.89+136.35</f>
        <v>10844.24</v>
      </c>
      <c r="Q19" s="10">
        <f>7014+791.85</f>
        <v>7805.85</v>
      </c>
      <c r="R19" s="7">
        <f>2755.44+153.5</f>
        <v>2908.94</v>
      </c>
      <c r="S19" s="37">
        <f t="shared" si="2"/>
        <v>149885.58000000002</v>
      </c>
    </row>
    <row r="20" spans="1:20" ht="16.149999999999999" customHeight="1" x14ac:dyDescent="0.2">
      <c r="A20" s="47">
        <v>17</v>
      </c>
      <c r="B20" s="20">
        <v>311417.52</v>
      </c>
      <c r="C20" s="7">
        <v>111461.44</v>
      </c>
      <c r="D20" s="7">
        <v>36106.870000000003</v>
      </c>
      <c r="E20" s="7">
        <v>34233.67</v>
      </c>
      <c r="F20" s="7">
        <v>10613.17</v>
      </c>
      <c r="G20" s="37">
        <f t="shared" si="0"/>
        <v>503832.67</v>
      </c>
      <c r="H20" s="20">
        <v>312768.43</v>
      </c>
      <c r="I20" s="7">
        <v>111461.44</v>
      </c>
      <c r="J20" s="7">
        <v>36106.83</v>
      </c>
      <c r="K20" s="7">
        <v>34233.67</v>
      </c>
      <c r="L20" s="7">
        <v>10613.12</v>
      </c>
      <c r="M20" s="37">
        <f t="shared" si="1"/>
        <v>505183.49</v>
      </c>
      <c r="N20" s="20">
        <f>294328.99+11699.55</f>
        <v>306028.53999999998</v>
      </c>
      <c r="O20" s="8">
        <f>101363.94+10097.5</f>
        <v>111461.44</v>
      </c>
      <c r="P20" s="7">
        <f>35376.73+730.15</f>
        <v>36106.880000000005</v>
      </c>
      <c r="Q20" s="7">
        <f>31367.26+2866.4</f>
        <v>34233.659999999996</v>
      </c>
      <c r="R20" s="7">
        <f>10023.72+589.45</f>
        <v>10613.17</v>
      </c>
      <c r="S20" s="37">
        <f t="shared" si="2"/>
        <v>498443.68999999994</v>
      </c>
    </row>
    <row r="21" spans="1:20" ht="16.149999999999999" customHeight="1" x14ac:dyDescent="0.2">
      <c r="A21" s="47">
        <v>18</v>
      </c>
      <c r="B21" s="20">
        <v>315965.92</v>
      </c>
      <c r="C21" s="7">
        <v>115323.86</v>
      </c>
      <c r="D21" s="7">
        <v>35963.800000000003</v>
      </c>
      <c r="E21" s="7">
        <v>35697.53</v>
      </c>
      <c r="F21" s="7">
        <v>10954.03</v>
      </c>
      <c r="G21" s="37">
        <f t="shared" si="0"/>
        <v>513905.14</v>
      </c>
      <c r="H21" s="20">
        <v>326315.78999999998</v>
      </c>
      <c r="I21" s="30">
        <v>113342.96</v>
      </c>
      <c r="J21" s="7">
        <v>36331.050000000003</v>
      </c>
      <c r="K21" s="7">
        <v>36148.19</v>
      </c>
      <c r="L21" s="7">
        <v>10950.16</v>
      </c>
      <c r="M21" s="37">
        <f t="shared" si="1"/>
        <v>523088.14999999997</v>
      </c>
      <c r="N21" s="20">
        <f>308709.07+12551</f>
        <v>321260.07</v>
      </c>
      <c r="O21" s="30">
        <f>103598.87+9744.1</f>
        <v>113342.97</v>
      </c>
      <c r="P21" s="7">
        <f>35108.45+855.35</f>
        <v>35963.799999999996</v>
      </c>
      <c r="Q21" s="7">
        <f>32555.33+3142.2</f>
        <v>35697.53</v>
      </c>
      <c r="R21" s="7">
        <f>10267.11+683.05</f>
        <v>10950.16</v>
      </c>
      <c r="S21" s="37">
        <f>SUM(N21:R21)</f>
        <v>517214.52999999997</v>
      </c>
    </row>
    <row r="22" spans="1:20" ht="16.149999999999999" customHeight="1" x14ac:dyDescent="0.2">
      <c r="A22" s="47">
        <v>19</v>
      </c>
      <c r="B22" s="20">
        <v>319722.7</v>
      </c>
      <c r="C22" s="7">
        <v>113851.72</v>
      </c>
      <c r="D22" s="7">
        <v>35940.080000000002</v>
      </c>
      <c r="E22" s="7">
        <v>35948.54</v>
      </c>
      <c r="F22" s="7">
        <v>10934.66</v>
      </c>
      <c r="G22" s="37">
        <f t="shared" si="0"/>
        <v>516397.7</v>
      </c>
      <c r="H22" s="20">
        <v>319902.12</v>
      </c>
      <c r="I22" s="7">
        <v>114917.05</v>
      </c>
      <c r="J22" s="7">
        <v>36128.300000000003</v>
      </c>
      <c r="K22" s="7">
        <v>35890.629999999997</v>
      </c>
      <c r="L22" s="7">
        <v>10934.66</v>
      </c>
      <c r="M22" s="37">
        <f t="shared" si="1"/>
        <v>517772.75999999995</v>
      </c>
      <c r="N22" s="20">
        <f>307480.32+12421.8</f>
        <v>319902.12</v>
      </c>
      <c r="O22" s="8">
        <f>104264.61+9895.75</f>
        <v>114160.36</v>
      </c>
      <c r="P22" s="7">
        <f>35129.48+810.6</f>
        <v>35940.080000000002</v>
      </c>
      <c r="Q22" s="7">
        <f>32808.83+3081.8</f>
        <v>35890.630000000005</v>
      </c>
      <c r="R22" s="7">
        <f>10309.17+625.5</f>
        <v>10934.67</v>
      </c>
      <c r="S22" s="37">
        <f t="shared" si="2"/>
        <v>516827.86</v>
      </c>
    </row>
    <row r="23" spans="1:20" ht="16.149999999999999" customHeight="1" x14ac:dyDescent="0.2">
      <c r="A23" s="82">
        <v>20</v>
      </c>
      <c r="B23" s="20">
        <v>252300.14</v>
      </c>
      <c r="C23" s="7">
        <v>71003.039999999994</v>
      </c>
      <c r="D23" s="7">
        <v>29820.93</v>
      </c>
      <c r="E23" s="7">
        <v>15055.03</v>
      </c>
      <c r="F23" s="7">
        <v>8021.85</v>
      </c>
      <c r="G23" s="37">
        <f t="shared" si="0"/>
        <v>376200.99</v>
      </c>
      <c r="H23" s="20">
        <v>252439.29</v>
      </c>
      <c r="I23" s="7">
        <v>70124.009999999995</v>
      </c>
      <c r="J23" s="7">
        <v>29820.93</v>
      </c>
      <c r="K23" s="7">
        <v>15055.03</v>
      </c>
      <c r="L23" s="7">
        <v>8021.85</v>
      </c>
      <c r="M23" s="37">
        <f t="shared" si="1"/>
        <v>375461.11</v>
      </c>
      <c r="N23" s="23">
        <f>245761.44+6677.9</f>
        <v>252439.34</v>
      </c>
      <c r="O23" s="11">
        <f>64774.46+5349.55</f>
        <v>70124.009999999995</v>
      </c>
      <c r="P23" s="10">
        <f>29223.44+597.5</f>
        <v>29820.94</v>
      </c>
      <c r="Q23" s="10">
        <f>13317.27+1737.75</f>
        <v>15055.02</v>
      </c>
      <c r="R23" s="10">
        <f>7629.5+392.35</f>
        <v>8021.85</v>
      </c>
      <c r="S23" s="37">
        <f t="shared" si="2"/>
        <v>375461.16</v>
      </c>
    </row>
    <row r="24" spans="1:20" ht="16.149999999999999" customHeight="1" x14ac:dyDescent="0.2">
      <c r="A24" s="47">
        <v>21</v>
      </c>
      <c r="B24" s="20">
        <v>315071.87</v>
      </c>
      <c r="C24" s="7">
        <v>106779.86</v>
      </c>
      <c r="D24" s="7">
        <v>35907.46</v>
      </c>
      <c r="E24" s="7">
        <v>27633.22</v>
      </c>
      <c r="F24" s="7">
        <v>10640.28</v>
      </c>
      <c r="G24" s="37">
        <f t="shared" si="0"/>
        <v>496032.69000000006</v>
      </c>
      <c r="H24" s="20">
        <v>310660.90999999997</v>
      </c>
      <c r="I24" s="7">
        <v>102945.22</v>
      </c>
      <c r="J24" s="7">
        <v>35907.42</v>
      </c>
      <c r="K24" s="7">
        <v>26060.13</v>
      </c>
      <c r="L24" s="7">
        <v>10640.24</v>
      </c>
      <c r="M24" s="37">
        <f t="shared" si="1"/>
        <v>486213.92</v>
      </c>
      <c r="N24" s="20">
        <f>298895.86+11451.3</f>
        <v>310347.15999999997</v>
      </c>
      <c r="O24" s="11">
        <f>94028.07+8917.15</f>
        <v>102945.22</v>
      </c>
      <c r="P24" s="10">
        <f>35174.91+732.55</f>
        <v>35907.460000000006</v>
      </c>
      <c r="Q24" s="7">
        <f>23390.03+2670.15</f>
        <v>26060.18</v>
      </c>
      <c r="R24" s="10">
        <f>10020.58+619.7</f>
        <v>10640.28</v>
      </c>
      <c r="S24" s="37">
        <f t="shared" si="2"/>
        <v>485900.30000000005</v>
      </c>
    </row>
    <row r="25" spans="1:20" ht="16.149999999999999" customHeight="1" x14ac:dyDescent="0.2">
      <c r="A25" s="47">
        <v>22</v>
      </c>
      <c r="B25" s="20">
        <v>216654.44</v>
      </c>
      <c r="C25" s="7">
        <v>58463.3</v>
      </c>
      <c r="D25" s="7">
        <v>22684.09</v>
      </c>
      <c r="E25" s="7">
        <v>15690.89</v>
      </c>
      <c r="F25" s="7">
        <v>6774.61</v>
      </c>
      <c r="G25" s="37">
        <f t="shared" si="0"/>
        <v>320267.33</v>
      </c>
      <c r="H25" s="20">
        <v>100690.99</v>
      </c>
      <c r="I25" s="7">
        <v>60243.59</v>
      </c>
      <c r="J25" s="7">
        <v>9487.49</v>
      </c>
      <c r="K25" s="7">
        <v>11954.76</v>
      </c>
      <c r="L25" s="7">
        <v>5178.71</v>
      </c>
      <c r="M25" s="37">
        <f t="shared" si="1"/>
        <v>187555.54</v>
      </c>
      <c r="N25" s="20">
        <f>97910.94+2780.05</f>
        <v>100690.99</v>
      </c>
      <c r="O25" s="8">
        <f>55022.16+4802</f>
        <v>59824.160000000003</v>
      </c>
      <c r="P25" s="7">
        <f>9360.84+126.65</f>
        <v>9487.49</v>
      </c>
      <c r="Q25" s="7">
        <f>10883.26+1071.55</f>
        <v>11954.81</v>
      </c>
      <c r="R25" s="7">
        <f>4991.97+186.8</f>
        <v>5178.7700000000004</v>
      </c>
      <c r="S25" s="37">
        <f t="shared" si="2"/>
        <v>187136.22</v>
      </c>
    </row>
    <row r="26" spans="1:20" ht="16.149999999999999" customHeight="1" x14ac:dyDescent="0.2">
      <c r="A26" s="47">
        <v>23</v>
      </c>
      <c r="B26" s="20">
        <v>102289.85</v>
      </c>
      <c r="C26" s="7">
        <v>32369.79</v>
      </c>
      <c r="D26" s="7">
        <v>11720.87</v>
      </c>
      <c r="E26" s="7">
        <v>8314.65</v>
      </c>
      <c r="F26" s="7">
        <v>2982.53</v>
      </c>
      <c r="G26" s="37">
        <f t="shared" si="0"/>
        <v>157677.69</v>
      </c>
      <c r="H26" s="20">
        <v>219705.12</v>
      </c>
      <c r="I26" s="7">
        <v>33308.11</v>
      </c>
      <c r="J26" s="7">
        <v>24917.42</v>
      </c>
      <c r="K26" s="7">
        <v>13591.69</v>
      </c>
      <c r="L26" s="7">
        <v>4578.33</v>
      </c>
      <c r="M26" s="37">
        <f t="shared" si="1"/>
        <v>296100.67</v>
      </c>
      <c r="N26" s="20">
        <f>212751.31+69536.85</f>
        <v>282288.16000000003</v>
      </c>
      <c r="O26" s="8">
        <f>30171.41+2838.45</f>
        <v>33009.86</v>
      </c>
      <c r="P26" s="7">
        <f>24531.92+385.55</f>
        <v>24917.469999999998</v>
      </c>
      <c r="Q26" s="7">
        <f>11918.04+1673.65</f>
        <v>13591.69</v>
      </c>
      <c r="R26" s="7">
        <f>4323.13+255.25</f>
        <v>4578.38</v>
      </c>
      <c r="S26" s="37">
        <f t="shared" si="2"/>
        <v>358385.56</v>
      </c>
    </row>
    <row r="27" spans="1:20" ht="16.149999999999999" customHeight="1" x14ac:dyDescent="0.2">
      <c r="A27" s="47">
        <v>24</v>
      </c>
      <c r="B27" s="20">
        <v>323133.75</v>
      </c>
      <c r="C27" s="7">
        <v>114838.92</v>
      </c>
      <c r="D27" s="7">
        <v>36454.239999999998</v>
      </c>
      <c r="E27" s="7">
        <v>36963.620000000003</v>
      </c>
      <c r="F27" s="7">
        <v>10985.02</v>
      </c>
      <c r="G27" s="37">
        <f t="shared" si="0"/>
        <v>522375.55</v>
      </c>
      <c r="H27" s="20">
        <v>329084.90000000002</v>
      </c>
      <c r="I27" s="7">
        <v>118470.7</v>
      </c>
      <c r="J27" s="7">
        <v>36450.32</v>
      </c>
      <c r="K27" s="7">
        <v>36956.35</v>
      </c>
      <c r="L27" s="7">
        <v>10984.97</v>
      </c>
      <c r="M27" s="37">
        <f t="shared" si="1"/>
        <v>531947.24</v>
      </c>
      <c r="N27" s="18">
        <f>316249.5+12808</f>
        <v>329057.5</v>
      </c>
      <c r="O27" s="8">
        <f>106932.21+10497.4</f>
        <v>117429.61</v>
      </c>
      <c r="P27" s="6">
        <f>35507.32+943</f>
        <v>36450.32</v>
      </c>
      <c r="Q27" s="7">
        <f>33916.05+3040.3</f>
        <v>36956.350000000006</v>
      </c>
      <c r="R27" s="6">
        <f>10334.47+650.55</f>
        <v>10985.019999999999</v>
      </c>
      <c r="S27" s="37">
        <f t="shared" si="2"/>
        <v>530878.80000000005</v>
      </c>
      <c r="T27" s="3"/>
    </row>
    <row r="28" spans="1:20" ht="16.149999999999999" customHeight="1" x14ac:dyDescent="0.2">
      <c r="A28" s="47">
        <v>25</v>
      </c>
      <c r="B28" s="20">
        <v>330853.48</v>
      </c>
      <c r="C28" s="7">
        <v>119757.87</v>
      </c>
      <c r="D28" s="7">
        <v>38403.29</v>
      </c>
      <c r="E28" s="7">
        <v>39078.74</v>
      </c>
      <c r="F28" s="7">
        <v>11453.7</v>
      </c>
      <c r="G28" s="37">
        <f t="shared" si="0"/>
        <v>539547.07999999996</v>
      </c>
      <c r="H28" s="20">
        <v>329588.45</v>
      </c>
      <c r="I28" s="7">
        <v>119757.36</v>
      </c>
      <c r="J28" s="7">
        <v>38399.46</v>
      </c>
      <c r="K28" s="7">
        <v>39078.74</v>
      </c>
      <c r="L28" s="7">
        <v>11453.7</v>
      </c>
      <c r="M28" s="37">
        <f t="shared" si="1"/>
        <v>538277.71</v>
      </c>
      <c r="N28" s="23">
        <f>316231.55+13356.9</f>
        <v>329588.45</v>
      </c>
      <c r="O28" s="11">
        <f>108926.62+10800.75</f>
        <v>119727.37</v>
      </c>
      <c r="P28" s="10">
        <f>37397.76+1001.7</f>
        <v>38399.46</v>
      </c>
      <c r="Q28" s="7">
        <f>35704.15+3374.6</f>
        <v>39078.75</v>
      </c>
      <c r="R28" s="10">
        <f>10657.2+796.5</f>
        <v>11453.7</v>
      </c>
      <c r="S28" s="37">
        <f t="shared" si="2"/>
        <v>538247.73</v>
      </c>
      <c r="T28" s="3"/>
    </row>
    <row r="29" spans="1:20" ht="16.149999999999999" customHeight="1" x14ac:dyDescent="0.2">
      <c r="A29" s="47">
        <v>26</v>
      </c>
      <c r="B29" s="20">
        <v>328517.33</v>
      </c>
      <c r="C29" s="7">
        <v>119904.2</v>
      </c>
      <c r="D29" s="7">
        <v>37750.06</v>
      </c>
      <c r="E29" s="7">
        <v>38493.379999999997</v>
      </c>
      <c r="F29" s="7">
        <v>11337.5</v>
      </c>
      <c r="G29" s="37">
        <f t="shared" si="0"/>
        <v>536002.47</v>
      </c>
      <c r="H29" s="20">
        <v>322775.53000000003</v>
      </c>
      <c r="I29" s="7">
        <v>119765.33</v>
      </c>
      <c r="J29" s="7">
        <v>38161.79</v>
      </c>
      <c r="K29" s="7">
        <v>39123.22</v>
      </c>
      <c r="L29" s="7">
        <v>11333.58</v>
      </c>
      <c r="M29" s="37">
        <f t="shared" si="1"/>
        <v>531159.44999999995</v>
      </c>
      <c r="N29" s="20">
        <f>309793.58+12981.95</f>
        <v>322775.53000000003</v>
      </c>
      <c r="O29" s="7">
        <f>109690.38+10074.95</f>
        <v>119765.33</v>
      </c>
      <c r="P29" s="7">
        <f>37313.8+848</f>
        <v>38161.800000000003</v>
      </c>
      <c r="Q29" s="7">
        <f>36088.07+3035.15</f>
        <v>39123.22</v>
      </c>
      <c r="R29" s="10">
        <f>10574.27+759.35</f>
        <v>11333.62</v>
      </c>
      <c r="S29" s="37">
        <f t="shared" si="2"/>
        <v>531159.5</v>
      </c>
      <c r="T29" s="3"/>
    </row>
    <row r="30" spans="1:20" ht="16.149999999999999" customHeight="1" x14ac:dyDescent="0.2">
      <c r="A30" s="47">
        <v>27</v>
      </c>
      <c r="B30" s="20">
        <v>327338.65999999997</v>
      </c>
      <c r="C30" s="7">
        <v>118867.61</v>
      </c>
      <c r="D30" s="7">
        <v>37765.46</v>
      </c>
      <c r="E30" s="7">
        <v>38287.61</v>
      </c>
      <c r="F30" s="7">
        <v>11411.1</v>
      </c>
      <c r="G30" s="37">
        <f t="shared" si="0"/>
        <v>533670.43999999994</v>
      </c>
      <c r="H30" s="20">
        <v>331768.03000000003</v>
      </c>
      <c r="I30" s="7">
        <v>119316.45</v>
      </c>
      <c r="J30" s="7">
        <v>37761.589999999997</v>
      </c>
      <c r="K30" s="7">
        <v>38287.61</v>
      </c>
      <c r="L30" s="7">
        <v>11411.1</v>
      </c>
      <c r="M30" s="37">
        <f t="shared" si="1"/>
        <v>538544.78</v>
      </c>
      <c r="N30" s="24">
        <f>318504.49+13263.55</f>
        <v>331768.03999999998</v>
      </c>
      <c r="O30" s="5">
        <f>108638.23+10206.8</f>
        <v>118845.03</v>
      </c>
      <c r="P30" s="6">
        <f>36835.29+926.35</f>
        <v>37761.64</v>
      </c>
      <c r="Q30" s="7">
        <f>35232.81+3054.8</f>
        <v>38287.61</v>
      </c>
      <c r="R30" s="6">
        <f>10691.1+720</f>
        <v>11411.1</v>
      </c>
      <c r="S30" s="37">
        <f t="shared" si="2"/>
        <v>538073.41999999993</v>
      </c>
      <c r="T30" s="3"/>
    </row>
    <row r="31" spans="1:20" ht="16.149999999999999" customHeight="1" x14ac:dyDescent="0.2">
      <c r="A31" s="47">
        <v>28</v>
      </c>
      <c r="B31" s="20">
        <v>325585.43</v>
      </c>
      <c r="C31" s="7">
        <v>115225.64</v>
      </c>
      <c r="D31" s="7">
        <v>37963.25</v>
      </c>
      <c r="E31" s="7">
        <v>35417.93</v>
      </c>
      <c r="F31" s="7">
        <v>11124.46</v>
      </c>
      <c r="G31" s="37">
        <f t="shared" si="0"/>
        <v>525316.71</v>
      </c>
      <c r="H31" s="20">
        <v>324787.56</v>
      </c>
      <c r="I31" s="7">
        <v>116337.45</v>
      </c>
      <c r="J31" s="7">
        <v>37959.370000000003</v>
      </c>
      <c r="K31" s="7">
        <v>35409.660000000003</v>
      </c>
      <c r="L31" s="7">
        <v>10476.36</v>
      </c>
      <c r="M31" s="37">
        <f t="shared" si="1"/>
        <v>524970.4</v>
      </c>
      <c r="N31" s="20">
        <f>312371.65+12415.95</f>
        <v>324787.60000000003</v>
      </c>
      <c r="O31" s="7">
        <f>105472.04+9749.15</f>
        <v>115221.18999999999</v>
      </c>
      <c r="P31" s="7">
        <f>37080.57+878.85</f>
        <v>37959.42</v>
      </c>
      <c r="Q31" s="7">
        <f>32504+2905.65</f>
        <v>35409.65</v>
      </c>
      <c r="R31" s="7">
        <f>10446.99+673.6</f>
        <v>11120.59</v>
      </c>
      <c r="S31" s="37">
        <f t="shared" si="2"/>
        <v>524498.45000000007</v>
      </c>
    </row>
    <row r="32" spans="1:20" ht="16.149999999999999" customHeight="1" x14ac:dyDescent="0.2">
      <c r="A32" s="47">
        <v>29</v>
      </c>
      <c r="B32" s="7">
        <v>218595.93</v>
      </c>
      <c r="C32" s="7">
        <v>61482.99</v>
      </c>
      <c r="D32" s="7">
        <v>23328.13</v>
      </c>
      <c r="E32" s="7">
        <v>15925.73</v>
      </c>
      <c r="F32" s="7">
        <v>7161.95</v>
      </c>
      <c r="G32" s="37">
        <f t="shared" si="0"/>
        <v>326494.73</v>
      </c>
      <c r="H32" s="20">
        <v>220068.74</v>
      </c>
      <c r="I32" s="7">
        <v>61469.599999999999</v>
      </c>
      <c r="J32" s="7">
        <v>23324.3</v>
      </c>
      <c r="K32" s="7">
        <v>15918.47</v>
      </c>
      <c r="L32" s="7">
        <v>7161.91</v>
      </c>
      <c r="M32" s="37">
        <f t="shared" si="1"/>
        <v>327943.0199999999</v>
      </c>
      <c r="N32" s="10">
        <f>213636.79+6431.95</f>
        <v>220068.74000000002</v>
      </c>
      <c r="O32" s="10">
        <f>56269.49+5200.15</f>
        <v>61469.64</v>
      </c>
      <c r="P32" s="10">
        <f>22996.25+328.05</f>
        <v>23324.3</v>
      </c>
      <c r="Q32" s="10">
        <f>14124.17+1794.3</f>
        <v>15918.47</v>
      </c>
      <c r="R32" s="10">
        <f>6831.36+330.6</f>
        <v>7161.96</v>
      </c>
      <c r="S32" s="37">
        <f t="shared" si="2"/>
        <v>327943.11</v>
      </c>
    </row>
    <row r="33" spans="1:20" ht="16.149999999999999" customHeight="1" x14ac:dyDescent="0.2">
      <c r="A33" s="47">
        <v>30</v>
      </c>
      <c r="B33" s="7">
        <v>99401.76</v>
      </c>
      <c r="C33" s="7">
        <v>30084.71</v>
      </c>
      <c r="D33" s="7">
        <v>10546.41</v>
      </c>
      <c r="E33" s="7">
        <v>8766.84</v>
      </c>
      <c r="F33" s="7">
        <v>3060</v>
      </c>
      <c r="G33" s="37">
        <f t="shared" si="0"/>
        <v>151859.72</v>
      </c>
      <c r="H33" s="20">
        <v>98830.07</v>
      </c>
      <c r="I33" s="7">
        <v>30323.24</v>
      </c>
      <c r="J33" s="7">
        <v>10546.41</v>
      </c>
      <c r="K33" s="7">
        <v>8766.84</v>
      </c>
      <c r="L33" s="7">
        <v>3060</v>
      </c>
      <c r="M33" s="37">
        <f t="shared" si="1"/>
        <v>151526.56</v>
      </c>
      <c r="N33" s="10">
        <f>95834.52+2995.6</f>
        <v>98830.12000000001</v>
      </c>
      <c r="O33" s="10">
        <f>27290.96+2678.6</f>
        <v>29969.559999999998</v>
      </c>
      <c r="P33" s="10">
        <f>10344.21+202.2</f>
        <v>10546.41</v>
      </c>
      <c r="Q33" s="10">
        <f>7959.24+807.6</f>
        <v>8766.84</v>
      </c>
      <c r="R33" s="10">
        <f>2895.91+164.1</f>
        <v>3060.0099999999998</v>
      </c>
      <c r="S33" s="37">
        <f t="shared" si="2"/>
        <v>151172.94</v>
      </c>
    </row>
    <row r="34" spans="1:20" ht="16.149999999999999" customHeight="1" x14ac:dyDescent="0.2">
      <c r="A34" s="47">
        <v>31</v>
      </c>
      <c r="B34" s="10">
        <v>333548.61</v>
      </c>
      <c r="C34" s="10">
        <v>117339.86</v>
      </c>
      <c r="D34" s="7">
        <v>38944.42</v>
      </c>
      <c r="E34" s="7">
        <v>37938.910000000003</v>
      </c>
      <c r="F34" s="7">
        <v>11720.97</v>
      </c>
      <c r="G34" s="37">
        <f t="shared" si="0"/>
        <v>539492.7699999999</v>
      </c>
      <c r="H34" s="20">
        <v>334863.65999999997</v>
      </c>
      <c r="I34" s="7">
        <v>118993.18</v>
      </c>
      <c r="J34" s="7">
        <v>38936.769999999997</v>
      </c>
      <c r="K34" s="7">
        <v>35033.81</v>
      </c>
      <c r="L34" s="7">
        <v>11713.22</v>
      </c>
      <c r="M34" s="37">
        <f t="shared" si="1"/>
        <v>539540.6399999999</v>
      </c>
      <c r="N34" s="10">
        <f>321880.32+12983.35</f>
        <v>334863.67</v>
      </c>
      <c r="O34" s="10">
        <f>107238.52+10184.35</f>
        <v>117422.87000000001</v>
      </c>
      <c r="P34" s="10">
        <f>38138.66+798.1</f>
        <v>38936.76</v>
      </c>
      <c r="Q34" s="10">
        <f>34870.34+3061.3</f>
        <v>37931.64</v>
      </c>
      <c r="R34" s="10">
        <f>11011.92+701.3</f>
        <v>11713.22</v>
      </c>
      <c r="S34" s="37">
        <f t="shared" si="2"/>
        <v>540868.15999999992</v>
      </c>
    </row>
    <row r="35" spans="1:20" ht="16.149999999999999" customHeight="1" thickBot="1" x14ac:dyDescent="0.25">
      <c r="A35" s="39" t="s">
        <v>10</v>
      </c>
      <c r="B35" s="40">
        <f>SUM(B4:B34)</f>
        <v>8064487.5099999988</v>
      </c>
      <c r="C35" s="41">
        <f>SUM(C4:C34)</f>
        <v>2743470.7700000005</v>
      </c>
      <c r="D35" s="42">
        <f>SUM(D4:D34)</f>
        <v>933094.88</v>
      </c>
      <c r="E35" s="42">
        <f>SUM(E4:E34)</f>
        <v>839901.11999999988</v>
      </c>
      <c r="F35" s="42">
        <f>SUM(F4:F34)</f>
        <v>274110.28999999998</v>
      </c>
      <c r="G35" s="43">
        <f t="shared" si="0"/>
        <v>12855064.569999998</v>
      </c>
      <c r="H35" s="44">
        <f t="shared" ref="H35:S35" si="3">SUM(H4:H34)</f>
        <v>8101520.3200000012</v>
      </c>
      <c r="I35" s="42">
        <f t="shared" si="3"/>
        <v>2752759.060000001</v>
      </c>
      <c r="J35" s="42">
        <f t="shared" si="3"/>
        <v>935184.37000000023</v>
      </c>
      <c r="K35" s="42">
        <f t="shared" si="3"/>
        <v>837965.55999999982</v>
      </c>
      <c r="L35" s="42">
        <f t="shared" si="3"/>
        <v>272747.67</v>
      </c>
      <c r="M35" s="45">
        <f t="shared" si="3"/>
        <v>12900176.979999999</v>
      </c>
      <c r="N35" s="40">
        <f t="shared" si="3"/>
        <v>8135149.8200000012</v>
      </c>
      <c r="O35" s="42">
        <f t="shared" si="3"/>
        <v>2740323.2900000005</v>
      </c>
      <c r="P35" s="42">
        <f t="shared" si="3"/>
        <v>934074.10999999987</v>
      </c>
      <c r="Q35" s="42">
        <f t="shared" si="3"/>
        <v>845986.48999999987</v>
      </c>
      <c r="R35" s="42">
        <f t="shared" si="3"/>
        <v>274090.95999999996</v>
      </c>
      <c r="S35" s="46">
        <f t="shared" si="3"/>
        <v>12929624.670000002</v>
      </c>
      <c r="T35" s="17"/>
    </row>
  </sheetData>
  <mergeCells count="5">
    <mergeCell ref="A2:A3"/>
    <mergeCell ref="B2:G2"/>
    <mergeCell ref="H2:M2"/>
    <mergeCell ref="N2:S2"/>
    <mergeCell ref="B1:S1"/>
  </mergeCells>
  <printOptions horizontalCentered="1" verticalCentered="1"/>
  <pageMargins left="0" right="0" top="0" bottom="0" header="0" footer="0"/>
  <pageSetup paperSize="9" scale="65" orientation="landscape" r:id="rId1"/>
  <ignoredErrors>
    <ignoredError sqref="G4:G34 M25" formulaRange="1"/>
    <ignoredError sqref="G3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B720-2E2B-4E3A-A0B5-9499294EB50F}">
  <sheetPr>
    <pageSetUpPr fitToPage="1"/>
  </sheetPr>
  <dimension ref="A1:T39"/>
  <sheetViews>
    <sheetView workbookViewId="0">
      <pane xSplit="1" ySplit="3" topLeftCell="D13" activePane="bottomRight" state="frozen"/>
      <selection pane="topRight" activeCell="B1" sqref="B1"/>
      <selection pane="bottomLeft" activeCell="A2" sqref="A2"/>
      <selection pane="bottomRight" activeCell="E34" sqref="E34"/>
    </sheetView>
  </sheetViews>
  <sheetFormatPr defaultColWidth="9.140625" defaultRowHeight="12.75" x14ac:dyDescent="0.2"/>
  <cols>
    <col min="1" max="1" width="6.85546875" style="1" customWidth="1"/>
    <col min="2" max="6" width="11.7109375" style="1" customWidth="1"/>
    <col min="7" max="7" width="12.7109375" style="2" customWidth="1"/>
    <col min="8" max="8" width="11.7109375" style="4" customWidth="1"/>
    <col min="9" max="12" width="11.7109375" style="1" customWidth="1"/>
    <col min="13" max="13" width="12.7109375" style="2" customWidth="1"/>
    <col min="14" max="18" width="11.7109375" style="13" customWidth="1"/>
    <col min="19" max="19" width="12.7109375" style="1" customWidth="1"/>
    <col min="20" max="20" width="10.7109375" style="1" customWidth="1"/>
    <col min="21" max="16384" width="9.140625" style="1"/>
  </cols>
  <sheetData>
    <row r="1" spans="1:19" ht="24" customHeight="1" x14ac:dyDescent="0.2">
      <c r="A1" s="74"/>
      <c r="B1" s="125" t="s">
        <v>16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</row>
    <row r="2" spans="1:19" ht="18.75" x14ac:dyDescent="0.25">
      <c r="A2" s="126" t="s">
        <v>0</v>
      </c>
      <c r="B2" s="127" t="s">
        <v>1</v>
      </c>
      <c r="C2" s="128"/>
      <c r="D2" s="128"/>
      <c r="E2" s="128"/>
      <c r="F2" s="128"/>
      <c r="G2" s="128"/>
      <c r="H2" s="127" t="s">
        <v>2</v>
      </c>
      <c r="I2" s="128"/>
      <c r="J2" s="128"/>
      <c r="K2" s="128"/>
      <c r="L2" s="128"/>
      <c r="M2" s="128"/>
      <c r="N2" s="127" t="s">
        <v>3</v>
      </c>
      <c r="O2" s="128"/>
      <c r="P2" s="128"/>
      <c r="Q2" s="128"/>
      <c r="R2" s="128"/>
      <c r="S2" s="128"/>
    </row>
    <row r="3" spans="1:19" ht="16.149999999999999" customHeight="1" x14ac:dyDescent="0.2">
      <c r="A3" s="126"/>
      <c r="B3" s="75" t="s">
        <v>4</v>
      </c>
      <c r="C3" s="75" t="s">
        <v>5</v>
      </c>
      <c r="D3" s="75" t="s">
        <v>6</v>
      </c>
      <c r="E3" s="75" t="s">
        <v>7</v>
      </c>
      <c r="F3" s="75" t="s">
        <v>8</v>
      </c>
      <c r="G3" s="76" t="s">
        <v>9</v>
      </c>
      <c r="H3" s="77" t="s">
        <v>4</v>
      </c>
      <c r="I3" s="75" t="s">
        <v>5</v>
      </c>
      <c r="J3" s="75" t="s">
        <v>6</v>
      </c>
      <c r="K3" s="75" t="s">
        <v>7</v>
      </c>
      <c r="L3" s="75" t="s">
        <v>8</v>
      </c>
      <c r="M3" s="78" t="s">
        <v>9</v>
      </c>
      <c r="N3" s="75" t="s">
        <v>4</v>
      </c>
      <c r="O3" s="75" t="s">
        <v>5</v>
      </c>
      <c r="P3" s="75" t="s">
        <v>6</v>
      </c>
      <c r="Q3" s="75" t="s">
        <v>7</v>
      </c>
      <c r="R3" s="75" t="s">
        <v>8</v>
      </c>
      <c r="S3" s="78" t="s">
        <v>9</v>
      </c>
    </row>
    <row r="4" spans="1:19" ht="16.149999999999999" customHeight="1" x14ac:dyDescent="0.2">
      <c r="A4" s="79">
        <v>1</v>
      </c>
      <c r="B4" s="7">
        <v>425664.33</v>
      </c>
      <c r="C4" s="7">
        <v>166705.59</v>
      </c>
      <c r="D4" s="7">
        <v>48478.62</v>
      </c>
      <c r="E4" s="7">
        <v>47195.71</v>
      </c>
      <c r="F4" s="7">
        <v>14695.9</v>
      </c>
      <c r="G4" s="80">
        <f t="shared" ref="G4:G35" si="0">SUM(B4:F4)</f>
        <v>702740.15</v>
      </c>
      <c r="H4" s="7"/>
      <c r="I4" s="7"/>
      <c r="J4" s="7"/>
      <c r="K4" s="7"/>
      <c r="L4" s="7"/>
      <c r="M4" s="80">
        <f t="shared" ref="M4:M34" si="1">SUM(H4:L4)</f>
        <v>0</v>
      </c>
      <c r="N4" s="7">
        <f>409058.96+25425.05</f>
        <v>434484.01</v>
      </c>
      <c r="O4" s="8">
        <f>148180.19+18341</f>
        <v>166521.19</v>
      </c>
      <c r="P4" s="7">
        <f>47449.31+1263.4</f>
        <v>48712.71</v>
      </c>
      <c r="Q4" s="7">
        <f>42525.61+4670.1</f>
        <v>47195.71</v>
      </c>
      <c r="R4" s="7">
        <f>13488.4+1207.5</f>
        <v>14695.9</v>
      </c>
      <c r="S4" s="80">
        <f t="shared" ref="S4:S34" si="2">SUM(N4:R4)</f>
        <v>711609.5199999999</v>
      </c>
    </row>
    <row r="5" spans="1:19" ht="16.149999999999999" customHeight="1" x14ac:dyDescent="0.2">
      <c r="A5" s="79">
        <v>2</v>
      </c>
      <c r="B5" s="7">
        <v>419153.01</v>
      </c>
      <c r="C5" s="7">
        <v>160223.10999999999</v>
      </c>
      <c r="D5" s="7">
        <v>47055.88</v>
      </c>
      <c r="E5" s="7">
        <v>44224.51</v>
      </c>
      <c r="F5" s="7">
        <v>14223.49</v>
      </c>
      <c r="G5" s="80">
        <f t="shared" si="0"/>
        <v>684880</v>
      </c>
      <c r="H5" s="7">
        <v>421757.67</v>
      </c>
      <c r="I5" s="7">
        <v>159026.18</v>
      </c>
      <c r="J5" s="7">
        <v>45911.03</v>
      </c>
      <c r="K5" s="7">
        <v>44224.51</v>
      </c>
      <c r="L5" s="7">
        <v>14223.49</v>
      </c>
      <c r="M5" s="80">
        <f t="shared" si="1"/>
        <v>685142.88</v>
      </c>
      <c r="N5" s="7">
        <f>397752.15+23311.8</f>
        <v>421063.95</v>
      </c>
      <c r="O5" s="7">
        <f>141071.13+17955.1</f>
        <v>159026.23000000001</v>
      </c>
      <c r="P5" s="7">
        <f>44818.03+1093</f>
        <v>45911.03</v>
      </c>
      <c r="Q5" s="7">
        <f>39724.21+4500.3</f>
        <v>44224.51</v>
      </c>
      <c r="R5" s="7">
        <f>13150.94+1072.55</f>
        <v>14223.49</v>
      </c>
      <c r="S5" s="80">
        <f t="shared" si="2"/>
        <v>684449.21000000008</v>
      </c>
    </row>
    <row r="6" spans="1:19" ht="16.149999999999999" customHeight="1" x14ac:dyDescent="0.2">
      <c r="A6" s="79">
        <v>3</v>
      </c>
      <c r="B6" s="7">
        <v>271947.21999999997</v>
      </c>
      <c r="C6" s="7">
        <v>75609.350000000006</v>
      </c>
      <c r="D6" s="7">
        <v>27672.38</v>
      </c>
      <c r="E6" s="7">
        <v>17879.28</v>
      </c>
      <c r="F6" s="7">
        <v>8111.9</v>
      </c>
      <c r="G6" s="80">
        <f t="shared" si="0"/>
        <v>401220.13</v>
      </c>
      <c r="H6" s="7">
        <v>274730.68</v>
      </c>
      <c r="I6" s="7">
        <v>77515.45</v>
      </c>
      <c r="J6" s="7">
        <v>28978.97</v>
      </c>
      <c r="K6" s="7">
        <v>17879.28</v>
      </c>
      <c r="L6" s="7">
        <v>8111.9</v>
      </c>
      <c r="M6" s="80">
        <f t="shared" si="1"/>
        <v>407216.28</v>
      </c>
      <c r="N6" s="7">
        <f>261979.67+11674.2</f>
        <v>273653.87</v>
      </c>
      <c r="O6" s="8">
        <f>69210.1+8305.4</f>
        <v>77515.5</v>
      </c>
      <c r="P6" s="7">
        <f>28341.87+637.1</f>
        <v>28978.969999999998</v>
      </c>
      <c r="Q6" s="7">
        <f>15800.38+2078.9</f>
        <v>17879.28</v>
      </c>
      <c r="R6" s="7">
        <f>7587.8+524.1</f>
        <v>8111.9000000000005</v>
      </c>
      <c r="S6" s="80">
        <f t="shared" si="2"/>
        <v>406139.52</v>
      </c>
    </row>
    <row r="7" spans="1:19" ht="16.149999999999999" customHeight="1" x14ac:dyDescent="0.2">
      <c r="A7" s="79">
        <v>4</v>
      </c>
      <c r="B7" s="7">
        <v>109409.91</v>
      </c>
      <c r="C7" s="7">
        <v>35942.71</v>
      </c>
      <c r="D7" s="7">
        <v>11478.38</v>
      </c>
      <c r="E7" s="7">
        <v>8832.4500000000007</v>
      </c>
      <c r="F7" s="7">
        <v>3260.08</v>
      </c>
      <c r="G7" s="80">
        <f t="shared" si="0"/>
        <v>168923.53</v>
      </c>
      <c r="H7" s="7">
        <v>110550.52</v>
      </c>
      <c r="I7" s="7">
        <v>32812.980000000003</v>
      </c>
      <c r="J7" s="7">
        <v>11478.38</v>
      </c>
      <c r="K7" s="7">
        <v>8832.4</v>
      </c>
      <c r="L7" s="7">
        <v>3260.03</v>
      </c>
      <c r="M7" s="80">
        <f t="shared" si="1"/>
        <v>166934.31</v>
      </c>
      <c r="N7" s="9">
        <f>105370.26+5180.25</f>
        <v>110550.51</v>
      </c>
      <c r="O7" s="67">
        <f>32211.2+4254.75</f>
        <v>36465.949999999997</v>
      </c>
      <c r="P7" s="9">
        <f>11251.68+226.7</f>
        <v>11478.380000000001</v>
      </c>
      <c r="Q7" s="7">
        <f>7895.7+936.75</f>
        <v>8832.4500000000007</v>
      </c>
      <c r="R7" s="9">
        <f>3015.13+244.95</f>
        <v>3260.08</v>
      </c>
      <c r="S7" s="80">
        <f t="shared" si="2"/>
        <v>170587.37</v>
      </c>
    </row>
    <row r="8" spans="1:19" ht="16.149999999999999" customHeight="1" x14ac:dyDescent="0.2">
      <c r="A8" s="79">
        <v>5</v>
      </c>
      <c r="B8" s="7">
        <v>419784.86</v>
      </c>
      <c r="C8" s="30">
        <v>163601.69</v>
      </c>
      <c r="D8" s="30">
        <v>47720.82</v>
      </c>
      <c r="E8" s="30">
        <v>47164.01</v>
      </c>
      <c r="F8" s="30">
        <v>14363.93</v>
      </c>
      <c r="G8" s="80">
        <f t="shared" si="0"/>
        <v>692635.31</v>
      </c>
      <c r="H8" s="7">
        <v>420138.1</v>
      </c>
      <c r="I8" s="30">
        <v>164980.04999999999</v>
      </c>
      <c r="J8" s="30">
        <v>46514.75</v>
      </c>
      <c r="K8" s="30">
        <v>45670.63</v>
      </c>
      <c r="L8" s="30">
        <v>13197.7</v>
      </c>
      <c r="M8" s="80">
        <f t="shared" si="1"/>
        <v>690501.22999999986</v>
      </c>
      <c r="N8" s="7">
        <f>395700.35+24437.75</f>
        <v>420138.1</v>
      </c>
      <c r="O8" s="8">
        <f>146173.95+18507.85</f>
        <v>164681.80000000002</v>
      </c>
      <c r="P8" s="7">
        <f>46461.13+1229.9</f>
        <v>47691.03</v>
      </c>
      <c r="Q8" s="9">
        <f>41200.59+4470.05</f>
        <v>45670.64</v>
      </c>
      <c r="R8" s="7">
        <f>13144.53+1219.4</f>
        <v>14363.93</v>
      </c>
      <c r="S8" s="80">
        <f t="shared" si="2"/>
        <v>692545.50000000012</v>
      </c>
    </row>
    <row r="9" spans="1:19" ht="16.149999999999999" customHeight="1" x14ac:dyDescent="0.2">
      <c r="A9" s="79">
        <v>6</v>
      </c>
      <c r="B9" s="8">
        <v>431529.02</v>
      </c>
      <c r="C9" s="7">
        <v>168889.43</v>
      </c>
      <c r="D9" s="7">
        <v>49118.12</v>
      </c>
      <c r="E9" s="7">
        <v>47407.12</v>
      </c>
      <c r="F9" s="7">
        <v>14563.96</v>
      </c>
      <c r="G9" s="80">
        <f t="shared" si="0"/>
        <v>711507.64999999991</v>
      </c>
      <c r="H9" s="7">
        <v>420348.18</v>
      </c>
      <c r="I9" s="7">
        <v>16889.43</v>
      </c>
      <c r="J9" s="7">
        <v>50254.42</v>
      </c>
      <c r="K9" s="7">
        <v>48900.49</v>
      </c>
      <c r="L9" s="7">
        <v>14563.96</v>
      </c>
      <c r="M9" s="80">
        <f t="shared" si="1"/>
        <v>550956.48</v>
      </c>
      <c r="N9" s="7">
        <f>396099.42+24248.75</f>
        <v>420348.17</v>
      </c>
      <c r="O9" s="8">
        <f>150265.08+18624.35</f>
        <v>168889.43</v>
      </c>
      <c r="P9" s="7">
        <f>48997.97+1256.5</f>
        <v>50254.47</v>
      </c>
      <c r="Q9" s="7">
        <f>43925.14+4975.35</f>
        <v>48900.49</v>
      </c>
      <c r="R9" s="7">
        <f>13341.22+1222.75</f>
        <v>14563.97</v>
      </c>
      <c r="S9" s="80">
        <f t="shared" si="2"/>
        <v>702956.52999999991</v>
      </c>
    </row>
    <row r="10" spans="1:19" ht="16.149999999999999" customHeight="1" x14ac:dyDescent="0.2">
      <c r="A10" s="79">
        <v>7</v>
      </c>
      <c r="B10" s="7">
        <v>155014.6</v>
      </c>
      <c r="C10" s="7">
        <v>50540.34</v>
      </c>
      <c r="D10" s="7">
        <v>16428.080000000002</v>
      </c>
      <c r="E10" s="7">
        <v>11356.01</v>
      </c>
      <c r="F10" s="7">
        <v>4524.1099999999997</v>
      </c>
      <c r="G10" s="80">
        <f t="shared" si="0"/>
        <v>237863.14</v>
      </c>
      <c r="H10" s="30">
        <v>165929.81</v>
      </c>
      <c r="I10" s="7">
        <v>50658.5</v>
      </c>
      <c r="J10" s="7">
        <v>16428.080000000002</v>
      </c>
      <c r="K10" s="7">
        <v>11356.01</v>
      </c>
      <c r="L10" s="7">
        <v>4524.0600000000004</v>
      </c>
      <c r="M10" s="80">
        <f t="shared" si="1"/>
        <v>248896.46000000002</v>
      </c>
      <c r="N10" s="7">
        <f>157476.4+8453.45</f>
        <v>165929.85</v>
      </c>
      <c r="O10" s="30">
        <f>44799.05+5859.5</f>
        <v>50658.55</v>
      </c>
      <c r="P10" s="7">
        <f>16038.63+389.45</f>
        <v>16428.079999999998</v>
      </c>
      <c r="Q10" s="7">
        <f>10101.91+1254.1</f>
        <v>11356.01</v>
      </c>
      <c r="R10" s="7">
        <f>4177.01+347.1</f>
        <v>4524.1100000000006</v>
      </c>
      <c r="S10" s="80">
        <f t="shared" si="2"/>
        <v>248896.60000000003</v>
      </c>
    </row>
    <row r="11" spans="1:19" ht="16.149999999999999" customHeight="1" x14ac:dyDescent="0.2">
      <c r="A11" s="79">
        <v>8</v>
      </c>
      <c r="B11" s="7">
        <v>422311.04</v>
      </c>
      <c r="C11" s="7">
        <v>162298.21</v>
      </c>
      <c r="D11" s="7">
        <v>46438.38</v>
      </c>
      <c r="E11" s="7">
        <v>47463.31</v>
      </c>
      <c r="F11" s="7">
        <v>14861.88</v>
      </c>
      <c r="G11" s="80">
        <f t="shared" si="0"/>
        <v>693372.82</v>
      </c>
      <c r="H11" s="7">
        <v>429326.53</v>
      </c>
      <c r="I11" s="7">
        <v>162659.25</v>
      </c>
      <c r="J11" s="7">
        <v>47787.53</v>
      </c>
      <c r="K11" s="7">
        <v>47463.31</v>
      </c>
      <c r="L11" s="7">
        <v>14861.88</v>
      </c>
      <c r="M11" s="80">
        <f t="shared" si="1"/>
        <v>702098.50000000012</v>
      </c>
      <c r="N11" s="7">
        <f>402683.45+25190.45</f>
        <v>427873.9</v>
      </c>
      <c r="O11" s="8">
        <f>144035.21+19002.35</f>
        <v>163037.56</v>
      </c>
      <c r="P11" s="7">
        <f>46558.58+1228.95</f>
        <v>47787.53</v>
      </c>
      <c r="Q11" s="7">
        <f>42867.06+4596.25</f>
        <v>47463.31</v>
      </c>
      <c r="R11" s="7">
        <f>13516.48+1345.4</f>
        <v>14861.88</v>
      </c>
      <c r="S11" s="80">
        <f t="shared" si="2"/>
        <v>701024.18</v>
      </c>
    </row>
    <row r="12" spans="1:19" ht="16.149999999999999" customHeight="1" x14ac:dyDescent="0.2">
      <c r="A12" s="79">
        <v>9</v>
      </c>
      <c r="B12" s="7">
        <v>422594.23</v>
      </c>
      <c r="C12" s="7">
        <v>158866.12</v>
      </c>
      <c r="D12" s="7">
        <v>47224.35</v>
      </c>
      <c r="E12" s="7">
        <v>45231.46</v>
      </c>
      <c r="F12" s="7">
        <v>14397.98</v>
      </c>
      <c r="G12" s="80">
        <f t="shared" si="0"/>
        <v>688314.1399999999</v>
      </c>
      <c r="H12" s="7">
        <v>275075.42</v>
      </c>
      <c r="I12" s="7">
        <v>159985.25</v>
      </c>
      <c r="J12" s="7">
        <v>32379.5</v>
      </c>
      <c r="K12" s="7">
        <v>31583.439999999999</v>
      </c>
      <c r="L12" s="7">
        <v>13150.98</v>
      </c>
      <c r="M12" s="80">
        <f t="shared" si="1"/>
        <v>512174.58999999997</v>
      </c>
      <c r="N12" s="9">
        <f>260341.72+14733.75</f>
        <v>275075.46999999997</v>
      </c>
      <c r="O12" s="67">
        <f>141844.65+18140.6</f>
        <v>159985.25</v>
      </c>
      <c r="P12" s="9">
        <f>31618.15+761.35</f>
        <v>32379.5</v>
      </c>
      <c r="Q12" s="7">
        <f>28542.64+3040.85</f>
        <v>31583.489999999998</v>
      </c>
      <c r="R12" s="9">
        <f>12190.94+960</f>
        <v>13150.94</v>
      </c>
      <c r="S12" s="80">
        <f t="shared" si="2"/>
        <v>512174.64999999997</v>
      </c>
    </row>
    <row r="13" spans="1:19" ht="16.149999999999999" customHeight="1" x14ac:dyDescent="0.2">
      <c r="A13" s="79">
        <v>10</v>
      </c>
      <c r="B13" s="7">
        <v>270988.38</v>
      </c>
      <c r="C13" s="7">
        <v>75791.88</v>
      </c>
      <c r="D13" s="7">
        <v>26429.64</v>
      </c>
      <c r="E13" s="7">
        <v>18137.599999999999</v>
      </c>
      <c r="F13" s="7">
        <v>8273.6299999999992</v>
      </c>
      <c r="G13" s="80">
        <f t="shared" si="0"/>
        <v>399621.13</v>
      </c>
      <c r="H13" s="7">
        <v>417547.41</v>
      </c>
      <c r="I13" s="7">
        <v>76481.16</v>
      </c>
      <c r="J13" s="7">
        <v>39486.93</v>
      </c>
      <c r="K13" s="7">
        <v>31785.52</v>
      </c>
      <c r="L13" s="7">
        <v>9520.58</v>
      </c>
      <c r="M13" s="80">
        <f t="shared" si="1"/>
        <v>574821.6</v>
      </c>
      <c r="N13" s="8">
        <f>396797.16+20750.3</f>
        <v>417547.45999999996</v>
      </c>
      <c r="O13" s="8">
        <f>67066.43+8725.45</f>
        <v>75791.87999999999</v>
      </c>
      <c r="P13" s="8">
        <f>38459.23+1027.75</f>
        <v>39486.980000000003</v>
      </c>
      <c r="Q13" s="7">
        <f>28076.82+3708.75</f>
        <v>31785.57</v>
      </c>
      <c r="R13" s="8">
        <f>8730.32+790.3</f>
        <v>9520.619999999999</v>
      </c>
      <c r="S13" s="80">
        <f t="shared" si="2"/>
        <v>574132.50999999989</v>
      </c>
    </row>
    <row r="14" spans="1:19" ht="16.149999999999999" customHeight="1" x14ac:dyDescent="0.2">
      <c r="A14" s="79">
        <v>11</v>
      </c>
      <c r="B14" s="7">
        <v>112431.61</v>
      </c>
      <c r="C14" s="7">
        <v>39873.22</v>
      </c>
      <c r="D14" s="7">
        <v>11444.33</v>
      </c>
      <c r="E14" s="7">
        <v>8776.5499999999993</v>
      </c>
      <c r="F14" s="7">
        <v>3157.94</v>
      </c>
      <c r="G14" s="80">
        <f t="shared" si="0"/>
        <v>175683.65</v>
      </c>
      <c r="H14" s="7">
        <v>114159.97</v>
      </c>
      <c r="I14" s="7">
        <v>39955.379999999997</v>
      </c>
      <c r="J14" s="7">
        <v>12618.98</v>
      </c>
      <c r="K14" s="7">
        <v>8776.5</v>
      </c>
      <c r="L14" s="7">
        <v>3157.89</v>
      </c>
      <c r="M14" s="80">
        <f t="shared" si="1"/>
        <v>178668.72000000003</v>
      </c>
      <c r="N14" s="8">
        <f>108941.57+5218.4</f>
        <v>114159.97</v>
      </c>
      <c r="O14" s="7">
        <f>34831.6+4696.85</f>
        <v>39528.449999999997</v>
      </c>
      <c r="P14" s="8">
        <f>12350.63+268.35</f>
        <v>12618.98</v>
      </c>
      <c r="Q14" s="7">
        <f>7987.75+788.8</f>
        <v>8776.5499999999993</v>
      </c>
      <c r="R14" s="8">
        <f>2962.89+195.05</f>
        <v>3157.94</v>
      </c>
      <c r="S14" s="80">
        <f t="shared" si="2"/>
        <v>178241.88999999998</v>
      </c>
    </row>
    <row r="15" spans="1:19" ht="16.149999999999999" customHeight="1" x14ac:dyDescent="0.2">
      <c r="A15" s="79">
        <v>12</v>
      </c>
      <c r="B15" s="7">
        <v>419595.39</v>
      </c>
      <c r="C15" s="7">
        <v>163260.92000000001</v>
      </c>
      <c r="D15" s="7">
        <v>47792.5</v>
      </c>
      <c r="E15" s="7">
        <v>45225.57</v>
      </c>
      <c r="F15" s="7">
        <v>14529.92</v>
      </c>
      <c r="G15" s="80">
        <f t="shared" si="0"/>
        <v>690404.3</v>
      </c>
      <c r="H15" s="7">
        <v>421552.14</v>
      </c>
      <c r="I15" s="7">
        <v>164539.63</v>
      </c>
      <c r="J15" s="7">
        <v>48784.15</v>
      </c>
      <c r="K15" s="7">
        <v>45255.57</v>
      </c>
      <c r="L15" s="7">
        <v>14529.92</v>
      </c>
      <c r="M15" s="80">
        <f t="shared" si="1"/>
        <v>694661.41</v>
      </c>
      <c r="N15" s="7">
        <f>396777.34+24774.8</f>
        <v>421552.14</v>
      </c>
      <c r="O15" s="8">
        <f>144635.52+18625.4</f>
        <v>163260.91999999998</v>
      </c>
      <c r="P15" s="7">
        <f>47496.25+1287.9</f>
        <v>48784.15</v>
      </c>
      <c r="Q15" s="7">
        <f>40675.03+4550.55</f>
        <v>45225.58</v>
      </c>
      <c r="R15" s="7">
        <f>13258.57+1271.35</f>
        <v>14529.92</v>
      </c>
      <c r="S15" s="80">
        <f t="shared" si="2"/>
        <v>693352.71000000008</v>
      </c>
    </row>
    <row r="16" spans="1:19" ht="16.149999999999999" customHeight="1" x14ac:dyDescent="0.2">
      <c r="A16" s="79">
        <v>13</v>
      </c>
      <c r="B16" s="7">
        <v>432058.15</v>
      </c>
      <c r="C16" s="7">
        <v>166272.67000000001</v>
      </c>
      <c r="D16" s="7">
        <v>48086.98</v>
      </c>
      <c r="E16" s="7">
        <v>47353.13</v>
      </c>
      <c r="F16" s="7">
        <v>14372.44</v>
      </c>
      <c r="G16" s="80">
        <f t="shared" si="0"/>
        <v>708143.37</v>
      </c>
      <c r="H16" s="7">
        <v>409041.81</v>
      </c>
      <c r="I16" s="7">
        <v>156856.92000000001</v>
      </c>
      <c r="J16" s="7">
        <v>47708.2</v>
      </c>
      <c r="K16" s="7">
        <v>47353.13</v>
      </c>
      <c r="L16" s="7">
        <v>13092.59</v>
      </c>
      <c r="M16" s="80">
        <f t="shared" si="1"/>
        <v>674052.64999999991</v>
      </c>
      <c r="N16" s="7">
        <f>407937.65+25324.8</f>
        <v>433262.45</v>
      </c>
      <c r="O16" s="7">
        <f>139778.16+16607.35</f>
        <v>156385.51</v>
      </c>
      <c r="P16" s="7">
        <f>46437.1+1271.1</f>
        <v>47708.2</v>
      </c>
      <c r="Q16" s="7">
        <f>42772.38+4580.75</f>
        <v>47353.13</v>
      </c>
      <c r="R16" s="7">
        <f>13034.24+1338.2</f>
        <v>14372.44</v>
      </c>
      <c r="S16" s="80">
        <f t="shared" si="2"/>
        <v>699081.72999999986</v>
      </c>
    </row>
    <row r="17" spans="1:20" ht="16.149999999999999" customHeight="1" x14ac:dyDescent="0.2">
      <c r="A17" s="79">
        <v>14</v>
      </c>
      <c r="B17" s="7">
        <v>429418.44</v>
      </c>
      <c r="C17" s="7">
        <v>165010.51</v>
      </c>
      <c r="D17" s="7">
        <v>48364.86</v>
      </c>
      <c r="E17" s="7">
        <v>47822.01</v>
      </c>
      <c r="F17" s="7">
        <v>14768.25</v>
      </c>
      <c r="G17" s="80">
        <f t="shared" si="0"/>
        <v>705384.07</v>
      </c>
      <c r="H17" s="7">
        <v>431683.43</v>
      </c>
      <c r="I17" s="7">
        <v>171853.6</v>
      </c>
      <c r="J17" s="7">
        <v>47449.78</v>
      </c>
      <c r="K17" s="7">
        <v>47822.01</v>
      </c>
      <c r="L17" s="7">
        <v>14768.25</v>
      </c>
      <c r="M17" s="80">
        <f t="shared" si="1"/>
        <v>713577.07000000007</v>
      </c>
      <c r="N17" s="7">
        <f>402851.45+25717.6</f>
        <v>428569.05</v>
      </c>
      <c r="O17" s="8">
        <f>153297.95+19727.05</f>
        <v>173025</v>
      </c>
      <c r="P17" s="7">
        <f>46074.92+1374.9</f>
        <v>47449.82</v>
      </c>
      <c r="Q17" s="7">
        <f>43232.31+4589.7</f>
        <v>47822.009999999995</v>
      </c>
      <c r="R17" s="7">
        <f>13500.95+1267.3</f>
        <v>14768.25</v>
      </c>
      <c r="S17" s="80">
        <f t="shared" si="2"/>
        <v>711634.13</v>
      </c>
    </row>
    <row r="18" spans="1:20" ht="16.149999999999999" customHeight="1" x14ac:dyDescent="0.2">
      <c r="A18" s="79">
        <v>15</v>
      </c>
      <c r="B18" s="7">
        <v>415217.57</v>
      </c>
      <c r="C18" s="7">
        <v>156425.53</v>
      </c>
      <c r="D18" s="7">
        <v>46667.59</v>
      </c>
      <c r="E18" s="7">
        <v>45424.79</v>
      </c>
      <c r="F18" s="7">
        <v>13934.08</v>
      </c>
      <c r="G18" s="80">
        <f t="shared" si="0"/>
        <v>677669.55999999994</v>
      </c>
      <c r="H18" s="7">
        <v>423817.37</v>
      </c>
      <c r="I18" s="7">
        <v>156847.35</v>
      </c>
      <c r="J18" s="7">
        <v>48881.94</v>
      </c>
      <c r="K18" s="7">
        <v>43540.11</v>
      </c>
      <c r="L18" s="7">
        <v>13934.08</v>
      </c>
      <c r="M18" s="80">
        <f t="shared" si="1"/>
        <v>687020.84999999986</v>
      </c>
      <c r="N18" s="9">
        <f>394261.96+24931.65</f>
        <v>419193.61000000004</v>
      </c>
      <c r="O18" s="67">
        <f>139532.61+17314.75</f>
        <v>156847.35999999999</v>
      </c>
      <c r="P18" s="9">
        <f>47073.83+1440.85</f>
        <v>48514.68</v>
      </c>
      <c r="Q18" s="7">
        <f>39208.81+4331.3</f>
        <v>43540.11</v>
      </c>
      <c r="R18" s="9">
        <f>12705.03+1229.05</f>
        <v>13934.08</v>
      </c>
      <c r="S18" s="80">
        <f t="shared" si="2"/>
        <v>682029.84</v>
      </c>
    </row>
    <row r="19" spans="1:20" ht="16.149999999999999" customHeight="1" x14ac:dyDescent="0.2">
      <c r="A19" s="79">
        <v>16</v>
      </c>
      <c r="B19" s="7">
        <v>394359.87</v>
      </c>
      <c r="C19" s="30">
        <v>147275.70000000001</v>
      </c>
      <c r="D19" s="30">
        <v>45226</v>
      </c>
      <c r="E19" s="30">
        <v>42979.76</v>
      </c>
      <c r="F19" s="30">
        <v>13827.68</v>
      </c>
      <c r="G19" s="80">
        <f t="shared" si="0"/>
        <v>643669.01000000013</v>
      </c>
      <c r="H19" s="7">
        <v>394349.35</v>
      </c>
      <c r="I19" s="30">
        <v>150386.82</v>
      </c>
      <c r="J19" s="30">
        <v>44362.95</v>
      </c>
      <c r="K19" s="30">
        <v>45315.09</v>
      </c>
      <c r="L19" s="30">
        <v>13827.68</v>
      </c>
      <c r="M19" s="80">
        <f t="shared" si="1"/>
        <v>648241.8899999999</v>
      </c>
      <c r="N19" s="7">
        <f>370438.17+22954.45</f>
        <v>393392.62</v>
      </c>
      <c r="O19" s="8">
        <f>132206.42+17423.7</f>
        <v>149630.12000000002</v>
      </c>
      <c r="P19" s="7">
        <f>43002.43+1172.35</f>
        <v>44174.78</v>
      </c>
      <c r="Q19" s="9">
        <f>40295.23+4569.2</f>
        <v>44864.43</v>
      </c>
      <c r="R19" s="7">
        <f>12562.63+1265.05</f>
        <v>13827.679999999998</v>
      </c>
      <c r="S19" s="80">
        <f t="shared" si="2"/>
        <v>645889.63000000012</v>
      </c>
    </row>
    <row r="20" spans="1:20" ht="16.149999999999999" customHeight="1" x14ac:dyDescent="0.2">
      <c r="A20" s="79">
        <v>17</v>
      </c>
      <c r="B20" s="7">
        <v>260434.94</v>
      </c>
      <c r="C20" s="30">
        <v>71764.05</v>
      </c>
      <c r="D20" s="30">
        <v>26570.080000000002</v>
      </c>
      <c r="E20" s="30">
        <v>16748.57</v>
      </c>
      <c r="F20" s="30">
        <v>8056.57</v>
      </c>
      <c r="G20" s="80">
        <f t="shared" si="0"/>
        <v>383574.21</v>
      </c>
      <c r="H20" s="7">
        <v>265303.93</v>
      </c>
      <c r="I20" s="30">
        <v>69349.899999999994</v>
      </c>
      <c r="J20" s="30">
        <v>27621.31</v>
      </c>
      <c r="K20" s="30">
        <v>16748.57</v>
      </c>
      <c r="L20" s="30">
        <v>8056.52</v>
      </c>
      <c r="M20" s="80">
        <f t="shared" si="1"/>
        <v>387080.23</v>
      </c>
      <c r="N20" s="7">
        <f>254044.43+11259.5</f>
        <v>265303.93</v>
      </c>
      <c r="O20" s="8">
        <f>61897.34+7452.6</f>
        <v>69349.94</v>
      </c>
      <c r="P20" s="7">
        <f>27012.41+608.9</f>
        <v>27621.31</v>
      </c>
      <c r="Q20" s="7">
        <f>14688.07+2060.5</f>
        <v>16748.57</v>
      </c>
      <c r="R20" s="7">
        <f>7558.57+498</f>
        <v>8056.57</v>
      </c>
      <c r="S20" s="80">
        <f t="shared" si="2"/>
        <v>387080.32</v>
      </c>
    </row>
    <row r="21" spans="1:20" ht="16.149999999999999" customHeight="1" x14ac:dyDescent="0.2">
      <c r="A21" s="79">
        <v>18</v>
      </c>
      <c r="B21" s="7">
        <v>113501.3</v>
      </c>
      <c r="C21" s="30">
        <v>36775.25</v>
      </c>
      <c r="D21" s="30">
        <v>11431.56</v>
      </c>
      <c r="E21" s="30">
        <v>8912.31</v>
      </c>
      <c r="F21" s="30">
        <v>3102.61</v>
      </c>
      <c r="G21" s="80">
        <f t="shared" si="0"/>
        <v>173723.02999999997</v>
      </c>
      <c r="H21" s="7">
        <v>113641.74</v>
      </c>
      <c r="I21" s="30">
        <v>40067.9</v>
      </c>
      <c r="J21" s="30">
        <v>11431.56</v>
      </c>
      <c r="K21" s="30">
        <v>8912.26</v>
      </c>
      <c r="L21" s="30">
        <v>3102.56</v>
      </c>
      <c r="M21" s="80">
        <f t="shared" si="1"/>
        <v>177156.02000000002</v>
      </c>
      <c r="N21" s="7">
        <f>108225.65+5416.1</f>
        <v>113641.75</v>
      </c>
      <c r="O21" s="30">
        <f>34614.79+5057.3</f>
        <v>39672.090000000004</v>
      </c>
      <c r="P21" s="7">
        <f>11148.56+283</f>
        <v>11431.56</v>
      </c>
      <c r="Q21" s="7">
        <f>8092.66+819.65</f>
        <v>8912.31</v>
      </c>
      <c r="R21" s="7">
        <f>2886.81+215.8</f>
        <v>3102.61</v>
      </c>
      <c r="S21" s="80">
        <f>SUM(N21:R21)</f>
        <v>176760.31999999998</v>
      </c>
    </row>
    <row r="22" spans="1:20" ht="16.149999999999999" customHeight="1" x14ac:dyDescent="0.2">
      <c r="A22" s="79">
        <v>19</v>
      </c>
      <c r="B22" s="7">
        <v>410915.01</v>
      </c>
      <c r="C22" s="7">
        <v>158804.43</v>
      </c>
      <c r="D22" s="7">
        <v>46089.2</v>
      </c>
      <c r="E22" s="7">
        <v>45452.19</v>
      </c>
      <c r="F22" s="7">
        <v>14253.28</v>
      </c>
      <c r="G22" s="80">
        <f t="shared" si="0"/>
        <v>675514.10999999987</v>
      </c>
      <c r="H22" s="7">
        <v>419711.36</v>
      </c>
      <c r="I22" s="7">
        <v>159986.07</v>
      </c>
      <c r="J22" s="7">
        <v>46089.16</v>
      </c>
      <c r="K22" s="7">
        <v>46482.38</v>
      </c>
      <c r="L22" s="7">
        <v>13083.07</v>
      </c>
      <c r="M22" s="80">
        <f t="shared" si="1"/>
        <v>685352.03999999992</v>
      </c>
      <c r="N22" s="7">
        <f>394179.2+24455.35</f>
        <v>418634.55</v>
      </c>
      <c r="O22" s="8">
        <f>141739.79+17826.8</f>
        <v>159566.59</v>
      </c>
      <c r="P22" s="7">
        <f>44803.89+1284.3</f>
        <v>46088.19</v>
      </c>
      <c r="Q22" s="7">
        <f>41724.88+4757.5</f>
        <v>46482.38</v>
      </c>
      <c r="R22" s="7">
        <f>13029.72+1223.55</f>
        <v>14253.269999999999</v>
      </c>
      <c r="S22" s="80">
        <f t="shared" si="2"/>
        <v>685024.9800000001</v>
      </c>
    </row>
    <row r="23" spans="1:20" ht="16.149999999999999" customHeight="1" x14ac:dyDescent="0.2">
      <c r="A23" s="79">
        <v>20</v>
      </c>
      <c r="B23" s="7">
        <v>430975.02</v>
      </c>
      <c r="C23" s="7">
        <v>165164.06</v>
      </c>
      <c r="D23" s="7">
        <v>48045.760000000002</v>
      </c>
      <c r="E23" s="7">
        <v>47652.63</v>
      </c>
      <c r="F23" s="7">
        <v>14504.38</v>
      </c>
      <c r="G23" s="80">
        <f t="shared" si="0"/>
        <v>706341.85000000009</v>
      </c>
      <c r="H23" s="7">
        <v>431834.73</v>
      </c>
      <c r="I23" s="7">
        <v>165164.01999999999</v>
      </c>
      <c r="J23" s="7">
        <v>46998.74</v>
      </c>
      <c r="K23" s="7">
        <v>47652.63</v>
      </c>
      <c r="L23" s="7">
        <v>13942.59</v>
      </c>
      <c r="M23" s="80">
        <f t="shared" si="1"/>
        <v>705592.71</v>
      </c>
      <c r="N23" s="9">
        <f>406305.13+25529.6</f>
        <v>431834.73</v>
      </c>
      <c r="O23" s="67">
        <f>146056.22+19107.85</f>
        <v>165164.07</v>
      </c>
      <c r="P23" s="9">
        <f>45711.79+1287</f>
        <v>46998.79</v>
      </c>
      <c r="Q23" s="9">
        <f>43098.03+4554.6</f>
        <v>47652.63</v>
      </c>
      <c r="R23" s="9">
        <f>12724.64+1217.95</f>
        <v>13942.59</v>
      </c>
      <c r="S23" s="80">
        <f t="shared" si="2"/>
        <v>705592.81</v>
      </c>
    </row>
    <row r="24" spans="1:20" ht="16.149999999999999" customHeight="1" x14ac:dyDescent="0.2">
      <c r="A24" s="79">
        <v>21</v>
      </c>
      <c r="B24" s="7">
        <v>427880.07</v>
      </c>
      <c r="C24" s="7">
        <v>160820.76</v>
      </c>
      <c r="D24" s="7">
        <v>46986.83</v>
      </c>
      <c r="E24" s="7">
        <v>46794.26</v>
      </c>
      <c r="F24" s="7">
        <v>14470.33</v>
      </c>
      <c r="G24" s="80">
        <f t="shared" si="0"/>
        <v>696952.25</v>
      </c>
      <c r="H24" s="7">
        <v>422787.76</v>
      </c>
      <c r="I24" s="7">
        <v>160877.62</v>
      </c>
      <c r="J24" s="7">
        <v>45327</v>
      </c>
      <c r="K24" s="7">
        <v>46794.26</v>
      </c>
      <c r="L24" s="7">
        <v>15032.12</v>
      </c>
      <c r="M24" s="80">
        <f t="shared" si="1"/>
        <v>690818.76</v>
      </c>
      <c r="N24" s="7">
        <f>397762.56+25025.25</f>
        <v>422787.81</v>
      </c>
      <c r="O24" s="67">
        <f>142627.82+17951.6</f>
        <v>160579.42000000001</v>
      </c>
      <c r="P24" s="9">
        <f>44102.75+1224.25</f>
        <v>45327</v>
      </c>
      <c r="Q24" s="7">
        <f>42233.46+4560.8</f>
        <v>46794.26</v>
      </c>
      <c r="R24" s="9">
        <f>13653.62+1378.5</f>
        <v>15032.12</v>
      </c>
      <c r="S24" s="80">
        <f t="shared" si="2"/>
        <v>690520.61</v>
      </c>
    </row>
    <row r="25" spans="1:20" ht="16.149999999999999" customHeight="1" x14ac:dyDescent="0.2">
      <c r="A25" s="79">
        <v>22</v>
      </c>
      <c r="B25" s="7">
        <v>421543.82</v>
      </c>
      <c r="C25" s="7">
        <v>159464.64000000001</v>
      </c>
      <c r="D25" s="7">
        <v>47558.81</v>
      </c>
      <c r="E25" s="7">
        <v>47680.800000000003</v>
      </c>
      <c r="F25" s="7">
        <v>14461.82</v>
      </c>
      <c r="G25" s="80">
        <f t="shared" si="0"/>
        <v>690709.89</v>
      </c>
      <c r="H25" s="7">
        <v>422975.65</v>
      </c>
      <c r="I25" s="7">
        <v>160389.62</v>
      </c>
      <c r="J25" s="7">
        <v>48390.49</v>
      </c>
      <c r="K25" s="7">
        <v>47680.800000000003</v>
      </c>
      <c r="L25" s="7">
        <v>14461.82</v>
      </c>
      <c r="M25" s="80">
        <f t="shared" si="1"/>
        <v>693898.38</v>
      </c>
      <c r="N25" s="7">
        <f>397393.1+25036.55</f>
        <v>422429.64999999997</v>
      </c>
      <c r="O25" s="8">
        <f>141042.29+18422.35</f>
        <v>159464.64000000001</v>
      </c>
      <c r="P25" s="7">
        <f>47026.4+1364.1</f>
        <v>48390.5</v>
      </c>
      <c r="Q25" s="7">
        <f>42970.74+4710.05</f>
        <v>47680.79</v>
      </c>
      <c r="R25" s="7">
        <f>13200.02+1261.8</f>
        <v>14461.82</v>
      </c>
      <c r="S25" s="80">
        <f t="shared" si="2"/>
        <v>692427.4</v>
      </c>
    </row>
    <row r="26" spans="1:20" ht="16.149999999999999" customHeight="1" x14ac:dyDescent="0.2">
      <c r="A26" s="79">
        <v>23</v>
      </c>
      <c r="B26" s="7">
        <v>411779.07</v>
      </c>
      <c r="C26" s="7">
        <v>151990.56</v>
      </c>
      <c r="D26" s="7">
        <v>46655.3</v>
      </c>
      <c r="E26" s="7">
        <v>43879.01</v>
      </c>
      <c r="F26" s="7">
        <v>14402.24</v>
      </c>
      <c r="G26" s="80">
        <f t="shared" si="0"/>
        <v>668706.18000000005</v>
      </c>
      <c r="H26" s="7">
        <v>414716.18</v>
      </c>
      <c r="I26" s="7">
        <v>151793.54</v>
      </c>
      <c r="J26" s="7">
        <v>48530.41</v>
      </c>
      <c r="K26" s="7">
        <v>42912.71</v>
      </c>
      <c r="L26" s="7">
        <v>13310.6</v>
      </c>
      <c r="M26" s="80">
        <f t="shared" si="1"/>
        <v>671263.44</v>
      </c>
      <c r="N26" s="7">
        <f>391198.28+23517.9</f>
        <v>414716.18000000005</v>
      </c>
      <c r="O26" s="8">
        <f>134637.89+17155.65</f>
        <v>151793.54</v>
      </c>
      <c r="P26" s="7">
        <f>47216.37+1314.05</f>
        <v>48530.420000000006</v>
      </c>
      <c r="Q26" s="7">
        <f>38820.16+4092.55</f>
        <v>42912.710000000006</v>
      </c>
      <c r="R26" s="7">
        <f>13260.83+1141.4</f>
        <v>14402.23</v>
      </c>
      <c r="S26" s="80">
        <f t="shared" si="2"/>
        <v>672355.08000000007</v>
      </c>
    </row>
    <row r="27" spans="1:20" ht="16.149999999999999" customHeight="1" x14ac:dyDescent="0.2">
      <c r="A27" s="79">
        <v>24</v>
      </c>
      <c r="B27" s="7">
        <v>259833.08</v>
      </c>
      <c r="C27" s="7">
        <v>71825.31</v>
      </c>
      <c r="D27" s="7">
        <v>25621</v>
      </c>
      <c r="E27" s="7">
        <v>17232.13</v>
      </c>
      <c r="F27" s="7">
        <v>7694.81</v>
      </c>
      <c r="G27" s="80">
        <f t="shared" si="0"/>
        <v>382206.33</v>
      </c>
      <c r="H27" s="7">
        <v>258438.69</v>
      </c>
      <c r="I27" s="7">
        <v>72221.11</v>
      </c>
      <c r="J27" s="7">
        <v>25621</v>
      </c>
      <c r="K27" s="7">
        <v>17232.13</v>
      </c>
      <c r="L27" s="7">
        <v>7694.81</v>
      </c>
      <c r="M27" s="80">
        <f t="shared" si="1"/>
        <v>381207.74</v>
      </c>
      <c r="N27" s="7">
        <f>247193.74+11244.95</f>
        <v>258438.69</v>
      </c>
      <c r="O27" s="8">
        <f>63446.5+8378.8</f>
        <v>71825.3</v>
      </c>
      <c r="P27" s="7">
        <f>25080.5+540.5</f>
        <v>25621</v>
      </c>
      <c r="Q27" s="7">
        <f>15187.18+2044.95</f>
        <v>17232.13</v>
      </c>
      <c r="R27" s="7">
        <f>7193.31+501.5</f>
        <v>7694.81</v>
      </c>
      <c r="S27" s="80">
        <f t="shared" si="2"/>
        <v>380811.93</v>
      </c>
      <c r="T27" s="3"/>
    </row>
    <row r="28" spans="1:20" ht="16.149999999999999" customHeight="1" x14ac:dyDescent="0.2">
      <c r="A28" s="79">
        <v>25</v>
      </c>
      <c r="B28" s="7">
        <v>112371.26</v>
      </c>
      <c r="C28" s="7">
        <v>38069.69</v>
      </c>
      <c r="D28" s="7">
        <v>11133.64</v>
      </c>
      <c r="E28" s="7">
        <v>8377.25</v>
      </c>
      <c r="F28" s="7">
        <v>3106.87</v>
      </c>
      <c r="G28" s="80">
        <f t="shared" si="0"/>
        <v>173058.71000000002</v>
      </c>
      <c r="H28" s="7">
        <v>116557.33</v>
      </c>
      <c r="I28" s="7">
        <v>37355.449999999997</v>
      </c>
      <c r="J28" s="7">
        <v>11133.64</v>
      </c>
      <c r="K28" s="7">
        <v>8377.25</v>
      </c>
      <c r="L28" s="7">
        <v>3106.82</v>
      </c>
      <c r="M28" s="80">
        <f t="shared" si="1"/>
        <v>176530.49</v>
      </c>
      <c r="N28" s="124">
        <f>111226.27+5331.1</f>
        <v>116557.37000000001</v>
      </c>
      <c r="O28" s="124">
        <f>32949+4406.5</f>
        <v>37355.5</v>
      </c>
      <c r="P28" s="124">
        <f>10917.5+216.15</f>
        <v>11133.65</v>
      </c>
      <c r="Q28" s="124">
        <f>7388.6+988.65</f>
        <v>8377.25</v>
      </c>
      <c r="R28" s="124">
        <f>2902.31+204.55</f>
        <v>3106.86</v>
      </c>
      <c r="S28" s="80">
        <f t="shared" si="2"/>
        <v>176530.62999999998</v>
      </c>
      <c r="T28" s="3"/>
    </row>
    <row r="29" spans="1:20" ht="16.149999999999999" customHeight="1" x14ac:dyDescent="0.2">
      <c r="A29" s="79">
        <v>26</v>
      </c>
      <c r="B29" s="7">
        <v>399947.07</v>
      </c>
      <c r="C29" s="7">
        <v>149888.82999999999</v>
      </c>
      <c r="D29" s="7">
        <v>44747.37</v>
      </c>
      <c r="E29" s="7">
        <v>44806.67</v>
      </c>
      <c r="F29" s="7">
        <v>13891.52</v>
      </c>
      <c r="G29" s="80">
        <f t="shared" si="0"/>
        <v>653281.46000000008</v>
      </c>
      <c r="H29" s="7">
        <v>399924.83</v>
      </c>
      <c r="I29" s="7">
        <v>151183.79</v>
      </c>
      <c r="J29" s="7">
        <v>44747.37</v>
      </c>
      <c r="K29" s="7">
        <v>44024.05</v>
      </c>
      <c r="L29" s="7">
        <v>13891.52</v>
      </c>
      <c r="M29" s="80">
        <f t="shared" si="1"/>
        <v>653771.56000000006</v>
      </c>
      <c r="N29" s="9">
        <f>376534.1+23326.55</f>
        <v>399860.64999999997</v>
      </c>
      <c r="O29" s="67">
        <f>132799.18+17268.35</f>
        <v>150067.53</v>
      </c>
      <c r="P29" s="9">
        <f>43566.27+1181.1</f>
        <v>44747.369999999995</v>
      </c>
      <c r="Q29" s="7">
        <f>39707+4317.05</f>
        <v>44024.05</v>
      </c>
      <c r="R29" s="9">
        <f>12691.22+1200.3</f>
        <v>13891.519999999999</v>
      </c>
      <c r="S29" s="80">
        <f t="shared" si="2"/>
        <v>652591.12</v>
      </c>
      <c r="T29" s="3"/>
    </row>
    <row r="30" spans="1:20" ht="16.149999999999999" customHeight="1" x14ac:dyDescent="0.2">
      <c r="A30" s="79">
        <v>27</v>
      </c>
      <c r="B30" s="7">
        <v>413230.03</v>
      </c>
      <c r="C30" s="7">
        <v>153301.6</v>
      </c>
      <c r="D30" s="7">
        <v>46098.96</v>
      </c>
      <c r="E30" s="7">
        <v>45873.34</v>
      </c>
      <c r="F30" s="7">
        <v>14095.81</v>
      </c>
      <c r="G30" s="80">
        <f t="shared" si="0"/>
        <v>672599.74</v>
      </c>
      <c r="H30" s="7">
        <v>411311.54</v>
      </c>
      <c r="I30" s="7">
        <v>154833.41</v>
      </c>
      <c r="J30" s="7">
        <v>46098.91</v>
      </c>
      <c r="K30" s="7">
        <v>47622.26</v>
      </c>
      <c r="L30" s="7">
        <v>14095.76</v>
      </c>
      <c r="M30" s="80">
        <f t="shared" si="1"/>
        <v>673961.88</v>
      </c>
      <c r="N30" s="67">
        <f>386953.49+18663.6</f>
        <v>405617.08999999997</v>
      </c>
      <c r="O30" s="8">
        <f>137294.46+15546.05</f>
        <v>152840.50999999998</v>
      </c>
      <c r="P30" s="7">
        <f>44890.91+973.3</f>
        <v>45864.210000000006</v>
      </c>
      <c r="Q30" s="7">
        <f>42850.73+4207.3</f>
        <v>47058.030000000006</v>
      </c>
      <c r="R30" s="7">
        <f>12892+1014.2</f>
        <v>13906.2</v>
      </c>
      <c r="S30" s="80">
        <f t="shared" si="2"/>
        <v>665286.03999999992</v>
      </c>
      <c r="T30" s="3"/>
    </row>
    <row r="31" spans="1:20" ht="16.149999999999999" customHeight="1" x14ac:dyDescent="0.2">
      <c r="A31" s="79">
        <v>28</v>
      </c>
      <c r="B31" s="7">
        <v>402482.82</v>
      </c>
      <c r="C31" s="7">
        <v>148090.75</v>
      </c>
      <c r="D31" s="7">
        <v>45933.98</v>
      </c>
      <c r="E31" s="7">
        <v>45765.37</v>
      </c>
      <c r="F31" s="7">
        <v>13606.37</v>
      </c>
      <c r="G31" s="80">
        <f t="shared" si="0"/>
        <v>655879.29</v>
      </c>
      <c r="H31" s="7">
        <v>403978.39</v>
      </c>
      <c r="I31" s="7">
        <v>149369.4</v>
      </c>
      <c r="J31" s="7">
        <v>45933.93</v>
      </c>
      <c r="K31" s="7">
        <v>45765.37</v>
      </c>
      <c r="L31" s="7">
        <v>14074.53</v>
      </c>
      <c r="M31" s="80">
        <f t="shared" si="1"/>
        <v>659121.62000000011</v>
      </c>
      <c r="N31" s="7">
        <f>379215.14+30457.7</f>
        <v>409672.84</v>
      </c>
      <c r="O31" s="7">
        <f>130697.49+19386.15</f>
        <v>150083.64000000001</v>
      </c>
      <c r="P31" s="7">
        <f>44616.98+1533.1</f>
        <v>46150.080000000002</v>
      </c>
      <c r="Q31" s="7">
        <f>41063.14+5266.45</f>
        <v>46329.59</v>
      </c>
      <c r="R31" s="7">
        <f>12770.03+1494.1</f>
        <v>14264.130000000001</v>
      </c>
      <c r="S31" s="80">
        <f t="shared" si="2"/>
        <v>666500.27999999991</v>
      </c>
    </row>
    <row r="32" spans="1:20" ht="16.149999999999999" customHeight="1" x14ac:dyDescent="0.2">
      <c r="A32" s="79">
        <v>29</v>
      </c>
      <c r="B32" s="7">
        <v>398829.51</v>
      </c>
      <c r="C32" s="7">
        <v>144933.32999999999</v>
      </c>
      <c r="D32" s="7">
        <v>45941.53</v>
      </c>
      <c r="E32" s="7">
        <v>43694.47</v>
      </c>
      <c r="F32" s="7">
        <v>13900.03</v>
      </c>
      <c r="G32" s="80">
        <f t="shared" si="0"/>
        <v>647298.87</v>
      </c>
      <c r="H32" s="7">
        <v>401109</v>
      </c>
      <c r="I32" s="7">
        <v>142979.6</v>
      </c>
      <c r="J32" s="7">
        <v>45941.49</v>
      </c>
      <c r="K32" s="7">
        <v>43694.47</v>
      </c>
      <c r="L32" s="7">
        <v>13900.03</v>
      </c>
      <c r="M32" s="80">
        <f t="shared" si="1"/>
        <v>647624.59</v>
      </c>
      <c r="N32" s="9">
        <f>377085.95+24023.05</f>
        <v>401109</v>
      </c>
      <c r="O32" s="9">
        <f>125908.49+15843</f>
        <v>141751.49</v>
      </c>
      <c r="P32" s="9">
        <f>44699.79+1241.75</f>
        <v>45941.54</v>
      </c>
      <c r="Q32" s="9">
        <f>39421.07+4273.4</f>
        <v>43694.47</v>
      </c>
      <c r="R32" s="9">
        <f>12654.23+1245.8</f>
        <v>13900.029999999999</v>
      </c>
      <c r="S32" s="80">
        <f t="shared" si="2"/>
        <v>646396.53</v>
      </c>
    </row>
    <row r="33" spans="1:20" ht="16.149999999999999" customHeight="1" x14ac:dyDescent="0.2">
      <c r="A33" s="79">
        <v>30</v>
      </c>
      <c r="B33" s="7">
        <v>407224.03</v>
      </c>
      <c r="C33" s="7">
        <v>149310.25</v>
      </c>
      <c r="D33" s="7">
        <v>46864.84</v>
      </c>
      <c r="E33" s="7">
        <v>43393.35</v>
      </c>
      <c r="F33" s="7"/>
      <c r="G33" s="80">
        <f t="shared" si="0"/>
        <v>646792.47</v>
      </c>
      <c r="H33" s="7">
        <v>410547.66</v>
      </c>
      <c r="I33" s="7">
        <v>152700.59</v>
      </c>
      <c r="J33" s="7">
        <v>47388.33</v>
      </c>
      <c r="K33" s="7">
        <v>43383.35</v>
      </c>
      <c r="L33" s="7"/>
      <c r="M33" s="80">
        <f t="shared" si="1"/>
        <v>654019.92999999993</v>
      </c>
      <c r="N33" s="9">
        <f>383608.28+23302.1</f>
        <v>406910.38</v>
      </c>
      <c r="O33" s="9">
        <f>135644.24+17056.35</f>
        <v>152700.59</v>
      </c>
      <c r="P33" s="9">
        <f>46169.58+1218.75</f>
        <v>47388.33</v>
      </c>
      <c r="Q33" s="9">
        <f>39022.3+4371.05</f>
        <v>43393.350000000006</v>
      </c>
      <c r="R33" s="9">
        <f>12777.13+1225.05</f>
        <v>14002.179999999998</v>
      </c>
      <c r="S33" s="80">
        <f>SUM(N33:R33)</f>
        <v>664394.82999999996</v>
      </c>
    </row>
    <row r="34" spans="1:20" ht="16.149999999999999" customHeight="1" x14ac:dyDescent="0.2">
      <c r="A34" s="79">
        <v>31</v>
      </c>
      <c r="B34" s="9"/>
      <c r="C34" s="9"/>
      <c r="D34" s="7"/>
      <c r="E34" s="7"/>
      <c r="F34" s="7"/>
      <c r="G34" s="80">
        <f t="shared" si="0"/>
        <v>0</v>
      </c>
      <c r="H34" s="7"/>
      <c r="I34" s="7"/>
      <c r="J34" s="7"/>
      <c r="K34" s="7"/>
      <c r="L34" s="7"/>
      <c r="M34" s="80">
        <f t="shared" si="1"/>
        <v>0</v>
      </c>
      <c r="N34" s="9"/>
      <c r="O34" s="9"/>
      <c r="P34" s="9"/>
      <c r="Q34" s="9"/>
      <c r="R34" s="9"/>
      <c r="S34" s="80">
        <f t="shared" si="2"/>
        <v>0</v>
      </c>
    </row>
    <row r="35" spans="1:20" ht="16.149999999999999" customHeight="1" thickBot="1" x14ac:dyDescent="0.25">
      <c r="A35" s="39" t="s">
        <v>10</v>
      </c>
      <c r="B35" s="68">
        <f>SUM(B4:B34)</f>
        <v>10422424.66</v>
      </c>
      <c r="C35" s="69">
        <f>SUM(C4:C34)</f>
        <v>3816790.4899999998</v>
      </c>
      <c r="D35" s="70">
        <f>SUM(D4:D34)</f>
        <v>1155305.77</v>
      </c>
      <c r="E35" s="70">
        <f>SUM(E4:E34)</f>
        <v>1078735.6200000001</v>
      </c>
      <c r="F35" s="70">
        <f>SUM(F4:F34)</f>
        <v>335413.81</v>
      </c>
      <c r="G35" s="71">
        <f t="shared" si="0"/>
        <v>16808670.349999998</v>
      </c>
      <c r="H35" s="68">
        <f t="shared" ref="H35:S35" si="3">SUM(H4:H34)</f>
        <v>10022847.18</v>
      </c>
      <c r="I35" s="70">
        <f t="shared" si="3"/>
        <v>3509719.97</v>
      </c>
      <c r="J35" s="70">
        <f t="shared" si="3"/>
        <v>1110278.9300000004</v>
      </c>
      <c r="K35" s="70">
        <f t="shared" si="3"/>
        <v>1033040.49</v>
      </c>
      <c r="L35" s="70">
        <f t="shared" si="3"/>
        <v>316477.74000000005</v>
      </c>
      <c r="M35" s="72">
        <f t="shared" si="3"/>
        <v>15992364.309999999</v>
      </c>
      <c r="N35" s="68">
        <f>SUM(N4:N34)</f>
        <v>10464309.75</v>
      </c>
      <c r="O35" s="70">
        <f t="shared" si="3"/>
        <v>3823465.5499999989</v>
      </c>
      <c r="P35" s="70">
        <f t="shared" si="3"/>
        <v>1159593.2400000002</v>
      </c>
      <c r="Q35" s="70">
        <f t="shared" si="3"/>
        <v>1079765.7900000003</v>
      </c>
      <c r="R35" s="70">
        <f t="shared" si="3"/>
        <v>349884.07</v>
      </c>
      <c r="S35" s="73">
        <f t="shared" si="3"/>
        <v>16877018.399999999</v>
      </c>
      <c r="T35" s="17"/>
    </row>
    <row r="37" spans="1:20" x14ac:dyDescent="0.2">
      <c r="H37" s="4" t="s">
        <v>11</v>
      </c>
    </row>
    <row r="38" spans="1:20" x14ac:dyDescent="0.2">
      <c r="N38" s="14" t="s">
        <v>11</v>
      </c>
      <c r="O38" s="15" t="s">
        <v>11</v>
      </c>
      <c r="P38" s="14" t="s">
        <v>11</v>
      </c>
      <c r="Q38" s="16" t="s">
        <v>11</v>
      </c>
      <c r="R38" s="16" t="s">
        <v>11</v>
      </c>
    </row>
    <row r="39" spans="1:20" x14ac:dyDescent="0.2">
      <c r="N39" s="14"/>
    </row>
  </sheetData>
  <mergeCells count="5">
    <mergeCell ref="B1:S1"/>
    <mergeCell ref="A2:A3"/>
    <mergeCell ref="B2:G2"/>
    <mergeCell ref="H2:M2"/>
    <mergeCell ref="N2:S2"/>
  </mergeCells>
  <printOptions horizontalCentered="1" verticalCentered="1"/>
  <pageMargins left="0" right="0" top="0" bottom="0" header="0" footer="0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FB64-69B6-426D-8903-1895234FEB08}">
  <sheetPr>
    <pageSetUpPr fitToPage="1"/>
  </sheetPr>
  <dimension ref="A1:T39"/>
  <sheetViews>
    <sheetView workbookViewId="0">
      <pane xSplit="1" ySplit="3" topLeftCell="E15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defaultColWidth="9.140625" defaultRowHeight="12.75" x14ac:dyDescent="0.2"/>
  <cols>
    <col min="1" max="1" width="6.85546875" style="1" customWidth="1"/>
    <col min="2" max="6" width="11.7109375" style="1" customWidth="1"/>
    <col min="7" max="7" width="12.7109375" style="2" customWidth="1"/>
    <col min="8" max="8" width="11.7109375" style="4" customWidth="1"/>
    <col min="9" max="12" width="11.7109375" style="1" customWidth="1"/>
    <col min="13" max="13" width="12.7109375" style="2" customWidth="1"/>
    <col min="14" max="18" width="11.7109375" style="13" customWidth="1"/>
    <col min="19" max="19" width="12.7109375" style="1" customWidth="1"/>
    <col min="20" max="20" width="10.7109375" style="1" customWidth="1"/>
    <col min="21" max="16384" width="9.140625" style="1"/>
  </cols>
  <sheetData>
    <row r="1" spans="1:19" ht="24" customHeight="1" x14ac:dyDescent="0.2">
      <c r="A1" s="74"/>
      <c r="B1" s="125" t="s">
        <v>16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</row>
    <row r="2" spans="1:19" ht="18.75" x14ac:dyDescent="0.25">
      <c r="A2" s="126" t="s">
        <v>0</v>
      </c>
      <c r="B2" s="127" t="s">
        <v>1</v>
      </c>
      <c r="C2" s="128"/>
      <c r="D2" s="128"/>
      <c r="E2" s="128"/>
      <c r="F2" s="128"/>
      <c r="G2" s="128"/>
      <c r="H2" s="127" t="s">
        <v>2</v>
      </c>
      <c r="I2" s="128"/>
      <c r="J2" s="128"/>
      <c r="K2" s="128"/>
      <c r="L2" s="128"/>
      <c r="M2" s="128"/>
      <c r="N2" s="127" t="s">
        <v>3</v>
      </c>
      <c r="O2" s="128"/>
      <c r="P2" s="128"/>
      <c r="Q2" s="128"/>
      <c r="R2" s="128"/>
      <c r="S2" s="128"/>
    </row>
    <row r="3" spans="1:19" ht="16.149999999999999" customHeight="1" x14ac:dyDescent="0.2">
      <c r="A3" s="126"/>
      <c r="B3" s="75" t="s">
        <v>4</v>
      </c>
      <c r="C3" s="75" t="s">
        <v>5</v>
      </c>
      <c r="D3" s="75" t="s">
        <v>6</v>
      </c>
      <c r="E3" s="75" t="s">
        <v>7</v>
      </c>
      <c r="F3" s="75" t="s">
        <v>8</v>
      </c>
      <c r="G3" s="76" t="s">
        <v>9</v>
      </c>
      <c r="H3" s="77" t="s">
        <v>4</v>
      </c>
      <c r="I3" s="75" t="s">
        <v>5</v>
      </c>
      <c r="J3" s="75" t="s">
        <v>6</v>
      </c>
      <c r="K3" s="75" t="s">
        <v>7</v>
      </c>
      <c r="L3" s="75" t="s">
        <v>8</v>
      </c>
      <c r="M3" s="78" t="s">
        <v>9</v>
      </c>
      <c r="N3" s="75" t="s">
        <v>4</v>
      </c>
      <c r="O3" s="75" t="s">
        <v>5</v>
      </c>
      <c r="P3" s="75" t="s">
        <v>6</v>
      </c>
      <c r="Q3" s="75" t="s">
        <v>7</v>
      </c>
      <c r="R3" s="75" t="s">
        <v>8</v>
      </c>
      <c r="S3" s="78" t="s">
        <v>9</v>
      </c>
    </row>
    <row r="4" spans="1:19" ht="16.149999999999999" customHeight="1" x14ac:dyDescent="0.2">
      <c r="A4" s="79">
        <v>1</v>
      </c>
      <c r="B4" s="7">
        <v>407522.09</v>
      </c>
      <c r="C4" s="7">
        <v>162267.18</v>
      </c>
      <c r="D4" s="7">
        <v>46640.85</v>
      </c>
      <c r="E4" s="7">
        <v>45892.57</v>
      </c>
      <c r="F4" s="7">
        <v>13895.77</v>
      </c>
      <c r="G4" s="80">
        <f t="shared" ref="G4:G35" si="0">SUM(B4:F4)</f>
        <v>676218.46</v>
      </c>
      <c r="H4" s="7">
        <v>398648.51</v>
      </c>
      <c r="I4" s="7">
        <v>170217.82</v>
      </c>
      <c r="J4" s="7">
        <v>45793.91</v>
      </c>
      <c r="K4" s="7">
        <v>24719.5</v>
      </c>
      <c r="L4" s="7">
        <v>5558.31</v>
      </c>
      <c r="M4" s="80">
        <f t="shared" ref="M4:M34" si="1">SUM(H4:L4)</f>
        <v>644938.05000000016</v>
      </c>
      <c r="N4" s="9">
        <f>374667.27+23981.25</f>
        <v>398648.52</v>
      </c>
      <c r="O4" s="9">
        <f>150233.81+19512.6</f>
        <v>169746.41</v>
      </c>
      <c r="P4" s="9">
        <f>44642.36+1151.55</f>
        <v>45793.91</v>
      </c>
      <c r="Q4" s="9">
        <f>24121.03+2027.95</f>
        <v>26148.98</v>
      </c>
      <c r="R4" s="9">
        <f>5473.61+84.7</f>
        <v>5558.3099999999995</v>
      </c>
      <c r="S4" s="80">
        <f t="shared" ref="S4:S34" si="2">SUM(N4:R4)</f>
        <v>645896.13000000012</v>
      </c>
    </row>
    <row r="5" spans="1:19" ht="16.149999999999999" customHeight="1" x14ac:dyDescent="0.2">
      <c r="A5" s="79">
        <v>2</v>
      </c>
      <c r="B5" s="30">
        <v>416312.17</v>
      </c>
      <c r="C5" s="7">
        <v>164277.1</v>
      </c>
      <c r="D5" s="7">
        <v>48394.32</v>
      </c>
      <c r="E5" s="7">
        <v>44306.76</v>
      </c>
      <c r="F5" s="7">
        <v>14444.8</v>
      </c>
      <c r="G5" s="80">
        <f t="shared" si="0"/>
        <v>687735.15</v>
      </c>
      <c r="H5" s="7">
        <v>423474.36</v>
      </c>
      <c r="I5" s="7">
        <v>163705.17000000001</v>
      </c>
      <c r="J5" s="7">
        <v>49241.26</v>
      </c>
      <c r="K5" s="7">
        <v>65479.83</v>
      </c>
      <c r="L5" s="7">
        <v>22782.21</v>
      </c>
      <c r="M5" s="80">
        <f t="shared" si="1"/>
        <v>724682.83</v>
      </c>
      <c r="N5" s="9">
        <f>396389.05+26008.5</f>
        <v>422397.55</v>
      </c>
      <c r="O5" s="9">
        <f>145124.92+18580.3</f>
        <v>163705.22</v>
      </c>
      <c r="P5" s="9">
        <f>47961.61+1279.65</f>
        <v>49241.26</v>
      </c>
      <c r="Q5" s="9">
        <f>56950.64+7099.7</f>
        <v>64050.34</v>
      </c>
      <c r="R5" s="9">
        <f>20409.56+2372.7</f>
        <v>22782.260000000002</v>
      </c>
      <c r="S5" s="80">
        <f t="shared" si="2"/>
        <v>722176.63</v>
      </c>
    </row>
    <row r="6" spans="1:19" ht="16.149999999999999" customHeight="1" x14ac:dyDescent="0.2">
      <c r="A6" s="79">
        <v>3</v>
      </c>
      <c r="B6" s="7">
        <v>418184.18</v>
      </c>
      <c r="C6" s="7">
        <v>166401.26</v>
      </c>
      <c r="D6" s="7">
        <v>48894.32</v>
      </c>
      <c r="E6" s="7">
        <v>47894.79</v>
      </c>
      <c r="F6" s="7">
        <v>14746.97</v>
      </c>
      <c r="G6" s="80">
        <f t="shared" si="0"/>
        <v>696121.5199999999</v>
      </c>
      <c r="H6" s="7">
        <v>42105.79</v>
      </c>
      <c r="I6" s="7">
        <v>168282.84</v>
      </c>
      <c r="J6" s="7">
        <v>48392.12</v>
      </c>
      <c r="K6" s="7">
        <v>47894.79</v>
      </c>
      <c r="L6" s="7">
        <v>14746.97</v>
      </c>
      <c r="M6" s="80">
        <f t="shared" si="1"/>
        <v>321422.50999999995</v>
      </c>
      <c r="N6" s="9">
        <f>395022.89+26001.5</f>
        <v>421024.39</v>
      </c>
      <c r="O6" s="9">
        <f>148783.76+19079.6</f>
        <v>167863.36000000002</v>
      </c>
      <c r="P6" s="9">
        <f>47167.02+1225.1</f>
        <v>48392.119999999995</v>
      </c>
      <c r="Q6" s="9">
        <f>43239.44+4655.35</f>
        <v>47894.79</v>
      </c>
      <c r="R6" s="9">
        <f>13501.77+1245.2</f>
        <v>14746.970000000001</v>
      </c>
      <c r="S6" s="80">
        <f t="shared" si="2"/>
        <v>699921.63</v>
      </c>
    </row>
    <row r="7" spans="1:19" ht="16.149999999999999" customHeight="1" x14ac:dyDescent="0.2">
      <c r="A7" s="79">
        <v>4</v>
      </c>
      <c r="B7" s="7">
        <v>426993.2</v>
      </c>
      <c r="C7" s="7">
        <v>165136.71</v>
      </c>
      <c r="D7" s="7">
        <v>48797.3</v>
      </c>
      <c r="E7" s="7">
        <v>47188.44</v>
      </c>
      <c r="F7" s="7">
        <v>14746.97</v>
      </c>
      <c r="G7" s="80">
        <f t="shared" si="0"/>
        <v>702862.62000000011</v>
      </c>
      <c r="H7" s="7">
        <v>429287.17</v>
      </c>
      <c r="I7" s="7">
        <v>168251.47</v>
      </c>
      <c r="J7" s="7">
        <v>49895.34</v>
      </c>
      <c r="K7" s="7">
        <v>47188.39</v>
      </c>
      <c r="L7" s="7">
        <v>14746.97</v>
      </c>
      <c r="M7" s="80">
        <f t="shared" si="1"/>
        <v>709369.34</v>
      </c>
      <c r="N7" s="9">
        <f>403362.22+25924.95</f>
        <v>429287.17</v>
      </c>
      <c r="O7" s="9">
        <f>147964.82+18776.3</f>
        <v>166741.12</v>
      </c>
      <c r="P7" s="9">
        <f>48747.74+1147.6</f>
        <v>49895.34</v>
      </c>
      <c r="Q7" s="9">
        <f>42477.35+4711.1</f>
        <v>47188.45</v>
      </c>
      <c r="R7" s="9">
        <f>13525.87+1221.1</f>
        <v>14746.970000000001</v>
      </c>
      <c r="S7" s="80">
        <f t="shared" si="2"/>
        <v>707859.04999999993</v>
      </c>
    </row>
    <row r="8" spans="1:19" ht="16.149999999999999" customHeight="1" x14ac:dyDescent="0.2">
      <c r="A8" s="79">
        <v>5</v>
      </c>
      <c r="B8" s="7">
        <v>415635.95</v>
      </c>
      <c r="C8" s="7">
        <v>161471.4</v>
      </c>
      <c r="D8" s="7">
        <v>48869.74</v>
      </c>
      <c r="E8" s="7">
        <v>42242.61</v>
      </c>
      <c r="F8" s="7">
        <v>14300.09</v>
      </c>
      <c r="G8" s="80">
        <f t="shared" si="0"/>
        <v>682519.78999999992</v>
      </c>
      <c r="H8" s="7">
        <v>302713.08</v>
      </c>
      <c r="I8" s="7">
        <v>162046.25</v>
      </c>
      <c r="J8" s="7">
        <v>37519.050000000003</v>
      </c>
      <c r="K8" s="7">
        <v>36253.11</v>
      </c>
      <c r="L8" s="7">
        <v>12738.15</v>
      </c>
      <c r="M8" s="80">
        <f t="shared" si="1"/>
        <v>551269.64</v>
      </c>
      <c r="N8" s="9">
        <f>284438.71+16532.95</f>
        <v>300971.66000000003</v>
      </c>
      <c r="O8" s="9">
        <f>143338.23+18236.6</f>
        <v>161574.83000000002</v>
      </c>
      <c r="P8" s="9">
        <f>36633.7+885.35</f>
        <v>37519.049999999996</v>
      </c>
      <c r="Q8" s="9">
        <f>34535.42+3530.55</f>
        <v>38065.97</v>
      </c>
      <c r="R8" s="9">
        <f>11829.1+909.05</f>
        <v>12738.15</v>
      </c>
      <c r="S8" s="80">
        <f t="shared" si="2"/>
        <v>550869.66</v>
      </c>
    </row>
    <row r="9" spans="1:19" ht="16.149999999999999" customHeight="1" x14ac:dyDescent="0.2">
      <c r="A9" s="79">
        <v>6</v>
      </c>
      <c r="B9" s="8">
        <v>261887.33</v>
      </c>
      <c r="C9" s="7">
        <v>70207.55</v>
      </c>
      <c r="D9" s="7">
        <v>26382.82</v>
      </c>
      <c r="E9" s="7">
        <v>17634.439999999999</v>
      </c>
      <c r="F9" s="7">
        <v>7520.32</v>
      </c>
      <c r="G9" s="80">
        <f t="shared" si="0"/>
        <v>383632.46</v>
      </c>
      <c r="H9" s="7">
        <v>384780.71</v>
      </c>
      <c r="I9" s="7">
        <v>72875.149999999994</v>
      </c>
      <c r="J9" s="7">
        <v>37239.83</v>
      </c>
      <c r="K9" s="7">
        <v>23623.89</v>
      </c>
      <c r="L9" s="7">
        <v>9746.19</v>
      </c>
      <c r="M9" s="80">
        <f t="shared" si="1"/>
        <v>528265.77</v>
      </c>
      <c r="N9" s="9">
        <f>365721.86+19058.85</f>
        <v>384780.70999999996</v>
      </c>
      <c r="O9" s="9">
        <f>64587.39+7891.95</f>
        <v>72479.34</v>
      </c>
      <c r="P9" s="9">
        <f>36399.07+840.75</f>
        <v>37239.82</v>
      </c>
      <c r="Q9" s="9">
        <f>20708.34+2915.55</f>
        <v>23623.89</v>
      </c>
      <c r="R9" s="9">
        <f>9016.39+729.8</f>
        <v>9746.1899999999987</v>
      </c>
      <c r="S9" s="80">
        <f t="shared" si="2"/>
        <v>527869.94999999995</v>
      </c>
    </row>
    <row r="10" spans="1:19" ht="16.149999999999999" customHeight="1" x14ac:dyDescent="0.2">
      <c r="A10" s="79">
        <v>7</v>
      </c>
      <c r="B10" s="7">
        <v>111774.71</v>
      </c>
      <c r="C10" s="7">
        <v>35385.839999999997</v>
      </c>
      <c r="D10" s="7">
        <v>12584.93</v>
      </c>
      <c r="E10" s="7">
        <v>9199.7999999999993</v>
      </c>
      <c r="F10" s="7">
        <v>3268.59</v>
      </c>
      <c r="G10" s="80">
        <f t="shared" si="0"/>
        <v>172213.86999999997</v>
      </c>
      <c r="H10" s="30">
        <v>119738.46</v>
      </c>
      <c r="I10" s="7">
        <v>38321.370000000003</v>
      </c>
      <c r="J10" s="7">
        <v>12584.93</v>
      </c>
      <c r="K10" s="7">
        <v>9199.76</v>
      </c>
      <c r="L10" s="7">
        <v>3268.54</v>
      </c>
      <c r="M10" s="80">
        <f t="shared" si="1"/>
        <v>183113.06000000003</v>
      </c>
      <c r="N10" s="8">
        <f>114139.31+5599.12</f>
        <v>119738.43</v>
      </c>
      <c r="O10" s="8">
        <f>33974.46+4346.95</f>
        <v>38321.409999999996</v>
      </c>
      <c r="P10" s="7">
        <f>12295.39+289.55</f>
        <v>12584.939999999999</v>
      </c>
      <c r="Q10" s="8">
        <f>8224.96+974.85</f>
        <v>9199.81</v>
      </c>
      <c r="R10" s="7">
        <f>2981.04+287.55</f>
        <v>3268.59</v>
      </c>
      <c r="S10" s="80">
        <f t="shared" si="2"/>
        <v>183113.18</v>
      </c>
    </row>
    <row r="11" spans="1:19" ht="16.149999999999999" customHeight="1" x14ac:dyDescent="0.2">
      <c r="A11" s="79">
        <v>8</v>
      </c>
      <c r="B11" s="7">
        <v>410908.13</v>
      </c>
      <c r="C11" s="7">
        <v>158924.70000000001</v>
      </c>
      <c r="D11" s="7">
        <v>47149.42</v>
      </c>
      <c r="E11" s="7">
        <v>45792.43</v>
      </c>
      <c r="F11" s="7">
        <v>13848.96</v>
      </c>
      <c r="G11" s="80">
        <f t="shared" si="0"/>
        <v>676623.64000000013</v>
      </c>
      <c r="H11" s="7">
        <v>388944.74</v>
      </c>
      <c r="I11" s="7">
        <v>159614.03</v>
      </c>
      <c r="J11" s="7">
        <v>48260.18</v>
      </c>
      <c r="K11" s="7">
        <v>45792.38</v>
      </c>
      <c r="L11" s="7">
        <v>13848.96</v>
      </c>
      <c r="M11" s="80">
        <f t="shared" si="1"/>
        <v>656460.29</v>
      </c>
      <c r="N11" s="7">
        <f>387884.31+24321.9</f>
        <v>412206.21</v>
      </c>
      <c r="O11" s="8">
        <f>140514.06+18410.65</f>
        <v>158924.71</v>
      </c>
      <c r="P11" s="7">
        <f>47005.78+1254.45</f>
        <v>48260.229999999996</v>
      </c>
      <c r="Q11" s="7">
        <f>41364.38+4428.05</f>
        <v>45792.43</v>
      </c>
      <c r="R11" s="7">
        <f>12674.61+1174.35</f>
        <v>13848.960000000001</v>
      </c>
      <c r="S11" s="80">
        <f t="shared" si="2"/>
        <v>679032.54</v>
      </c>
    </row>
    <row r="12" spans="1:19" ht="16.149999999999999" customHeight="1" x14ac:dyDescent="0.2">
      <c r="A12" s="79">
        <v>9</v>
      </c>
      <c r="B12" s="7">
        <v>420621.42</v>
      </c>
      <c r="C12" s="7">
        <v>165310.06</v>
      </c>
      <c r="D12" s="7">
        <v>49165.46</v>
      </c>
      <c r="E12" s="7">
        <v>47803.02</v>
      </c>
      <c r="F12" s="7">
        <v>14929.98</v>
      </c>
      <c r="G12" s="80">
        <f t="shared" si="0"/>
        <v>697829.94</v>
      </c>
      <c r="H12" s="7">
        <v>420621.42</v>
      </c>
      <c r="I12" s="7">
        <v>166494.03</v>
      </c>
      <c r="J12" s="7">
        <v>48109.55</v>
      </c>
      <c r="K12" s="7">
        <v>47803.02</v>
      </c>
      <c r="L12" s="7">
        <v>14998.07</v>
      </c>
      <c r="M12" s="80">
        <f t="shared" si="1"/>
        <v>698026.09</v>
      </c>
      <c r="N12" s="9">
        <f>395447.32+25174.1</f>
        <v>420621.42</v>
      </c>
      <c r="O12" s="67">
        <f>147585.78+18908.3</f>
        <v>166494.07999999999</v>
      </c>
      <c r="P12" s="9">
        <f>46819.75+1289.85</f>
        <v>48109.599999999999</v>
      </c>
      <c r="Q12" s="7">
        <f>43185.28+4617.75</f>
        <v>47803.03</v>
      </c>
      <c r="R12" s="9">
        <f>13685.13+1312.95</f>
        <v>14998.08</v>
      </c>
      <c r="S12" s="80">
        <f t="shared" si="2"/>
        <v>698026.21</v>
      </c>
    </row>
    <row r="13" spans="1:19" ht="16.149999999999999" customHeight="1" x14ac:dyDescent="0.2">
      <c r="A13" s="79">
        <v>10</v>
      </c>
      <c r="B13" s="7">
        <v>416500.77</v>
      </c>
      <c r="C13" s="7">
        <v>159531.45000000001</v>
      </c>
      <c r="D13" s="7">
        <v>49025.02</v>
      </c>
      <c r="E13" s="7">
        <v>44645.47</v>
      </c>
      <c r="F13" s="7">
        <v>14610.78</v>
      </c>
      <c r="G13" s="80">
        <f t="shared" si="0"/>
        <v>684313.49</v>
      </c>
      <c r="H13" s="7">
        <v>415577.22</v>
      </c>
      <c r="I13" s="7">
        <v>161329.32999999999</v>
      </c>
      <c r="J13" s="7">
        <v>50080.88</v>
      </c>
      <c r="K13" s="7">
        <v>44645.47</v>
      </c>
      <c r="L13" s="7">
        <v>14610.78</v>
      </c>
      <c r="M13" s="80">
        <f t="shared" si="1"/>
        <v>686243.67999999993</v>
      </c>
      <c r="N13" s="8">
        <f>390738.13+24839.1</f>
        <v>415577.23</v>
      </c>
      <c r="O13" s="8">
        <f>142510.74+17348.65</f>
        <v>159859.38999999998</v>
      </c>
      <c r="P13" s="8">
        <f>48800.03+1280.85</f>
        <v>50080.88</v>
      </c>
      <c r="Q13" s="7">
        <f>40405.77+4239.7</f>
        <v>44645.469999999994</v>
      </c>
      <c r="R13" s="8">
        <f>13403.73+1207.05</f>
        <v>14610.779999999999</v>
      </c>
      <c r="S13" s="80">
        <f t="shared" si="2"/>
        <v>684773.75</v>
      </c>
    </row>
    <row r="14" spans="1:19" ht="16.149999999999999" customHeight="1" x14ac:dyDescent="0.2">
      <c r="A14" s="79">
        <v>11</v>
      </c>
      <c r="B14" s="7">
        <v>413140.65</v>
      </c>
      <c r="C14" s="7">
        <v>159995.49</v>
      </c>
      <c r="D14" s="7">
        <v>47503.62</v>
      </c>
      <c r="E14" s="7">
        <v>45426.66</v>
      </c>
      <c r="F14" s="7">
        <v>14474.59</v>
      </c>
      <c r="G14" s="80">
        <f t="shared" si="0"/>
        <v>680541.01</v>
      </c>
      <c r="H14" s="7">
        <v>416583.5</v>
      </c>
      <c r="I14" s="7">
        <v>161399</v>
      </c>
      <c r="J14" s="7">
        <v>46452.4</v>
      </c>
      <c r="K14" s="7">
        <v>45426.61</v>
      </c>
      <c r="L14" s="7">
        <v>13223.28</v>
      </c>
      <c r="M14" s="80">
        <f t="shared" si="1"/>
        <v>683084.79</v>
      </c>
      <c r="N14" s="8">
        <f>389542.08+25216.7</f>
        <v>414758.78</v>
      </c>
      <c r="O14" s="7">
        <f>142624.18+18085.5</f>
        <v>160709.68</v>
      </c>
      <c r="P14" s="8">
        <f>45182.45+1269.95</f>
        <v>46452.399999999994</v>
      </c>
      <c r="Q14" s="7">
        <f>41150.26+4276.4</f>
        <v>45426.66</v>
      </c>
      <c r="R14" s="8">
        <f>13166.24+1308.35</f>
        <v>14474.59</v>
      </c>
      <c r="S14" s="80">
        <f t="shared" si="2"/>
        <v>681822.11</v>
      </c>
    </row>
    <row r="15" spans="1:19" ht="16.149999999999999" customHeight="1" x14ac:dyDescent="0.2">
      <c r="A15" s="79">
        <v>12</v>
      </c>
      <c r="B15" s="7">
        <v>419021.89</v>
      </c>
      <c r="C15" s="7">
        <v>155042.72</v>
      </c>
      <c r="D15" s="7">
        <v>47902.35</v>
      </c>
      <c r="E15" s="7">
        <v>43013.13</v>
      </c>
      <c r="F15" s="7">
        <v>14380.96</v>
      </c>
      <c r="G15" s="80">
        <f t="shared" si="0"/>
        <v>679361.04999999993</v>
      </c>
      <c r="H15" s="7">
        <v>417697.18</v>
      </c>
      <c r="I15" s="7">
        <v>155892.72</v>
      </c>
      <c r="J15" s="7">
        <v>45982.85</v>
      </c>
      <c r="K15" s="7">
        <v>43013.13</v>
      </c>
      <c r="L15" s="7">
        <v>14380.96</v>
      </c>
      <c r="M15" s="80">
        <f t="shared" si="1"/>
        <v>676966.84</v>
      </c>
      <c r="N15" s="7">
        <f>393436.32+24260.9</f>
        <v>417697.22000000003</v>
      </c>
      <c r="O15" s="8">
        <f>137500.88+16995.45</f>
        <v>154496.33000000002</v>
      </c>
      <c r="P15" s="7">
        <f>44871.8+1111.1</f>
        <v>45982.9</v>
      </c>
      <c r="Q15" s="7">
        <f>38750.24+4262.9</f>
        <v>43013.14</v>
      </c>
      <c r="R15" s="7">
        <f>13251.86+1129.1</f>
        <v>14380.960000000001</v>
      </c>
      <c r="S15" s="80">
        <f t="shared" si="2"/>
        <v>675570.55</v>
      </c>
    </row>
    <row r="16" spans="1:19" ht="16.149999999999999" customHeight="1" x14ac:dyDescent="0.2">
      <c r="A16" s="79">
        <v>13</v>
      </c>
      <c r="B16" s="7">
        <v>277398.08</v>
      </c>
      <c r="C16" s="7">
        <v>76698.880000000005</v>
      </c>
      <c r="D16" s="7">
        <v>28080.959999999999</v>
      </c>
      <c r="E16" s="7">
        <v>18099.009999999998</v>
      </c>
      <c r="F16" s="7">
        <v>8052.31</v>
      </c>
      <c r="G16" s="80">
        <f t="shared" si="0"/>
        <v>408329.24000000005</v>
      </c>
      <c r="H16" s="7">
        <v>283593.21000000002</v>
      </c>
      <c r="I16" s="7">
        <v>78196.17</v>
      </c>
      <c r="J16" s="7">
        <v>29800.37</v>
      </c>
      <c r="K16" s="7">
        <v>15907.94</v>
      </c>
      <c r="L16" s="7">
        <v>8052.31</v>
      </c>
      <c r="M16" s="80">
        <f t="shared" si="1"/>
        <v>415550</v>
      </c>
      <c r="N16" s="7">
        <f>267933.27+12022.65</f>
        <v>279955.92000000004</v>
      </c>
      <c r="O16" s="7">
        <f>69386.67+8809.55</f>
        <v>78196.22</v>
      </c>
      <c r="P16" s="7">
        <f>29220.37+580</f>
        <v>29800.37</v>
      </c>
      <c r="Q16" s="7">
        <f>15808.05+2290.95</f>
        <v>18099</v>
      </c>
      <c r="R16" s="7">
        <f>7488.31+564</f>
        <v>8052.31</v>
      </c>
      <c r="S16" s="80">
        <f t="shared" si="2"/>
        <v>414103.82</v>
      </c>
    </row>
    <row r="17" spans="1:20" ht="16.149999999999999" customHeight="1" x14ac:dyDescent="0.2">
      <c r="A17" s="79">
        <v>14</v>
      </c>
      <c r="B17" s="7">
        <v>126579.4</v>
      </c>
      <c r="C17" s="7">
        <v>40710.22</v>
      </c>
      <c r="D17" s="7">
        <v>12997.76</v>
      </c>
      <c r="E17" s="7">
        <v>9111.9599999999991</v>
      </c>
      <c r="F17" s="7">
        <v>3472.88</v>
      </c>
      <c r="G17" s="80">
        <f t="shared" si="0"/>
        <v>192872.22</v>
      </c>
      <c r="H17" s="7">
        <v>129867.36</v>
      </c>
      <c r="I17" s="7">
        <v>41635.25</v>
      </c>
      <c r="J17" s="7">
        <v>14616.28</v>
      </c>
      <c r="K17" s="7">
        <v>9562.57</v>
      </c>
      <c r="L17" s="7">
        <v>3472.83</v>
      </c>
      <c r="M17" s="80">
        <f t="shared" si="1"/>
        <v>199154.28999999998</v>
      </c>
      <c r="N17" s="7">
        <f>120114.5+5652</f>
        <v>125766.5</v>
      </c>
      <c r="O17" s="8">
        <f>35828.41+4881.8</f>
        <v>40710.210000000006</v>
      </c>
      <c r="P17" s="7">
        <f>13929.07+319.95</f>
        <v>14249.02</v>
      </c>
      <c r="Q17" s="7">
        <f>8180.46+931.5</f>
        <v>9111.9599999999991</v>
      </c>
      <c r="R17" s="7">
        <f>3240.83+232.05</f>
        <v>3472.88</v>
      </c>
      <c r="S17" s="80">
        <f t="shared" si="2"/>
        <v>193310.57</v>
      </c>
    </row>
    <row r="18" spans="1:20" ht="16.149999999999999" customHeight="1" x14ac:dyDescent="0.2">
      <c r="A18" s="79">
        <v>15</v>
      </c>
      <c r="B18" s="7">
        <v>406770.26</v>
      </c>
      <c r="C18" s="7">
        <v>168022.65</v>
      </c>
      <c r="D18" s="7">
        <v>47438.78</v>
      </c>
      <c r="E18" s="7">
        <v>45940.77</v>
      </c>
      <c r="F18" s="7">
        <v>14278.81</v>
      </c>
      <c r="G18" s="80">
        <f t="shared" si="0"/>
        <v>682451.27000000014</v>
      </c>
      <c r="H18" s="7">
        <v>404695.02</v>
      </c>
      <c r="I18" s="7">
        <v>169894.32</v>
      </c>
      <c r="J18" s="7">
        <v>46456.56</v>
      </c>
      <c r="K18" s="7">
        <v>45940.77</v>
      </c>
      <c r="L18" s="7">
        <v>14278.81</v>
      </c>
      <c r="M18" s="80">
        <f t="shared" si="1"/>
        <v>681265.48000000021</v>
      </c>
      <c r="N18" s="9">
        <f>380076.23+23662.05</f>
        <v>403738.27999999997</v>
      </c>
      <c r="O18" s="67">
        <f>149372.32+20522</f>
        <v>169894.32</v>
      </c>
      <c r="P18" s="9">
        <f>45068.48+1199.9</f>
        <v>46268.380000000005</v>
      </c>
      <c r="Q18" s="7">
        <f>41287.17+4653.6</f>
        <v>45940.77</v>
      </c>
      <c r="R18" s="9">
        <f>13033.51+1245.3</f>
        <v>14278.81</v>
      </c>
      <c r="S18" s="80">
        <f t="shared" si="2"/>
        <v>680120.56</v>
      </c>
    </row>
    <row r="19" spans="1:20" ht="16.149999999999999" customHeight="1" x14ac:dyDescent="0.2">
      <c r="A19" s="79">
        <v>16</v>
      </c>
      <c r="B19" s="7">
        <v>420425.84</v>
      </c>
      <c r="C19" s="30">
        <v>169542.03</v>
      </c>
      <c r="D19" s="30">
        <v>48974.85</v>
      </c>
      <c r="E19" s="30">
        <v>48468.44</v>
      </c>
      <c r="F19" s="30">
        <v>14568.22</v>
      </c>
      <c r="G19" s="80">
        <f t="shared" si="0"/>
        <v>701979.37999999989</v>
      </c>
      <c r="H19" s="7">
        <v>426227.74</v>
      </c>
      <c r="I19" s="30">
        <v>170373.48</v>
      </c>
      <c r="J19" s="30">
        <v>48774.77</v>
      </c>
      <c r="K19" s="30">
        <v>46216.4</v>
      </c>
      <c r="L19" s="30">
        <v>13399.12</v>
      </c>
      <c r="M19" s="80">
        <f t="shared" si="1"/>
        <v>704991.51</v>
      </c>
      <c r="N19" s="7">
        <f>400455.74+25772</f>
        <v>426227.74</v>
      </c>
      <c r="O19" s="8">
        <f>150492.12+19124.7</f>
        <v>169616.82</v>
      </c>
      <c r="P19" s="7">
        <f>47430.23+1344.6</f>
        <v>48774.83</v>
      </c>
      <c r="Q19" s="9">
        <f>41918.5+4297.9</f>
        <v>46216.4</v>
      </c>
      <c r="R19" s="7">
        <f>13345.82+1222.4</f>
        <v>14568.22</v>
      </c>
      <c r="S19" s="80">
        <f t="shared" si="2"/>
        <v>705404.01</v>
      </c>
    </row>
    <row r="20" spans="1:20" ht="16.149999999999999" customHeight="1" x14ac:dyDescent="0.2">
      <c r="A20" s="79">
        <v>17</v>
      </c>
      <c r="B20" s="7">
        <v>428668.24</v>
      </c>
      <c r="C20" s="30">
        <v>169521.71</v>
      </c>
      <c r="D20" s="30">
        <v>49432.2</v>
      </c>
      <c r="E20" s="30">
        <v>46738.84</v>
      </c>
      <c r="F20" s="30">
        <v>14244.77</v>
      </c>
      <c r="G20" s="80">
        <f t="shared" si="0"/>
        <v>708605.75999999989</v>
      </c>
      <c r="H20" s="7">
        <v>414688.68</v>
      </c>
      <c r="I20" s="30">
        <v>168056.22</v>
      </c>
      <c r="J20" s="30">
        <v>46556.12</v>
      </c>
      <c r="K20" s="30">
        <v>47641.25</v>
      </c>
      <c r="L20" s="30">
        <v>13068.78</v>
      </c>
      <c r="M20" s="80">
        <f t="shared" si="1"/>
        <v>690011.05</v>
      </c>
      <c r="N20" s="7">
        <f>389680.77+25077.95</f>
        <v>414758.72000000003</v>
      </c>
      <c r="O20" s="8">
        <f>149245.56+18810.7</f>
        <v>168056.26</v>
      </c>
      <c r="P20" s="7">
        <f>45304.07+1252.1</f>
        <v>46556.17</v>
      </c>
      <c r="Q20" s="7">
        <f>42582.15+5059.1</f>
        <v>47641.25</v>
      </c>
      <c r="R20" s="7">
        <f>13015.17+1229.6</f>
        <v>14244.77</v>
      </c>
      <c r="S20" s="80">
        <f t="shared" si="2"/>
        <v>691257.17</v>
      </c>
    </row>
    <row r="21" spans="1:20" ht="16.149999999999999" customHeight="1" x14ac:dyDescent="0.2">
      <c r="A21" s="79">
        <v>18</v>
      </c>
      <c r="B21" s="7">
        <v>419292.02</v>
      </c>
      <c r="C21" s="30">
        <v>167300.66</v>
      </c>
      <c r="D21" s="30">
        <v>48171.29</v>
      </c>
      <c r="E21" s="30">
        <v>48556.28</v>
      </c>
      <c r="F21" s="30">
        <v>14385.21</v>
      </c>
      <c r="G21" s="80">
        <f t="shared" si="0"/>
        <v>697705.46000000008</v>
      </c>
      <c r="H21" s="7">
        <v>428472.89</v>
      </c>
      <c r="I21" s="30">
        <v>167904.15</v>
      </c>
      <c r="J21" s="30">
        <v>52417.75</v>
      </c>
      <c r="K21" s="30">
        <v>49905.91</v>
      </c>
      <c r="L21" s="30">
        <v>13135.01</v>
      </c>
      <c r="M21" s="80">
        <f t="shared" si="1"/>
        <v>711835.71000000008</v>
      </c>
      <c r="N21" s="7">
        <f>401793.68+25602.4</f>
        <v>427396.08</v>
      </c>
      <c r="O21" s="30">
        <f>148887.35+19016.8</f>
        <v>167904.15</v>
      </c>
      <c r="P21" s="7">
        <f>50977.85+1439.9</f>
        <v>52417.75</v>
      </c>
      <c r="Q21" s="7">
        <f>44887.26+5018.65</f>
        <v>49905.91</v>
      </c>
      <c r="R21" s="7">
        <f>13078.02+1307.2</f>
        <v>14385.220000000001</v>
      </c>
      <c r="S21" s="80">
        <f>SUM(N21:R21)</f>
        <v>712009.11</v>
      </c>
    </row>
    <row r="22" spans="1:20" ht="16.149999999999999" customHeight="1" x14ac:dyDescent="0.2">
      <c r="A22" s="79">
        <v>19</v>
      </c>
      <c r="B22" s="7">
        <v>406749.36</v>
      </c>
      <c r="C22" s="7">
        <v>149170.9</v>
      </c>
      <c r="D22" s="7">
        <v>46798.23</v>
      </c>
      <c r="E22" s="7">
        <v>43936.92</v>
      </c>
      <c r="F22" s="7">
        <v>13444.64</v>
      </c>
      <c r="G22" s="80">
        <f t="shared" si="0"/>
        <v>660100.05000000005</v>
      </c>
      <c r="H22" s="7">
        <v>408069.24</v>
      </c>
      <c r="I22" s="7">
        <v>151025.07999999999</v>
      </c>
      <c r="J22" s="7">
        <v>46798.23</v>
      </c>
      <c r="K22" s="7">
        <v>43936.92</v>
      </c>
      <c r="L22" s="7">
        <v>12317.76</v>
      </c>
      <c r="M22" s="80">
        <f t="shared" si="1"/>
        <v>662147.23</v>
      </c>
      <c r="N22" s="7">
        <f>383429.27+24120.75</f>
        <v>407550.02</v>
      </c>
      <c r="O22" s="8">
        <f>135396.86+16996.25</f>
        <v>152393.10999999999</v>
      </c>
      <c r="P22" s="7">
        <f>45534.56+1248.95</f>
        <v>46783.509999999995</v>
      </c>
      <c r="Q22" s="7">
        <f>39513.27+4423.65</f>
        <v>43936.92</v>
      </c>
      <c r="R22" s="7">
        <f>12266.39+1178.25</f>
        <v>13444.64</v>
      </c>
      <c r="S22" s="80">
        <f t="shared" si="2"/>
        <v>664108.20000000007</v>
      </c>
    </row>
    <row r="23" spans="1:20" ht="16.149999999999999" customHeight="1" x14ac:dyDescent="0.2">
      <c r="A23" s="79">
        <v>20</v>
      </c>
      <c r="B23" s="7">
        <v>247688.52</v>
      </c>
      <c r="C23" s="7">
        <v>66831.03</v>
      </c>
      <c r="D23" s="7">
        <v>25191.15</v>
      </c>
      <c r="E23" s="7">
        <v>16308.25</v>
      </c>
      <c r="F23" s="7">
        <v>7813.98</v>
      </c>
      <c r="G23" s="80">
        <f t="shared" si="0"/>
        <v>363832.93</v>
      </c>
      <c r="H23" s="7">
        <v>247068.39</v>
      </c>
      <c r="I23" s="7">
        <v>67791.45</v>
      </c>
      <c r="J23" s="7">
        <v>25191.1</v>
      </c>
      <c r="K23" s="7">
        <v>16308.25</v>
      </c>
      <c r="L23" s="7">
        <v>7813.93</v>
      </c>
      <c r="M23" s="80">
        <f t="shared" si="1"/>
        <v>364173.12</v>
      </c>
      <c r="N23" s="9">
        <f>235929.74+11138.65</f>
        <v>247068.38999999998</v>
      </c>
      <c r="O23" s="67">
        <f>60949.79+7296.7</f>
        <v>68246.490000000005</v>
      </c>
      <c r="P23" s="9">
        <f>24690.74+500.4</f>
        <v>25191.140000000003</v>
      </c>
      <c r="Q23" s="9">
        <f>14377.25+1931</f>
        <v>16308.25</v>
      </c>
      <c r="R23" s="9">
        <f>7256.03+557.95</f>
        <v>7813.98</v>
      </c>
      <c r="S23" s="80">
        <f t="shared" si="2"/>
        <v>364628.25</v>
      </c>
    </row>
    <row r="24" spans="1:20" ht="16.149999999999999" customHeight="1" x14ac:dyDescent="0.2">
      <c r="A24" s="79">
        <v>21</v>
      </c>
      <c r="B24" s="7">
        <v>109064.7</v>
      </c>
      <c r="C24" s="7">
        <v>34795.65</v>
      </c>
      <c r="D24" s="7">
        <v>11269.84</v>
      </c>
      <c r="E24" s="7">
        <v>8632.7999999999993</v>
      </c>
      <c r="F24" s="7">
        <v>2991.95</v>
      </c>
      <c r="G24" s="80">
        <f t="shared" si="0"/>
        <v>166754.94</v>
      </c>
      <c r="H24" s="7">
        <v>108051.63</v>
      </c>
      <c r="I24" s="7">
        <v>34795.599999999999</v>
      </c>
      <c r="J24" s="7">
        <v>11269.84</v>
      </c>
      <c r="K24" s="7">
        <v>8632.75</v>
      </c>
      <c r="L24" s="7">
        <v>2991.95</v>
      </c>
      <c r="M24" s="80">
        <f t="shared" si="1"/>
        <v>165741.77000000002</v>
      </c>
      <c r="N24" s="7">
        <f>103368.68+4682.95</f>
        <v>108051.62999999999</v>
      </c>
      <c r="O24" s="67">
        <f>30544.4+4251.25</f>
        <v>34795.65</v>
      </c>
      <c r="P24" s="9">
        <f>11063.54+206.3</f>
        <v>11269.84</v>
      </c>
      <c r="Q24" s="7">
        <f>7685.01+947.8</f>
        <v>8632.81</v>
      </c>
      <c r="R24" s="9">
        <f>2731.81+260.15</f>
        <v>2991.96</v>
      </c>
      <c r="S24" s="80">
        <f t="shared" si="2"/>
        <v>165741.88999999998</v>
      </c>
    </row>
    <row r="25" spans="1:20" ht="16.149999999999999" customHeight="1" x14ac:dyDescent="0.2">
      <c r="A25" s="79">
        <v>22</v>
      </c>
      <c r="B25" s="7">
        <v>408458.79</v>
      </c>
      <c r="C25" s="7">
        <v>162084.17000000001</v>
      </c>
      <c r="D25" s="7">
        <v>46051.33</v>
      </c>
      <c r="E25" s="7">
        <v>45933.21</v>
      </c>
      <c r="F25" s="7">
        <v>14338.4</v>
      </c>
      <c r="G25" s="80">
        <f t="shared" si="0"/>
        <v>676865.89999999991</v>
      </c>
      <c r="H25" s="7">
        <v>408411.25</v>
      </c>
      <c r="I25" s="7">
        <v>162785.31</v>
      </c>
      <c r="J25" s="7">
        <v>46051.28</v>
      </c>
      <c r="K25" s="7">
        <v>41508.379999999997</v>
      </c>
      <c r="L25" s="7">
        <v>14338.4</v>
      </c>
      <c r="M25" s="80">
        <f t="shared" si="1"/>
        <v>673094.62000000011</v>
      </c>
      <c r="N25" s="7">
        <f>385141.66+23269.6</f>
        <v>408411.25999999995</v>
      </c>
      <c r="O25" s="8">
        <f>144699.85+17689.7</f>
        <v>162389.55000000002</v>
      </c>
      <c r="P25" s="7">
        <f>44770.98+1280.35</f>
        <v>46051.33</v>
      </c>
      <c r="Q25" s="7">
        <f>41306.66+4626.55</f>
        <v>45933.210000000006</v>
      </c>
      <c r="R25" s="7">
        <f>13181.2+1157.2</f>
        <v>14338.400000000001</v>
      </c>
      <c r="S25" s="80">
        <f t="shared" si="2"/>
        <v>677123.74999999988</v>
      </c>
    </row>
    <row r="26" spans="1:20" ht="16.149999999999999" customHeight="1" x14ac:dyDescent="0.2">
      <c r="A26" s="79">
        <v>23</v>
      </c>
      <c r="B26" s="7">
        <v>417747.68</v>
      </c>
      <c r="C26" s="7">
        <v>167495.57999999999</v>
      </c>
      <c r="D26" s="7">
        <v>46691.02</v>
      </c>
      <c r="E26" s="7">
        <v>47846.73</v>
      </c>
      <c r="F26" s="7">
        <v>14981.05</v>
      </c>
      <c r="G26" s="80">
        <f t="shared" si="0"/>
        <v>694762.06</v>
      </c>
      <c r="H26" s="7">
        <v>410941.65</v>
      </c>
      <c r="I26" s="7">
        <v>166245.07999999999</v>
      </c>
      <c r="J26" s="7">
        <v>47503.48</v>
      </c>
      <c r="K26" s="7">
        <v>47846.73</v>
      </c>
      <c r="L26" s="7">
        <v>13718.98</v>
      </c>
      <c r="M26" s="80">
        <f t="shared" si="1"/>
        <v>686255.91999999993</v>
      </c>
      <c r="N26" s="7">
        <f>387601.8+23339.9</f>
        <v>410941.7</v>
      </c>
      <c r="O26" s="8">
        <f>148251.08+17994</f>
        <v>166245.07999999999</v>
      </c>
      <c r="P26" s="7">
        <f>46237.68+1265.85</f>
        <v>47503.53</v>
      </c>
      <c r="Q26" s="7">
        <f>43239.53+4517.2</f>
        <v>47756.729999999996</v>
      </c>
      <c r="R26" s="7">
        <f>13661.45+1319.6</f>
        <v>14981.050000000001</v>
      </c>
      <c r="S26" s="80">
        <f t="shared" si="2"/>
        <v>687428.09000000008</v>
      </c>
    </row>
    <row r="27" spans="1:20" ht="16.149999999999999" customHeight="1" x14ac:dyDescent="0.2">
      <c r="A27" s="79">
        <v>24</v>
      </c>
      <c r="B27" s="7">
        <v>428110.03</v>
      </c>
      <c r="C27" s="7">
        <v>165239.48000000001</v>
      </c>
      <c r="D27" s="7">
        <v>47009.83</v>
      </c>
      <c r="E27" s="7">
        <v>48328.28</v>
      </c>
      <c r="F27" s="7">
        <v>14755.48</v>
      </c>
      <c r="G27" s="80">
        <f t="shared" si="0"/>
        <v>703443.1</v>
      </c>
      <c r="H27" s="7">
        <v>424842.97</v>
      </c>
      <c r="I27" s="7">
        <v>167098</v>
      </c>
      <c r="J27" s="7">
        <v>47009.83</v>
      </c>
      <c r="K27" s="7">
        <v>43946.91</v>
      </c>
      <c r="L27" s="7">
        <v>14755.48</v>
      </c>
      <c r="M27" s="80">
        <f t="shared" si="1"/>
        <v>697653.19</v>
      </c>
      <c r="N27" s="7">
        <f>400301.77+24513.75</f>
        <v>424815.52</v>
      </c>
      <c r="O27" s="8">
        <f>148840.62+17903.75</f>
        <v>166744.37</v>
      </c>
      <c r="P27" s="7">
        <f>45792.54+1217.3</f>
        <v>47009.840000000004</v>
      </c>
      <c r="Q27" s="7">
        <f>43747.17+4581.1</f>
        <v>48328.27</v>
      </c>
      <c r="R27" s="7">
        <f>13586.88+1168.6</f>
        <v>14755.48</v>
      </c>
      <c r="S27" s="80">
        <f t="shared" si="2"/>
        <v>701653.48</v>
      </c>
      <c r="T27" s="3"/>
    </row>
    <row r="28" spans="1:20" ht="16.149999999999999" customHeight="1" x14ac:dyDescent="0.2">
      <c r="A28" s="79">
        <v>25</v>
      </c>
      <c r="B28" s="7">
        <v>411901.3</v>
      </c>
      <c r="C28" s="7">
        <v>162017.17000000001</v>
      </c>
      <c r="D28" s="7">
        <v>46033.11</v>
      </c>
      <c r="E28" s="7">
        <v>47430.17</v>
      </c>
      <c r="F28" s="7">
        <v>13963.87</v>
      </c>
      <c r="G28" s="80">
        <f t="shared" si="0"/>
        <v>681345.62</v>
      </c>
      <c r="H28" s="7">
        <v>437160.49</v>
      </c>
      <c r="I28" s="7">
        <v>163781.35</v>
      </c>
      <c r="J28" s="7">
        <v>46033.06</v>
      </c>
      <c r="K28" s="7">
        <v>48412.87</v>
      </c>
      <c r="L28" s="7">
        <v>13963.87</v>
      </c>
      <c r="M28" s="80">
        <f t="shared" si="1"/>
        <v>709351.6399999999</v>
      </c>
      <c r="N28" s="124">
        <f>412268.74+24891.75</f>
        <v>437160.49</v>
      </c>
      <c r="O28" s="124">
        <f>144834.64+18190.05</f>
        <v>163024.69</v>
      </c>
      <c r="P28" s="124">
        <f>44805.51+1227.6</f>
        <v>46033.11</v>
      </c>
      <c r="Q28" s="124">
        <f>43583.82+4829.05</f>
        <v>48412.87</v>
      </c>
      <c r="R28" s="124">
        <f>12795.12+1168.75</f>
        <v>13963.87</v>
      </c>
      <c r="S28" s="80">
        <f t="shared" si="2"/>
        <v>708595.02999999991</v>
      </c>
      <c r="T28" s="3"/>
    </row>
    <row r="29" spans="1:20" ht="16.149999999999999" customHeight="1" x14ac:dyDescent="0.2">
      <c r="A29" s="79">
        <v>26</v>
      </c>
      <c r="B29" s="7">
        <v>402923.48</v>
      </c>
      <c r="C29" s="7">
        <v>158810.12</v>
      </c>
      <c r="D29" s="7">
        <v>45796.45</v>
      </c>
      <c r="E29" s="7">
        <v>44174.73</v>
      </c>
      <c r="F29" s="7">
        <v>13640.42</v>
      </c>
      <c r="G29" s="80">
        <f t="shared" si="0"/>
        <v>665345.19999999995</v>
      </c>
      <c r="H29" s="7">
        <v>406183.56</v>
      </c>
      <c r="I29" s="7">
        <v>159238.88</v>
      </c>
      <c r="J29" s="7">
        <v>45796.45</v>
      </c>
      <c r="K29" s="7">
        <v>44190.7</v>
      </c>
      <c r="L29" s="7">
        <v>12604.97</v>
      </c>
      <c r="M29" s="80">
        <f t="shared" si="1"/>
        <v>668014.55999999982</v>
      </c>
      <c r="N29" s="9">
        <f>383469.65+22713.9</f>
        <v>406183.55000000005</v>
      </c>
      <c r="O29" s="67">
        <f>142295.37+17172.85</f>
        <v>159468.22</v>
      </c>
      <c r="P29" s="9">
        <f>44582.05+1214.4</f>
        <v>45796.450000000004</v>
      </c>
      <c r="Q29" s="7">
        <f>39900.8+4289.9</f>
        <v>44190.700000000004</v>
      </c>
      <c r="R29" s="9">
        <f>12557.77+1082.65</f>
        <v>13640.42</v>
      </c>
      <c r="S29" s="80">
        <f t="shared" si="2"/>
        <v>669279.34</v>
      </c>
      <c r="T29" s="3"/>
    </row>
    <row r="30" spans="1:20" ht="16.149999999999999" customHeight="1" x14ac:dyDescent="0.2">
      <c r="A30" s="79">
        <v>27</v>
      </c>
      <c r="B30" s="7">
        <v>258311.54</v>
      </c>
      <c r="C30" s="7">
        <v>77663.460000000006</v>
      </c>
      <c r="D30" s="7">
        <v>25778.47</v>
      </c>
      <c r="E30" s="7">
        <v>17836.29</v>
      </c>
      <c r="F30" s="7">
        <v>7354.33</v>
      </c>
      <c r="G30" s="80">
        <f t="shared" si="0"/>
        <v>386944.08999999997</v>
      </c>
      <c r="H30" s="7">
        <v>258911.63</v>
      </c>
      <c r="I30" s="7">
        <v>78868.28</v>
      </c>
      <c r="J30" s="7">
        <v>25778.47</v>
      </c>
      <c r="K30" s="7">
        <v>17836.29</v>
      </c>
      <c r="L30" s="7">
        <v>7354.33</v>
      </c>
      <c r="M30" s="80">
        <f t="shared" si="1"/>
        <v>388749</v>
      </c>
      <c r="N30" s="67">
        <f>247997.09+10914.55</f>
        <v>258911.63999999998</v>
      </c>
      <c r="O30" s="8">
        <f>69516.2+8427.05</f>
        <v>77943.25</v>
      </c>
      <c r="P30" s="7">
        <f>25231.42+547.05</f>
        <v>25778.469999999998</v>
      </c>
      <c r="Q30" s="7">
        <f>15480.54+2355.75</f>
        <v>17836.29</v>
      </c>
      <c r="R30" s="7">
        <f>6886.93+467.4</f>
        <v>7354.33</v>
      </c>
      <c r="S30" s="80">
        <f t="shared" si="2"/>
        <v>387823.98</v>
      </c>
      <c r="T30" s="3"/>
    </row>
    <row r="31" spans="1:20" ht="16.149999999999999" customHeight="1" x14ac:dyDescent="0.2">
      <c r="A31" s="79">
        <v>28</v>
      </c>
      <c r="B31" s="7">
        <v>119921.9</v>
      </c>
      <c r="C31" s="7">
        <v>37106.69</v>
      </c>
      <c r="D31" s="7">
        <v>12138.05</v>
      </c>
      <c r="E31" s="7">
        <v>9311.61</v>
      </c>
      <c r="F31" s="7">
        <v>3519.7</v>
      </c>
      <c r="G31" s="80">
        <f t="shared" si="0"/>
        <v>181997.95</v>
      </c>
      <c r="H31" s="7">
        <v>119921.9</v>
      </c>
      <c r="I31" s="7">
        <v>38500.89</v>
      </c>
      <c r="J31" s="7">
        <v>12138.05</v>
      </c>
      <c r="K31" s="7">
        <v>9311.56</v>
      </c>
      <c r="L31" s="7">
        <v>3519.7</v>
      </c>
      <c r="M31" s="80">
        <f t="shared" si="1"/>
        <v>183392.09999999998</v>
      </c>
      <c r="N31" s="7">
        <f xml:space="preserve"> 114410.94+5510.95</f>
        <v>119921.89</v>
      </c>
      <c r="O31" s="7">
        <f>33652.18+4377.35</f>
        <v>38029.53</v>
      </c>
      <c r="P31" s="7">
        <f>11878.86+259.2</f>
        <v>12138.060000000001</v>
      </c>
      <c r="Q31" s="7">
        <f>8396.95+914.65</f>
        <v>9311.6</v>
      </c>
      <c r="R31" s="7">
        <f>3214.94+304.75</f>
        <v>3519.69</v>
      </c>
      <c r="S31" s="80">
        <f t="shared" si="2"/>
        <v>182920.77</v>
      </c>
    </row>
    <row r="32" spans="1:20" ht="16.149999999999999" customHeight="1" x14ac:dyDescent="0.2">
      <c r="A32" s="79">
        <v>29</v>
      </c>
      <c r="B32" s="7">
        <v>392549.93</v>
      </c>
      <c r="C32" s="7">
        <v>152959.44</v>
      </c>
      <c r="D32" s="7">
        <v>43664.63</v>
      </c>
      <c r="E32" s="7">
        <v>44747.95</v>
      </c>
      <c r="F32" s="7">
        <v>13734.05</v>
      </c>
      <c r="G32" s="80">
        <f t="shared" si="0"/>
        <v>647656</v>
      </c>
      <c r="H32" s="7">
        <v>397199.47</v>
      </c>
      <c r="I32" s="7">
        <v>153025.43</v>
      </c>
      <c r="J32" s="7">
        <v>43664.63</v>
      </c>
      <c r="K32" s="7">
        <v>44803.85</v>
      </c>
      <c r="L32" s="7">
        <v>13734.05</v>
      </c>
      <c r="M32" s="80">
        <f t="shared" si="1"/>
        <v>652427.42999999993</v>
      </c>
      <c r="N32" s="9">
        <f>370229.04+23214.6</f>
        <v>393443.63999999996</v>
      </c>
      <c r="O32" s="9">
        <f>135429.88+17595.6</f>
        <v>153025.48000000001</v>
      </c>
      <c r="P32" s="9">
        <f>42433.34+1231.3</f>
        <v>43664.639999999999</v>
      </c>
      <c r="Q32" s="9">
        <f>40107.2+4696.65</f>
        <v>44803.85</v>
      </c>
      <c r="R32" s="9">
        <f>12585.29+1148.75</f>
        <v>13734.04</v>
      </c>
      <c r="S32" s="80">
        <f t="shared" si="2"/>
        <v>648671.65</v>
      </c>
    </row>
    <row r="33" spans="1:20" ht="16.149999999999999" customHeight="1" x14ac:dyDescent="0.2">
      <c r="A33" s="79">
        <v>30</v>
      </c>
      <c r="B33" s="7">
        <v>405554.34</v>
      </c>
      <c r="C33" s="7">
        <v>161426.98000000001</v>
      </c>
      <c r="D33" s="7">
        <v>44917.57</v>
      </c>
      <c r="E33" s="7">
        <v>47361.79</v>
      </c>
      <c r="F33" s="7">
        <v>13831.94</v>
      </c>
      <c r="G33" s="80">
        <f t="shared" si="0"/>
        <v>673092.62</v>
      </c>
      <c r="H33" s="7">
        <v>410948.58</v>
      </c>
      <c r="I33" s="7">
        <v>160909.66</v>
      </c>
      <c r="J33" s="7">
        <v>45127.35</v>
      </c>
      <c r="K33" s="7">
        <v>47604.81</v>
      </c>
      <c r="L33" s="7">
        <v>12715.58</v>
      </c>
      <c r="M33" s="80">
        <f t="shared" si="1"/>
        <v>677305.97999999986</v>
      </c>
      <c r="N33" s="9">
        <f>382116.02+24727.45</f>
        <v>406843.47000000003</v>
      </c>
      <c r="O33" s="9">
        <f>142759.18+17461.15</f>
        <v>160220.32999999999</v>
      </c>
      <c r="P33" s="9">
        <f>43473.8+1286.3</f>
        <v>44760.100000000006</v>
      </c>
      <c r="Q33" s="9">
        <f>42357.11+4797.05</f>
        <v>47154.16</v>
      </c>
      <c r="R33" s="9">
        <f>12664.69+1167.25</f>
        <v>13831.94</v>
      </c>
      <c r="S33" s="80">
        <f t="shared" si="2"/>
        <v>672810</v>
      </c>
    </row>
    <row r="34" spans="1:20" ht="16.149999999999999" customHeight="1" x14ac:dyDescent="0.2">
      <c r="A34" s="79">
        <v>31</v>
      </c>
      <c r="B34" s="9">
        <v>423284.47</v>
      </c>
      <c r="C34" s="9">
        <v>166659.25</v>
      </c>
      <c r="D34" s="7">
        <v>48345.69</v>
      </c>
      <c r="E34" s="7">
        <v>47096.29</v>
      </c>
      <c r="F34" s="7">
        <v>14317.12</v>
      </c>
      <c r="G34" s="80">
        <f t="shared" si="0"/>
        <v>699702.82</v>
      </c>
      <c r="H34" s="7">
        <v>419816.66</v>
      </c>
      <c r="I34" s="7">
        <v>167669.16</v>
      </c>
      <c r="J34" s="7">
        <v>48482.83</v>
      </c>
      <c r="K34" s="7">
        <v>47351.839999999997</v>
      </c>
      <c r="L34" s="7">
        <v>14317.12</v>
      </c>
      <c r="M34" s="80">
        <f t="shared" si="1"/>
        <v>697637.60999999987</v>
      </c>
      <c r="N34" s="9">
        <f>393936.07+24923.85</f>
        <v>418859.92</v>
      </c>
      <c r="O34" s="9">
        <f>148711.31+18957.9</f>
        <v>167669.21</v>
      </c>
      <c r="P34" s="9">
        <f>46894.01+1400.6</f>
        <v>48294.61</v>
      </c>
      <c r="Q34" s="9">
        <f>42670.44+4681.4</f>
        <v>47351.840000000004</v>
      </c>
      <c r="R34" s="9">
        <f>13220.07+1097.05</f>
        <v>14317.119999999999</v>
      </c>
      <c r="S34" s="80">
        <f t="shared" si="2"/>
        <v>696492.7</v>
      </c>
    </row>
    <row r="35" spans="1:20" ht="16.149999999999999" customHeight="1" thickBot="1" x14ac:dyDescent="0.25">
      <c r="A35" s="39" t="s">
        <v>10</v>
      </c>
      <c r="B35" s="68">
        <f>SUM(B4:B34)</f>
        <v>11049902.370000001</v>
      </c>
      <c r="C35" s="69">
        <f>SUM(C4:C34)</f>
        <v>4178007.5299999993</v>
      </c>
      <c r="D35" s="70">
        <f>SUM(D4:D34)</f>
        <v>1246091.3599999999</v>
      </c>
      <c r="E35" s="70">
        <f>SUM(E4:E34)</f>
        <v>1166900.4400000002</v>
      </c>
      <c r="F35" s="70">
        <f>SUM(F4:F34)</f>
        <v>372857.91</v>
      </c>
      <c r="G35" s="71">
        <f t="shared" si="0"/>
        <v>18013759.609999999</v>
      </c>
      <c r="H35" s="68">
        <f t="shared" ref="H35:S35" si="3">SUM(H4:H34)</f>
        <v>10705244.460000003</v>
      </c>
      <c r="I35" s="70">
        <f t="shared" si="3"/>
        <v>4216222.9400000004</v>
      </c>
      <c r="J35" s="70">
        <f t="shared" si="3"/>
        <v>1249018.75</v>
      </c>
      <c r="K35" s="70">
        <f t="shared" si="3"/>
        <v>1157906.5800000003</v>
      </c>
      <c r="L35" s="70">
        <f t="shared" si="3"/>
        <v>364202.36999999994</v>
      </c>
      <c r="M35" s="72">
        <f t="shared" si="3"/>
        <v>17692595.100000001</v>
      </c>
      <c r="N35" s="68">
        <f t="shared" si="3"/>
        <v>11083715.650000004</v>
      </c>
      <c r="O35" s="70">
        <f t="shared" si="3"/>
        <v>4205488.82</v>
      </c>
      <c r="P35" s="70">
        <f t="shared" si="3"/>
        <v>1247893.6000000001</v>
      </c>
      <c r="Q35" s="70">
        <f t="shared" si="3"/>
        <v>1169725.75</v>
      </c>
      <c r="R35" s="70">
        <f t="shared" si="3"/>
        <v>373589.93999999994</v>
      </c>
      <c r="S35" s="73">
        <f t="shared" si="3"/>
        <v>18080413.759999998</v>
      </c>
      <c r="T35" s="17"/>
    </row>
    <row r="37" spans="1:20" x14ac:dyDescent="0.2">
      <c r="H37" s="4" t="s">
        <v>11</v>
      </c>
    </row>
    <row r="38" spans="1:20" x14ac:dyDescent="0.2">
      <c r="N38" s="14" t="s">
        <v>11</v>
      </c>
      <c r="O38" s="15" t="s">
        <v>11</v>
      </c>
      <c r="P38" s="14" t="s">
        <v>11</v>
      </c>
      <c r="Q38" s="16" t="s">
        <v>11</v>
      </c>
      <c r="R38" s="16" t="s">
        <v>11</v>
      </c>
    </row>
    <row r="39" spans="1:20" x14ac:dyDescent="0.2">
      <c r="N39" s="14"/>
    </row>
  </sheetData>
  <mergeCells count="5">
    <mergeCell ref="B1:S1"/>
    <mergeCell ref="A2:A3"/>
    <mergeCell ref="B2:G2"/>
    <mergeCell ref="H2:M2"/>
    <mergeCell ref="N2:S2"/>
  </mergeCells>
  <printOptions horizontalCentered="1" verticalCentered="1"/>
  <pageMargins left="0" right="0" top="0" bottom="0" header="0" footer="0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2"/>
  <sheetViews>
    <sheetView zoomScale="99" zoomScaleNormal="99" workbookViewId="0">
      <pane xSplit="1" ySplit="2" topLeftCell="B3" activePane="bottomRight" state="frozen"/>
      <selection pane="topRight" activeCell="B1" sqref="B1"/>
      <selection pane="bottomLeft" activeCell="A2" sqref="A2"/>
      <selection pane="bottomRight" sqref="A1:A2"/>
    </sheetView>
  </sheetViews>
  <sheetFormatPr defaultColWidth="9.140625" defaultRowHeight="15" customHeight="1" x14ac:dyDescent="0.2"/>
  <cols>
    <col min="1" max="1" width="6.85546875" style="1" customWidth="1"/>
    <col min="2" max="16" width="10.7109375" style="13" customWidth="1"/>
    <col min="17" max="17" width="12.5703125" style="1" bestFit="1" customWidth="1"/>
    <col min="18" max="18" width="10.7109375" style="1" customWidth="1"/>
    <col min="19" max="16384" width="9.140625" style="1"/>
  </cols>
  <sheetData>
    <row r="1" spans="1:18" ht="19.899999999999999" customHeight="1" thickBot="1" x14ac:dyDescent="0.25">
      <c r="A1" s="129" t="s">
        <v>0</v>
      </c>
      <c r="B1" s="130" t="s">
        <v>3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2"/>
    </row>
    <row r="2" spans="1:18" ht="18" customHeight="1" x14ac:dyDescent="0.2">
      <c r="A2" s="129"/>
      <c r="B2" s="133" t="s">
        <v>4</v>
      </c>
      <c r="C2" s="134"/>
      <c r="D2" s="135"/>
      <c r="E2" s="133" t="s">
        <v>5</v>
      </c>
      <c r="F2" s="134"/>
      <c r="G2" s="135"/>
      <c r="H2" s="136" t="s">
        <v>6</v>
      </c>
      <c r="I2" s="137"/>
      <c r="J2" s="138"/>
      <c r="K2" s="136" t="s">
        <v>7</v>
      </c>
      <c r="L2" s="137"/>
      <c r="M2" s="138"/>
      <c r="N2" s="136" t="s">
        <v>8</v>
      </c>
      <c r="O2" s="137"/>
      <c r="P2" s="138"/>
      <c r="Q2" s="116" t="s">
        <v>9</v>
      </c>
    </row>
    <row r="3" spans="1:18" ht="15" customHeight="1" x14ac:dyDescent="0.2">
      <c r="A3" s="83"/>
      <c r="B3" s="86" t="s">
        <v>17</v>
      </c>
      <c r="C3" s="87" t="s">
        <v>18</v>
      </c>
      <c r="D3" s="88" t="s">
        <v>19</v>
      </c>
      <c r="E3" s="86" t="s">
        <v>17</v>
      </c>
      <c r="F3" s="87" t="s">
        <v>18</v>
      </c>
      <c r="G3" s="88" t="s">
        <v>19</v>
      </c>
      <c r="H3" s="86" t="s">
        <v>17</v>
      </c>
      <c r="I3" s="87" t="s">
        <v>18</v>
      </c>
      <c r="J3" s="88" t="s">
        <v>19</v>
      </c>
      <c r="K3" s="86" t="s">
        <v>17</v>
      </c>
      <c r="L3" s="87" t="s">
        <v>18</v>
      </c>
      <c r="M3" s="88" t="s">
        <v>19</v>
      </c>
      <c r="N3" s="86" t="s">
        <v>17</v>
      </c>
      <c r="O3" s="87" t="s">
        <v>18</v>
      </c>
      <c r="P3" s="88" t="s">
        <v>19</v>
      </c>
      <c r="Q3" s="89"/>
    </row>
    <row r="4" spans="1:18" ht="15" customHeight="1" x14ac:dyDescent="0.2">
      <c r="A4" s="84">
        <v>24</v>
      </c>
      <c r="B4" s="95">
        <v>316249.5</v>
      </c>
      <c r="C4" s="96">
        <v>12808</v>
      </c>
      <c r="D4" s="97">
        <f>B4+C4</f>
        <v>329057.5</v>
      </c>
      <c r="E4" s="98">
        <v>106932.21</v>
      </c>
      <c r="F4" s="99">
        <v>10497.4</v>
      </c>
      <c r="G4" s="100">
        <f>E4+F4</f>
        <v>117429.61</v>
      </c>
      <c r="H4" s="101">
        <v>35507.32</v>
      </c>
      <c r="I4" s="102">
        <v>943</v>
      </c>
      <c r="J4" s="103">
        <f>H4+I4</f>
        <v>36450.32</v>
      </c>
      <c r="K4" s="104">
        <v>33916.050000000003</v>
      </c>
      <c r="L4" s="105">
        <v>3040.3</v>
      </c>
      <c r="M4" s="106">
        <f>K4+L4</f>
        <v>36956.350000000006</v>
      </c>
      <c r="N4" s="101">
        <v>10334.469999999999</v>
      </c>
      <c r="O4" s="102">
        <v>650.54999999999995</v>
      </c>
      <c r="P4" s="103">
        <f>N4+O4</f>
        <v>10985.019999999999</v>
      </c>
      <c r="Q4" s="90">
        <f t="shared" ref="Q4:Q11" si="0">SUM(B4:N4)</f>
        <v>1050122.03</v>
      </c>
      <c r="R4" s="3"/>
    </row>
    <row r="5" spans="1:18" ht="15" customHeight="1" x14ac:dyDescent="0.2">
      <c r="A5" s="84">
        <v>25</v>
      </c>
      <c r="B5" s="107">
        <v>316231.55</v>
      </c>
      <c r="C5" s="108">
        <v>13356.9</v>
      </c>
      <c r="D5" s="97">
        <f t="shared" ref="D5:D6" si="1">B5+C5</f>
        <v>329588.45</v>
      </c>
      <c r="E5" s="109">
        <v>108926.62</v>
      </c>
      <c r="F5" s="110">
        <v>10800.75</v>
      </c>
      <c r="G5" s="100">
        <f t="shared" ref="G5:G6" si="2">E5+F5</f>
        <v>119727.37</v>
      </c>
      <c r="H5" s="107">
        <v>37397.760000000002</v>
      </c>
      <c r="I5" s="108">
        <v>1001.7</v>
      </c>
      <c r="J5" s="103">
        <f t="shared" ref="J5:J6" si="3">H5+I5</f>
        <v>38399.46</v>
      </c>
      <c r="K5" s="104">
        <v>35704.15</v>
      </c>
      <c r="L5" s="105">
        <v>3374.6</v>
      </c>
      <c r="M5" s="106">
        <f t="shared" ref="M5:M6" si="4">K5+L5</f>
        <v>39078.75</v>
      </c>
      <c r="N5" s="107">
        <v>10657.2</v>
      </c>
      <c r="O5" s="108">
        <v>796.5</v>
      </c>
      <c r="P5" s="103">
        <f t="shared" ref="P5:P6" si="5">N5+O5</f>
        <v>11453.7</v>
      </c>
      <c r="Q5" s="90">
        <f t="shared" si="0"/>
        <v>1064245.26</v>
      </c>
      <c r="R5" s="3"/>
    </row>
    <row r="6" spans="1:18" ht="15" customHeight="1" x14ac:dyDescent="0.2">
      <c r="A6" s="84">
        <v>26</v>
      </c>
      <c r="B6" s="104">
        <v>309793.58</v>
      </c>
      <c r="C6" s="105">
        <v>12981.95</v>
      </c>
      <c r="D6" s="97">
        <f t="shared" si="1"/>
        <v>322775.53000000003</v>
      </c>
      <c r="E6" s="104">
        <v>109690.38</v>
      </c>
      <c r="F6" s="105">
        <v>10074.950000000001</v>
      </c>
      <c r="G6" s="100">
        <f t="shared" si="2"/>
        <v>119765.33</v>
      </c>
      <c r="H6" s="104">
        <v>37313.800000000003</v>
      </c>
      <c r="I6" s="105">
        <v>848</v>
      </c>
      <c r="J6" s="103">
        <f t="shared" si="3"/>
        <v>38161.800000000003</v>
      </c>
      <c r="K6" s="104">
        <v>36088.07</v>
      </c>
      <c r="L6" s="105">
        <v>3035.15</v>
      </c>
      <c r="M6" s="106">
        <f t="shared" si="4"/>
        <v>39123.22</v>
      </c>
      <c r="N6" s="107">
        <v>10574.27</v>
      </c>
      <c r="O6" s="108">
        <v>759.35</v>
      </c>
      <c r="P6" s="103">
        <f t="shared" si="5"/>
        <v>11333.62</v>
      </c>
      <c r="Q6" s="90">
        <f t="shared" si="0"/>
        <v>1050226.03</v>
      </c>
      <c r="R6" s="3"/>
    </row>
    <row r="7" spans="1:18" ht="15" customHeight="1" x14ac:dyDescent="0.2">
      <c r="A7" s="84">
        <v>27</v>
      </c>
      <c r="B7" s="109"/>
      <c r="C7" s="110"/>
      <c r="D7" s="111"/>
      <c r="E7" s="112"/>
      <c r="F7" s="113"/>
      <c r="G7" s="114"/>
      <c r="H7" s="101"/>
      <c r="I7" s="102"/>
      <c r="J7" s="103"/>
      <c r="K7" s="104"/>
      <c r="L7" s="105"/>
      <c r="M7" s="106"/>
      <c r="N7" s="101"/>
      <c r="O7" s="102"/>
      <c r="P7" s="103"/>
      <c r="Q7" s="90">
        <f t="shared" si="0"/>
        <v>0</v>
      </c>
      <c r="R7" s="3"/>
    </row>
    <row r="8" spans="1:18" ht="15" customHeight="1" x14ac:dyDescent="0.2">
      <c r="A8" s="84">
        <v>28</v>
      </c>
      <c r="B8" s="104"/>
      <c r="C8" s="105"/>
      <c r="D8" s="106"/>
      <c r="E8" s="104"/>
      <c r="F8" s="105"/>
      <c r="G8" s="106"/>
      <c r="H8" s="104"/>
      <c r="I8" s="105"/>
      <c r="J8" s="106"/>
      <c r="K8" s="104"/>
      <c r="L8" s="105"/>
      <c r="M8" s="106"/>
      <c r="N8" s="104"/>
      <c r="O8" s="105"/>
      <c r="P8" s="106"/>
      <c r="Q8" s="90">
        <f t="shared" si="0"/>
        <v>0</v>
      </c>
    </row>
    <row r="9" spans="1:18" ht="15" customHeight="1" x14ac:dyDescent="0.2">
      <c r="A9" s="84">
        <v>29</v>
      </c>
      <c r="B9" s="107"/>
      <c r="C9" s="108"/>
      <c r="D9" s="115"/>
      <c r="E9" s="107"/>
      <c r="F9" s="108"/>
      <c r="G9" s="115"/>
      <c r="H9" s="107"/>
      <c r="I9" s="108"/>
      <c r="J9" s="115"/>
      <c r="K9" s="107"/>
      <c r="L9" s="108"/>
      <c r="M9" s="115"/>
      <c r="N9" s="107"/>
      <c r="O9" s="108"/>
      <c r="P9" s="115"/>
      <c r="Q9" s="90">
        <f t="shared" si="0"/>
        <v>0</v>
      </c>
    </row>
    <row r="10" spans="1:18" ht="15" customHeight="1" x14ac:dyDescent="0.2">
      <c r="A10" s="84">
        <v>30</v>
      </c>
      <c r="B10" s="107"/>
      <c r="C10" s="108"/>
      <c r="D10" s="115"/>
      <c r="E10" s="107"/>
      <c r="F10" s="108"/>
      <c r="G10" s="115"/>
      <c r="H10" s="107"/>
      <c r="I10" s="108"/>
      <c r="J10" s="115"/>
      <c r="K10" s="107"/>
      <c r="L10" s="108"/>
      <c r="M10" s="115"/>
      <c r="N10" s="107"/>
      <c r="O10" s="108"/>
      <c r="P10" s="115"/>
      <c r="Q10" s="90">
        <f t="shared" si="0"/>
        <v>0</v>
      </c>
    </row>
    <row r="11" spans="1:18" ht="15" customHeight="1" x14ac:dyDescent="0.2">
      <c r="A11" s="84">
        <v>31</v>
      </c>
      <c r="B11" s="107"/>
      <c r="C11" s="108"/>
      <c r="D11" s="115"/>
      <c r="E11" s="107"/>
      <c r="F11" s="108"/>
      <c r="G11" s="115"/>
      <c r="H11" s="107"/>
      <c r="I11" s="108"/>
      <c r="J11" s="115"/>
      <c r="K11" s="107"/>
      <c r="L11" s="108"/>
      <c r="M11" s="115"/>
      <c r="N11" s="107"/>
      <c r="O11" s="108"/>
      <c r="P11" s="115"/>
      <c r="Q11" s="90">
        <f t="shared" si="0"/>
        <v>0</v>
      </c>
    </row>
    <row r="12" spans="1:18" ht="15" customHeight="1" thickBot="1" x14ac:dyDescent="0.25">
      <c r="A12" s="85" t="s">
        <v>10</v>
      </c>
      <c r="B12" s="91">
        <f t="shared" ref="B12:Q12" si="6">SUM(B4:B11)</f>
        <v>942274.63000000012</v>
      </c>
      <c r="C12" s="92">
        <f t="shared" si="6"/>
        <v>39146.850000000006</v>
      </c>
      <c r="D12" s="93">
        <f t="shared" si="6"/>
        <v>981421.48</v>
      </c>
      <c r="E12" s="91">
        <f t="shared" si="6"/>
        <v>325549.21000000002</v>
      </c>
      <c r="F12" s="92">
        <f t="shared" si="6"/>
        <v>31373.100000000002</v>
      </c>
      <c r="G12" s="93">
        <f t="shared" si="6"/>
        <v>356922.31</v>
      </c>
      <c r="H12" s="91">
        <f t="shared" si="6"/>
        <v>110218.88</v>
      </c>
      <c r="I12" s="92">
        <f t="shared" si="6"/>
        <v>2792.7</v>
      </c>
      <c r="J12" s="93">
        <f t="shared" si="6"/>
        <v>113011.58</v>
      </c>
      <c r="K12" s="91">
        <f t="shared" si="6"/>
        <v>105708.27000000002</v>
      </c>
      <c r="L12" s="92">
        <f t="shared" si="6"/>
        <v>9450.0499999999993</v>
      </c>
      <c r="M12" s="93">
        <f t="shared" si="6"/>
        <v>115158.32</v>
      </c>
      <c r="N12" s="91">
        <f t="shared" si="6"/>
        <v>31565.94</v>
      </c>
      <c r="O12" s="92">
        <f t="shared" si="6"/>
        <v>2206.4</v>
      </c>
      <c r="P12" s="93">
        <f t="shared" si="6"/>
        <v>33772.340000000004</v>
      </c>
      <c r="Q12" s="94">
        <f t="shared" si="6"/>
        <v>3164593.3200000003</v>
      </c>
      <c r="R12" s="17"/>
    </row>
  </sheetData>
  <mergeCells count="7">
    <mergeCell ref="A1:A2"/>
    <mergeCell ref="B1:Q1"/>
    <mergeCell ref="B2:D2"/>
    <mergeCell ref="E2:G2"/>
    <mergeCell ref="N2:P2"/>
    <mergeCell ref="K2:M2"/>
    <mergeCell ref="H2:J2"/>
  </mergeCells>
  <printOptions horizontalCentered="1" verticalCentered="1"/>
  <pageMargins left="0" right="0" top="0" bottom="0" header="0" footer="0"/>
  <pageSetup paperSize="9" scale="79" orientation="landscape" r:id="rId1"/>
  <ignoredErrors>
    <ignoredError sqref="Q7:Q1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9"/>
  <sheetViews>
    <sheetView workbookViewId="0">
      <pane xSplit="1" ySplit="3" topLeftCell="F24" activePane="bottomRight" state="frozen"/>
      <selection pane="topRight" activeCell="B1" sqref="B1"/>
      <selection pane="bottomLeft" activeCell="A2" sqref="A2"/>
      <selection pane="bottomRight" activeCell="L35" sqref="L35"/>
    </sheetView>
  </sheetViews>
  <sheetFormatPr defaultColWidth="9.140625" defaultRowHeight="12.75" x14ac:dyDescent="0.2"/>
  <cols>
    <col min="1" max="1" width="6.85546875" style="1" customWidth="1"/>
    <col min="2" max="6" width="11.7109375" style="1" customWidth="1"/>
    <col min="7" max="7" width="12.7109375" style="2" customWidth="1"/>
    <col min="8" max="8" width="11.7109375" style="4" customWidth="1"/>
    <col min="9" max="12" width="11.7109375" style="1" customWidth="1"/>
    <col min="13" max="13" width="12.7109375" style="2" customWidth="1"/>
    <col min="14" max="18" width="11.7109375" style="13" customWidth="1"/>
    <col min="19" max="19" width="12.7109375" style="1" customWidth="1"/>
    <col min="20" max="20" width="10.7109375" style="1" customWidth="1"/>
    <col min="21" max="16384" width="9.140625" style="1"/>
  </cols>
  <sheetData>
    <row r="1" spans="1:19" ht="24" customHeight="1" x14ac:dyDescent="0.2">
      <c r="A1" s="74"/>
      <c r="B1" s="125" t="s">
        <v>16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</row>
    <row r="2" spans="1:19" ht="18.75" x14ac:dyDescent="0.25">
      <c r="A2" s="126" t="s">
        <v>0</v>
      </c>
      <c r="B2" s="127" t="s">
        <v>1</v>
      </c>
      <c r="C2" s="128"/>
      <c r="D2" s="128"/>
      <c r="E2" s="128"/>
      <c r="F2" s="128"/>
      <c r="G2" s="128"/>
      <c r="H2" s="127" t="s">
        <v>2</v>
      </c>
      <c r="I2" s="128"/>
      <c r="J2" s="128"/>
      <c r="K2" s="128"/>
      <c r="L2" s="128"/>
      <c r="M2" s="128"/>
      <c r="N2" s="127" t="s">
        <v>3</v>
      </c>
      <c r="O2" s="128"/>
      <c r="P2" s="128"/>
      <c r="Q2" s="128"/>
      <c r="R2" s="128"/>
      <c r="S2" s="128"/>
    </row>
    <row r="3" spans="1:19" ht="16.149999999999999" customHeight="1" x14ac:dyDescent="0.2">
      <c r="A3" s="126"/>
      <c r="B3" s="75" t="s">
        <v>4</v>
      </c>
      <c r="C3" s="75" t="s">
        <v>5</v>
      </c>
      <c r="D3" s="75" t="s">
        <v>6</v>
      </c>
      <c r="E3" s="75" t="s">
        <v>7</v>
      </c>
      <c r="F3" s="75" t="s">
        <v>8</v>
      </c>
      <c r="G3" s="76" t="s">
        <v>9</v>
      </c>
      <c r="H3" s="77" t="s">
        <v>4</v>
      </c>
      <c r="I3" s="75" t="s">
        <v>5</v>
      </c>
      <c r="J3" s="75" t="s">
        <v>6</v>
      </c>
      <c r="K3" s="75" t="s">
        <v>7</v>
      </c>
      <c r="L3" s="75" t="s">
        <v>8</v>
      </c>
      <c r="M3" s="78" t="s">
        <v>9</v>
      </c>
      <c r="N3" s="75" t="s">
        <v>4</v>
      </c>
      <c r="O3" s="75" t="s">
        <v>5</v>
      </c>
      <c r="P3" s="75" t="s">
        <v>6</v>
      </c>
      <c r="Q3" s="75" t="s">
        <v>7</v>
      </c>
      <c r="R3" s="75" t="s">
        <v>8</v>
      </c>
      <c r="S3" s="78" t="s">
        <v>9</v>
      </c>
    </row>
    <row r="4" spans="1:19" ht="16.149999999999999" customHeight="1" x14ac:dyDescent="0.2">
      <c r="A4" s="79">
        <v>1</v>
      </c>
      <c r="B4" s="7">
        <v>416189.8</v>
      </c>
      <c r="C4" s="7">
        <v>159864.79</v>
      </c>
      <c r="D4" s="7">
        <v>47762.9</v>
      </c>
      <c r="E4" s="7">
        <v>44847.03</v>
      </c>
      <c r="F4" s="7">
        <v>14168.16</v>
      </c>
      <c r="G4" s="80">
        <f t="shared" ref="G4:G35" si="0">SUM(B4:F4)</f>
        <v>682832.68</v>
      </c>
      <c r="H4" s="7">
        <v>409059.21</v>
      </c>
      <c r="I4" s="7">
        <v>159864.75</v>
      </c>
      <c r="J4" s="7">
        <v>47762.9</v>
      </c>
      <c r="K4" s="7">
        <v>44847.03</v>
      </c>
      <c r="L4" s="7">
        <v>14168.16</v>
      </c>
      <c r="M4" s="80">
        <f t="shared" ref="M4:M34" si="1">SUM(H4:L4)</f>
        <v>675702.05</v>
      </c>
      <c r="N4" s="9">
        <f>384555.67+24503.55</f>
        <v>409059.22</v>
      </c>
      <c r="O4" s="9">
        <f>140905.49+18959.3</f>
        <v>159864.78999999998</v>
      </c>
      <c r="P4" s="9">
        <f>46537.75+1225.15</f>
        <v>47762.9</v>
      </c>
      <c r="Q4" s="9">
        <f>40166.73+4680.3</f>
        <v>44847.030000000006</v>
      </c>
      <c r="R4" s="9">
        <f>12991.36+1176.8</f>
        <v>14168.16</v>
      </c>
      <c r="S4" s="80">
        <f t="shared" ref="S4:S34" si="2">SUM(N4:R4)</f>
        <v>675702.10000000009</v>
      </c>
    </row>
    <row r="5" spans="1:19" ht="16.149999999999999" customHeight="1" x14ac:dyDescent="0.2">
      <c r="A5" s="79">
        <v>2</v>
      </c>
      <c r="B5" s="30">
        <v>272222.19</v>
      </c>
      <c r="C5" s="7">
        <v>79229.08</v>
      </c>
      <c r="D5" s="7">
        <v>28361.85</v>
      </c>
      <c r="E5" s="7">
        <v>18487.310000000001</v>
      </c>
      <c r="F5" s="7">
        <v>8269.3700000000008</v>
      </c>
      <c r="G5" s="80">
        <f t="shared" si="0"/>
        <v>406569.8</v>
      </c>
      <c r="H5" s="7">
        <v>266607.31</v>
      </c>
      <c r="I5" s="7">
        <v>79946.77</v>
      </c>
      <c r="J5" s="7">
        <v>27480.86</v>
      </c>
      <c r="K5" s="7">
        <v>18487.310000000001</v>
      </c>
      <c r="L5" s="7">
        <v>8269.32</v>
      </c>
      <c r="M5" s="80">
        <f t="shared" si="1"/>
        <v>400791.57</v>
      </c>
      <c r="N5" s="9">
        <f>265023.48+12066.4</f>
        <v>277089.88</v>
      </c>
      <c r="O5" s="9">
        <f>69575.43+9653.65</f>
        <v>79229.079999999987</v>
      </c>
      <c r="P5" s="9">
        <f>26900.91+579.95</f>
        <v>27480.86</v>
      </c>
      <c r="Q5" s="9">
        <f>16322.61+2164.7</f>
        <v>18487.310000000001</v>
      </c>
      <c r="R5" s="9">
        <f>7765.37+504</f>
        <v>8269.369999999999</v>
      </c>
      <c r="S5" s="80">
        <f t="shared" si="2"/>
        <v>410556.49999999994</v>
      </c>
    </row>
    <row r="6" spans="1:19" ht="16.149999999999999" customHeight="1" x14ac:dyDescent="0.2">
      <c r="A6" s="79">
        <v>3</v>
      </c>
      <c r="B6" s="7">
        <v>123788.1</v>
      </c>
      <c r="C6" s="7">
        <v>39441.839999999997</v>
      </c>
      <c r="D6" s="7">
        <v>13385.06</v>
      </c>
      <c r="E6" s="7">
        <v>9103.9699999999993</v>
      </c>
      <c r="F6" s="7">
        <v>3953.81</v>
      </c>
      <c r="G6" s="80">
        <f t="shared" si="0"/>
        <v>189672.78</v>
      </c>
      <c r="H6" s="7">
        <v>122821.99</v>
      </c>
      <c r="I6" s="7">
        <v>37778.9</v>
      </c>
      <c r="J6" s="7">
        <v>14266</v>
      </c>
      <c r="K6" s="7">
        <v>9103.9699999999993</v>
      </c>
      <c r="L6" s="7">
        <v>3953.81</v>
      </c>
      <c r="M6" s="80">
        <f t="shared" si="1"/>
        <v>187924.67</v>
      </c>
      <c r="N6" s="9">
        <f>116737.38+5726.2</f>
        <v>122463.58</v>
      </c>
      <c r="O6" s="9">
        <f>33928.15+4480.75</f>
        <v>38408.9</v>
      </c>
      <c r="P6" s="9">
        <f>13938.09+327.95</f>
        <v>14266.04</v>
      </c>
      <c r="Q6" s="9">
        <f>8019.67+1084.3</f>
        <v>9103.9699999999993</v>
      </c>
      <c r="R6" s="9">
        <f>3693.95+259.85</f>
        <v>3953.7999999999997</v>
      </c>
      <c r="S6" s="80">
        <f t="shared" si="2"/>
        <v>188196.29</v>
      </c>
    </row>
    <row r="7" spans="1:19" ht="16.149999999999999" customHeight="1" x14ac:dyDescent="0.2">
      <c r="A7" s="79">
        <v>4</v>
      </c>
      <c r="B7" s="7">
        <v>411216.23</v>
      </c>
      <c r="C7" s="7">
        <v>159718.75</v>
      </c>
      <c r="D7" s="7">
        <v>48640.4</v>
      </c>
      <c r="E7" s="7">
        <v>44856.59</v>
      </c>
      <c r="F7" s="7">
        <v>14083.04</v>
      </c>
      <c r="G7" s="80">
        <f t="shared" si="0"/>
        <v>678515.01</v>
      </c>
      <c r="H7" s="7">
        <v>415675.92</v>
      </c>
      <c r="I7" s="7">
        <v>163065.76999999999</v>
      </c>
      <c r="J7" s="7">
        <v>48010.47</v>
      </c>
      <c r="K7" s="7">
        <v>40096.74</v>
      </c>
      <c r="L7" s="7">
        <v>14083.04</v>
      </c>
      <c r="M7" s="80">
        <f t="shared" si="1"/>
        <v>680931.94</v>
      </c>
      <c r="N7" s="9">
        <f>390473.72+25202.2</f>
        <v>415675.92</v>
      </c>
      <c r="O7" s="9">
        <f>143133.01+19536.95</f>
        <v>162669.96000000002</v>
      </c>
      <c r="P7" s="9">
        <f>46712.27+1298.25</f>
        <v>48010.52</v>
      </c>
      <c r="Q7" s="9">
        <f>39880.81+4952.45</f>
        <v>44833.259999999995</v>
      </c>
      <c r="R7" s="9">
        <f>12902.79+1180.25</f>
        <v>14083.04</v>
      </c>
      <c r="S7" s="80">
        <f t="shared" si="2"/>
        <v>685272.70000000007</v>
      </c>
    </row>
    <row r="8" spans="1:19" ht="16.149999999999999" customHeight="1" x14ac:dyDescent="0.2">
      <c r="A8" s="79">
        <v>5</v>
      </c>
      <c r="B8" s="7">
        <v>423094.91</v>
      </c>
      <c r="C8" s="7">
        <v>156122.35</v>
      </c>
      <c r="D8" s="7">
        <v>50054.53</v>
      </c>
      <c r="E8" s="7">
        <v>47143.3</v>
      </c>
      <c r="F8" s="7">
        <v>14657.6</v>
      </c>
      <c r="G8" s="80">
        <f t="shared" si="0"/>
        <v>691072.69000000006</v>
      </c>
      <c r="H8" s="7">
        <v>421300.18</v>
      </c>
      <c r="I8" s="7">
        <v>156718.57</v>
      </c>
      <c r="J8" s="7">
        <v>48066.99</v>
      </c>
      <c r="K8" s="7">
        <v>46161.03</v>
      </c>
      <c r="L8" s="7">
        <v>14657.6</v>
      </c>
      <c r="M8" s="80">
        <f t="shared" si="1"/>
        <v>686904.37</v>
      </c>
      <c r="N8" s="9">
        <f>395426.62+25873.55</f>
        <v>421300.17</v>
      </c>
      <c r="O8" s="9">
        <f>137078.72+19244.1</f>
        <v>156322.82</v>
      </c>
      <c r="P8" s="9">
        <f>46657.04+1409.95</f>
        <v>48066.99</v>
      </c>
      <c r="Q8" s="9">
        <f>41655.03+4506</f>
        <v>46161.03</v>
      </c>
      <c r="R8" s="9">
        <f>13437.74+1219.85</f>
        <v>14657.59</v>
      </c>
      <c r="S8" s="80">
        <f t="shared" si="2"/>
        <v>686508.6</v>
      </c>
    </row>
    <row r="9" spans="1:19" ht="16.149999999999999" customHeight="1" x14ac:dyDescent="0.2">
      <c r="A9" s="79">
        <v>6</v>
      </c>
      <c r="B9" s="8">
        <v>428070.77</v>
      </c>
      <c r="C9" s="7">
        <v>166509.57</v>
      </c>
      <c r="D9" s="7">
        <v>50155.05</v>
      </c>
      <c r="E9" s="7">
        <v>48214.080000000002</v>
      </c>
      <c r="F9" s="7">
        <v>14632.06</v>
      </c>
      <c r="G9" s="80">
        <f t="shared" si="0"/>
        <v>707581.53000000014</v>
      </c>
      <c r="H9" s="7">
        <v>429990.55</v>
      </c>
      <c r="I9" s="7">
        <v>167376.46</v>
      </c>
      <c r="J9" s="7">
        <v>50793.45</v>
      </c>
      <c r="K9" s="7">
        <v>43664.2</v>
      </c>
      <c r="L9" s="7">
        <v>13520.53</v>
      </c>
      <c r="M9" s="80">
        <f t="shared" si="1"/>
        <v>705345.19</v>
      </c>
      <c r="N9" s="9">
        <f>403886.05+26104.5</f>
        <v>429990.55</v>
      </c>
      <c r="O9" s="9">
        <f>147970.88+19401.85</f>
        <v>167372.73000000001</v>
      </c>
      <c r="P9" s="9">
        <f>49389+1404.45</f>
        <v>50793.45</v>
      </c>
      <c r="Q9" s="9">
        <f>43456.78+4757.3</f>
        <v>48214.080000000002</v>
      </c>
      <c r="R9" s="9">
        <f>13469.86+1162.2</f>
        <v>14632.060000000001</v>
      </c>
      <c r="S9" s="80">
        <f t="shared" si="2"/>
        <v>711002.87</v>
      </c>
    </row>
    <row r="10" spans="1:19" ht="16.149999999999999" customHeight="1" x14ac:dyDescent="0.2">
      <c r="A10" s="79">
        <v>7</v>
      </c>
      <c r="B10" s="7">
        <v>425758.56</v>
      </c>
      <c r="C10" s="7">
        <v>164339.22</v>
      </c>
      <c r="D10" s="7">
        <v>48585.41</v>
      </c>
      <c r="E10" s="7">
        <v>47470.44</v>
      </c>
      <c r="F10" s="7">
        <v>14691.64</v>
      </c>
      <c r="G10" s="80">
        <f t="shared" si="0"/>
        <v>700845.27000000014</v>
      </c>
      <c r="H10" s="30">
        <v>398931.61</v>
      </c>
      <c r="I10" s="7">
        <v>160037.71</v>
      </c>
      <c r="J10" s="7">
        <v>49934.55</v>
      </c>
      <c r="K10" s="7">
        <v>47470.44</v>
      </c>
      <c r="L10" s="7">
        <v>14691.64</v>
      </c>
      <c r="M10" s="80">
        <f t="shared" si="1"/>
        <v>671065.95000000007</v>
      </c>
      <c r="N10" s="8">
        <f>397821.1+25470.45</f>
        <v>423291.55</v>
      </c>
      <c r="O10" s="8">
        <f>141111.72+18499.05</f>
        <v>159610.76999999999</v>
      </c>
      <c r="P10" s="7">
        <f>48431.26+1503.3</f>
        <v>49934.560000000005</v>
      </c>
      <c r="Q10" s="8">
        <f>42620.93+4849.5</f>
        <v>47470.43</v>
      </c>
      <c r="R10" s="7">
        <f>13484.99+1206.65</f>
        <v>14691.64</v>
      </c>
      <c r="S10" s="80">
        <f t="shared" si="2"/>
        <v>694998.95000000007</v>
      </c>
    </row>
    <row r="11" spans="1:19" ht="16.149999999999999" customHeight="1" x14ac:dyDescent="0.2">
      <c r="A11" s="79">
        <v>8</v>
      </c>
      <c r="B11" s="7">
        <v>417560.13</v>
      </c>
      <c r="C11" s="7">
        <v>162089.38</v>
      </c>
      <c r="D11" s="7">
        <v>48446.01</v>
      </c>
      <c r="E11" s="7">
        <v>43392.49</v>
      </c>
      <c r="F11" s="7">
        <v>14415</v>
      </c>
      <c r="G11" s="80">
        <f t="shared" si="0"/>
        <v>685903.01</v>
      </c>
      <c r="H11" s="7">
        <v>419174.2</v>
      </c>
      <c r="I11" s="7">
        <v>167205.69</v>
      </c>
      <c r="J11" s="7">
        <v>48446.01</v>
      </c>
      <c r="K11" s="7">
        <v>43392.49</v>
      </c>
      <c r="L11" s="7">
        <v>14415</v>
      </c>
      <c r="M11" s="80">
        <f t="shared" si="1"/>
        <v>692633.39</v>
      </c>
      <c r="N11" s="7">
        <f>394388.9+24785.3</f>
        <v>419174.2</v>
      </c>
      <c r="O11" s="8">
        <f>146774.39+19388.35</f>
        <v>166162.74000000002</v>
      </c>
      <c r="P11" s="7">
        <f>47218.66+1227.35</f>
        <v>48446.01</v>
      </c>
      <c r="Q11" s="7">
        <f>39081.94+4310.55</f>
        <v>43392.490000000005</v>
      </c>
      <c r="R11" s="7">
        <f>13201.5+1213.5</f>
        <v>14415</v>
      </c>
      <c r="S11" s="80">
        <f t="shared" si="2"/>
        <v>691590.44000000006</v>
      </c>
    </row>
    <row r="12" spans="1:19" ht="16.149999999999999" customHeight="1" x14ac:dyDescent="0.2">
      <c r="A12" s="79">
        <v>9</v>
      </c>
      <c r="B12" s="7">
        <v>276003.89</v>
      </c>
      <c r="C12" s="7">
        <v>74824.91</v>
      </c>
      <c r="D12" s="7">
        <v>28915.13</v>
      </c>
      <c r="E12" s="7">
        <v>18050.04</v>
      </c>
      <c r="F12" s="7">
        <v>8294.91</v>
      </c>
      <c r="G12" s="80">
        <f t="shared" si="0"/>
        <v>406088.88</v>
      </c>
      <c r="H12" s="7">
        <v>275825.09000000003</v>
      </c>
      <c r="I12" s="7">
        <v>75203.69</v>
      </c>
      <c r="J12" s="7">
        <v>28915.13</v>
      </c>
      <c r="K12" s="7">
        <v>18050.04</v>
      </c>
      <c r="L12" s="7">
        <v>7792.7</v>
      </c>
      <c r="M12" s="80">
        <f t="shared" si="1"/>
        <v>405786.65</v>
      </c>
      <c r="N12" s="9">
        <f>263859.93+11960.9</f>
        <v>275820.83</v>
      </c>
      <c r="O12" s="67">
        <f>66795.74+8407.95</f>
        <v>75203.69</v>
      </c>
      <c r="P12" s="9">
        <f>28327.82+587.3</f>
        <v>28915.119999999999</v>
      </c>
      <c r="Q12" s="7">
        <f>15750.79+2299.25</f>
        <v>18050.04</v>
      </c>
      <c r="R12" s="9">
        <f>7295.35+497.35</f>
        <v>7792.7000000000007</v>
      </c>
      <c r="S12" s="80">
        <f t="shared" si="2"/>
        <v>405782.38</v>
      </c>
    </row>
    <row r="13" spans="1:19" ht="16.149999999999999" customHeight="1" x14ac:dyDescent="0.2">
      <c r="A13" s="79">
        <v>10</v>
      </c>
      <c r="B13" s="7">
        <v>120376.19</v>
      </c>
      <c r="C13" s="7">
        <v>37851.25</v>
      </c>
      <c r="D13" s="7">
        <v>13636.16</v>
      </c>
      <c r="E13" s="7">
        <v>8840.44</v>
      </c>
      <c r="F13" s="7">
        <v>3621.84</v>
      </c>
      <c r="G13" s="80">
        <f t="shared" si="0"/>
        <v>184325.88</v>
      </c>
      <c r="H13" s="7">
        <v>122676.62</v>
      </c>
      <c r="I13" s="7">
        <v>38324.050000000003</v>
      </c>
      <c r="J13" s="7">
        <v>13636.16</v>
      </c>
      <c r="K13" s="7">
        <v>8840.39</v>
      </c>
      <c r="L13" s="7">
        <v>4124</v>
      </c>
      <c r="M13" s="80">
        <f t="shared" si="1"/>
        <v>187601.21999999997</v>
      </c>
      <c r="N13" s="8">
        <f>117090.01+5586.65</f>
        <v>122676.65999999999</v>
      </c>
      <c r="O13" s="8">
        <f>33637.75+4686.35</f>
        <v>38324.1</v>
      </c>
      <c r="P13" s="8">
        <f>13331.61+304.55</f>
        <v>13636.16</v>
      </c>
      <c r="Q13" s="7">
        <f>7741.43+1099</f>
        <v>8840.43</v>
      </c>
      <c r="R13" s="8">
        <f>3863.85+260.2</f>
        <v>4124.05</v>
      </c>
      <c r="S13" s="80">
        <f t="shared" si="2"/>
        <v>187601.39999999997</v>
      </c>
    </row>
    <row r="14" spans="1:19" ht="16.149999999999999" customHeight="1" x14ac:dyDescent="0.2">
      <c r="A14" s="79">
        <v>11</v>
      </c>
      <c r="B14" s="7">
        <v>405396.49</v>
      </c>
      <c r="C14" s="7">
        <v>163109.51999999999</v>
      </c>
      <c r="D14" s="7">
        <v>47149.99</v>
      </c>
      <c r="E14" s="7">
        <v>45019.8</v>
      </c>
      <c r="F14" s="7">
        <v>14151.13</v>
      </c>
      <c r="G14" s="80">
        <f t="shared" si="0"/>
        <v>674826.93</v>
      </c>
      <c r="H14" s="7">
        <v>405683.74</v>
      </c>
      <c r="I14" s="7">
        <v>164534.26999999999</v>
      </c>
      <c r="J14" s="7">
        <v>47149.95</v>
      </c>
      <c r="K14" s="7">
        <v>43486.46</v>
      </c>
      <c r="L14" s="7">
        <v>14151.13</v>
      </c>
      <c r="M14" s="80">
        <f t="shared" si="1"/>
        <v>675005.54999999993</v>
      </c>
      <c r="N14" s="8">
        <f>381303.18+24376.35</f>
        <v>405679.52999999997</v>
      </c>
      <c r="O14" s="7">
        <f>144423.29+19185.95</f>
        <v>163609.24000000002</v>
      </c>
      <c r="P14" s="8">
        <f>45827.09+1322.9</f>
        <v>47149.99</v>
      </c>
      <c r="Q14" s="7">
        <f>39180.3+4306.2</f>
        <v>43486.5</v>
      </c>
      <c r="R14" s="8">
        <f>12885.18+1265.95</f>
        <v>14151.130000000001</v>
      </c>
      <c r="S14" s="80">
        <f t="shared" si="2"/>
        <v>674076.39</v>
      </c>
    </row>
    <row r="15" spans="1:19" ht="16.149999999999999" customHeight="1" x14ac:dyDescent="0.2">
      <c r="A15" s="79">
        <v>12</v>
      </c>
      <c r="B15" s="7">
        <v>412895.43</v>
      </c>
      <c r="C15" s="7">
        <v>163508.68</v>
      </c>
      <c r="D15" s="7">
        <v>48059.34</v>
      </c>
      <c r="E15" s="7">
        <v>45312.37</v>
      </c>
      <c r="F15" s="7">
        <v>14295.84</v>
      </c>
      <c r="G15" s="80">
        <f t="shared" si="0"/>
        <v>684071.65999999992</v>
      </c>
      <c r="H15" s="7">
        <v>414331.51</v>
      </c>
      <c r="I15" s="7">
        <v>165078.47</v>
      </c>
      <c r="J15" s="7">
        <v>48059.29</v>
      </c>
      <c r="K15" s="7">
        <v>46845.67</v>
      </c>
      <c r="L15" s="7">
        <v>14295.84</v>
      </c>
      <c r="M15" s="80">
        <f t="shared" si="1"/>
        <v>688610.78</v>
      </c>
      <c r="N15" s="7">
        <f>385204.93+25489.3</f>
        <v>410694.23</v>
      </c>
      <c r="O15" s="8">
        <f>145736+18871.1</f>
        <v>164607.1</v>
      </c>
      <c r="P15" s="7">
        <f>46619.94+1439.4</f>
        <v>48059.340000000004</v>
      </c>
      <c r="Q15" s="7">
        <f>41998.96+4846.7</f>
        <v>46845.659999999996</v>
      </c>
      <c r="R15" s="7">
        <f>13043.29+1252.55</f>
        <v>14295.84</v>
      </c>
      <c r="S15" s="80">
        <f t="shared" si="2"/>
        <v>684502.16999999993</v>
      </c>
    </row>
    <row r="16" spans="1:19" ht="16.149999999999999" customHeight="1" x14ac:dyDescent="0.2">
      <c r="A16" s="79">
        <v>13</v>
      </c>
      <c r="B16" s="7">
        <v>413380.9</v>
      </c>
      <c r="C16" s="7">
        <v>164495.64000000001</v>
      </c>
      <c r="D16" s="7">
        <v>47930.85</v>
      </c>
      <c r="E16" s="7">
        <v>45321.26</v>
      </c>
      <c r="F16" s="7">
        <v>14087.29</v>
      </c>
      <c r="G16" s="80">
        <f t="shared" si="0"/>
        <v>685215.94000000006</v>
      </c>
      <c r="H16" s="7">
        <v>417069.26</v>
      </c>
      <c r="I16" s="7">
        <v>166184.06</v>
      </c>
      <c r="J16" s="7">
        <v>47932.04</v>
      </c>
      <c r="K16" s="7">
        <v>45771.92</v>
      </c>
      <c r="L16" s="7">
        <v>14087.29</v>
      </c>
      <c r="M16" s="80">
        <f t="shared" si="1"/>
        <v>691044.57000000018</v>
      </c>
      <c r="N16" s="7">
        <f>387802.98+25789.8</f>
        <v>413592.77999999997</v>
      </c>
      <c r="O16" s="7">
        <f>146333.63+18925.45</f>
        <v>165259.08000000002</v>
      </c>
      <c r="P16" s="7">
        <f>46199.53+1365.3</f>
        <v>47564.83</v>
      </c>
      <c r="Q16" s="7">
        <f>40313.21+5008.05</f>
        <v>45321.26</v>
      </c>
      <c r="R16" s="7">
        <f>12769.94+1317.35</f>
        <v>14087.29</v>
      </c>
      <c r="S16" s="80">
        <f t="shared" si="2"/>
        <v>685825.24</v>
      </c>
    </row>
    <row r="17" spans="1:20" ht="16.149999999999999" customHeight="1" x14ac:dyDescent="0.2">
      <c r="A17" s="79">
        <v>14</v>
      </c>
      <c r="B17" s="7">
        <v>414373.79</v>
      </c>
      <c r="C17" s="7">
        <v>160787.43</v>
      </c>
      <c r="D17" s="7">
        <v>47914.3</v>
      </c>
      <c r="E17" s="7">
        <v>42817.41</v>
      </c>
      <c r="F17" s="7">
        <v>13942.59</v>
      </c>
      <c r="G17" s="80">
        <f t="shared" si="0"/>
        <v>679835.52</v>
      </c>
      <c r="H17" s="7">
        <v>419785.05</v>
      </c>
      <c r="I17" s="7">
        <v>162458.84</v>
      </c>
      <c r="J17" s="7">
        <v>47340.7</v>
      </c>
      <c r="K17" s="7">
        <v>42817.41</v>
      </c>
      <c r="L17" s="7">
        <v>13942.59</v>
      </c>
      <c r="M17" s="80">
        <f t="shared" si="1"/>
        <v>686344.59</v>
      </c>
      <c r="N17" s="7">
        <f>392420.53+25765.8</f>
        <v>418186.33</v>
      </c>
      <c r="O17" s="8">
        <f>143503.24+18198.95</f>
        <v>161702.19</v>
      </c>
      <c r="P17" s="7">
        <f>45711.73+1440.75</f>
        <v>47152.480000000003</v>
      </c>
      <c r="Q17" s="7">
        <f>38391.1+4426.3</f>
        <v>42817.4</v>
      </c>
      <c r="R17" s="7">
        <f>12644.39+1298.2</f>
        <v>13942.59</v>
      </c>
      <c r="S17" s="80">
        <f t="shared" si="2"/>
        <v>683800.99</v>
      </c>
    </row>
    <row r="18" spans="1:20" ht="16.149999999999999" customHeight="1" x14ac:dyDescent="0.2">
      <c r="A18" s="79">
        <v>15</v>
      </c>
      <c r="B18" s="7">
        <v>407877.87</v>
      </c>
      <c r="C18" s="7">
        <v>158130.41</v>
      </c>
      <c r="D18" s="7">
        <v>46290.29</v>
      </c>
      <c r="E18" s="7">
        <v>40800.6</v>
      </c>
      <c r="F18" s="7">
        <v>13521.25</v>
      </c>
      <c r="G18" s="80">
        <f t="shared" si="0"/>
        <v>666620.42000000004</v>
      </c>
      <c r="H18" s="7">
        <v>404426.32</v>
      </c>
      <c r="I18" s="7">
        <v>158601.82</v>
      </c>
      <c r="J18" s="7">
        <v>46290.239999999998</v>
      </c>
      <c r="K18" s="7">
        <v>37394.19</v>
      </c>
      <c r="L18" s="7">
        <v>13521.25</v>
      </c>
      <c r="M18" s="80">
        <f t="shared" si="1"/>
        <v>660233.82000000007</v>
      </c>
      <c r="N18" s="9">
        <f>380338.81+24087.55</f>
        <v>404426.36</v>
      </c>
      <c r="O18" s="67">
        <f>139919.51+18210.9</f>
        <v>158130.41</v>
      </c>
      <c r="P18" s="9">
        <f>45021.39+1268.9</f>
        <v>46290.29</v>
      </c>
      <c r="Q18" s="7">
        <f>37214.26+4126.9</f>
        <v>41341.160000000003</v>
      </c>
      <c r="R18" s="9">
        <f>12382.85+1121.4</f>
        <v>13504.25</v>
      </c>
      <c r="S18" s="80">
        <f t="shared" si="2"/>
        <v>663692.47000000009</v>
      </c>
    </row>
    <row r="19" spans="1:20" ht="16.149999999999999" customHeight="1" x14ac:dyDescent="0.2">
      <c r="A19" s="79">
        <v>16</v>
      </c>
      <c r="B19" s="7">
        <v>265635.89</v>
      </c>
      <c r="C19" s="30">
        <v>75433.56</v>
      </c>
      <c r="D19" s="30">
        <v>26523.27</v>
      </c>
      <c r="E19" s="30">
        <v>17627.03</v>
      </c>
      <c r="F19" s="30">
        <v>7992.73</v>
      </c>
      <c r="G19" s="80">
        <f t="shared" si="0"/>
        <v>393212.48</v>
      </c>
      <c r="H19" s="7">
        <v>265804.65000000002</v>
      </c>
      <c r="I19" s="30">
        <v>69961.33</v>
      </c>
      <c r="J19" s="30">
        <v>426523.27</v>
      </c>
      <c r="K19" s="30">
        <v>17044.05</v>
      </c>
      <c r="L19" s="30">
        <v>7992.68</v>
      </c>
      <c r="M19" s="80">
        <f t="shared" si="1"/>
        <v>787325.9800000001</v>
      </c>
      <c r="N19" s="7">
        <f>253990.15+11814.55</f>
        <v>265804.7</v>
      </c>
      <c r="O19" s="8">
        <f>61387.88+8573.5</f>
        <v>69961.38</v>
      </c>
      <c r="P19" s="7">
        <f>25964.57+558.7</f>
        <v>26523.27</v>
      </c>
      <c r="Q19" s="9">
        <f>14940.65+2103.4</f>
        <v>17044.05</v>
      </c>
      <c r="R19" s="7">
        <f>7467.58+525.15</f>
        <v>7992.73</v>
      </c>
      <c r="S19" s="80">
        <f t="shared" si="2"/>
        <v>387326.13</v>
      </c>
    </row>
    <row r="20" spans="1:20" ht="16.149999999999999" customHeight="1" x14ac:dyDescent="0.2">
      <c r="A20" s="79">
        <v>17</v>
      </c>
      <c r="B20" s="7">
        <v>115714.55</v>
      </c>
      <c r="C20" s="30">
        <v>37705.07</v>
      </c>
      <c r="D20" s="30">
        <v>12508.33</v>
      </c>
      <c r="E20" s="30">
        <v>8592.8700000000008</v>
      </c>
      <c r="F20" s="30">
        <v>3332.43</v>
      </c>
      <c r="G20" s="80">
        <f t="shared" si="0"/>
        <v>177853.24999999997</v>
      </c>
      <c r="H20" s="7">
        <v>121867.88</v>
      </c>
      <c r="I20" s="30">
        <v>38768.97</v>
      </c>
      <c r="J20" s="30">
        <v>12508.33</v>
      </c>
      <c r="K20" s="30">
        <v>8592.82</v>
      </c>
      <c r="L20" s="30">
        <v>3332.38</v>
      </c>
      <c r="M20" s="80">
        <f t="shared" si="1"/>
        <v>185070.38</v>
      </c>
      <c r="N20" s="7">
        <f>115031.22+5759.9</f>
        <v>120791.12</v>
      </c>
      <c r="O20" s="8">
        <f>33848.52+4920.45</f>
        <v>38768.969999999994</v>
      </c>
      <c r="P20" s="7">
        <f>12272.23+236.1</f>
        <v>12508.33</v>
      </c>
      <c r="Q20" s="7">
        <f>7719.72+873.15</f>
        <v>8592.8700000000008</v>
      </c>
      <c r="R20" s="7">
        <f>3073.53+258.9</f>
        <v>3332.4300000000003</v>
      </c>
      <c r="S20" s="80">
        <f t="shared" si="2"/>
        <v>183993.71999999997</v>
      </c>
    </row>
    <row r="21" spans="1:20" ht="16.149999999999999" customHeight="1" x14ac:dyDescent="0.2">
      <c r="A21" s="79">
        <v>18</v>
      </c>
      <c r="B21" s="7">
        <v>391555.28</v>
      </c>
      <c r="C21" s="30">
        <v>156203.35999999999</v>
      </c>
      <c r="D21" s="30">
        <v>45055.57</v>
      </c>
      <c r="E21" s="30">
        <v>43884.65</v>
      </c>
      <c r="F21" s="30">
        <v>13095.65</v>
      </c>
      <c r="G21" s="80">
        <f t="shared" si="0"/>
        <v>649794.51</v>
      </c>
      <c r="H21" s="7">
        <v>369084.18</v>
      </c>
      <c r="I21" s="30">
        <v>161206.24</v>
      </c>
      <c r="J21" s="30">
        <v>44087.7</v>
      </c>
      <c r="K21" s="30">
        <v>44467.63</v>
      </c>
      <c r="L21" s="30">
        <v>13095.65</v>
      </c>
      <c r="M21" s="80">
        <f t="shared" si="1"/>
        <v>631941.39999999991</v>
      </c>
      <c r="N21" s="7">
        <f>367262.17+24542.1</f>
        <v>391804.26999999996</v>
      </c>
      <c r="O21" s="30">
        <f>142018.31+18470.2</f>
        <v>160488.51</v>
      </c>
      <c r="P21" s="7">
        <f>42980.15+1107.55</f>
        <v>44087.700000000004</v>
      </c>
      <c r="Q21" s="7">
        <f>39927.12+4509</f>
        <v>44436.12</v>
      </c>
      <c r="R21" s="7">
        <f>11909.8+1185.85</f>
        <v>13095.65</v>
      </c>
      <c r="S21" s="80">
        <f>SUM(N21:R21)</f>
        <v>653912.25</v>
      </c>
    </row>
    <row r="22" spans="1:20" ht="16.149999999999999" customHeight="1" x14ac:dyDescent="0.2">
      <c r="A22" s="79">
        <v>19</v>
      </c>
      <c r="B22" s="7">
        <v>408796.73</v>
      </c>
      <c r="C22" s="7">
        <v>162117.21</v>
      </c>
      <c r="D22" s="7">
        <v>45279.18</v>
      </c>
      <c r="E22" s="7">
        <v>46049.42</v>
      </c>
      <c r="F22" s="7">
        <v>13487.2</v>
      </c>
      <c r="G22" s="80">
        <f t="shared" si="0"/>
        <v>675729.74</v>
      </c>
      <c r="H22" s="7">
        <v>410602.75</v>
      </c>
      <c r="I22" s="7">
        <v>162703.01</v>
      </c>
      <c r="J22" s="7">
        <v>44913.31</v>
      </c>
      <c r="K22" s="7">
        <v>44468.2</v>
      </c>
      <c r="L22" s="7">
        <v>13487.2</v>
      </c>
      <c r="M22" s="80">
        <f t="shared" si="1"/>
        <v>676174.47</v>
      </c>
      <c r="N22" s="7">
        <f>384198.92+25836.3</f>
        <v>410035.22</v>
      </c>
      <c r="O22" s="8">
        <f>143986.91+18716.15</f>
        <v>162703.06</v>
      </c>
      <c r="P22" s="7">
        <f>43727.45+1185.9</f>
        <v>44913.35</v>
      </c>
      <c r="Q22" s="7">
        <f>39900.6+4567.6</f>
        <v>44468.2</v>
      </c>
      <c r="R22" s="7">
        <f>12351.35+1135.85</f>
        <v>13487.2</v>
      </c>
      <c r="S22" s="80">
        <f t="shared" si="2"/>
        <v>675607.02999999991</v>
      </c>
    </row>
    <row r="23" spans="1:20" ht="16.149999999999999" customHeight="1" x14ac:dyDescent="0.2">
      <c r="A23" s="79">
        <v>20</v>
      </c>
      <c r="B23" s="7">
        <v>404005.93</v>
      </c>
      <c r="C23" s="7">
        <v>160277.53</v>
      </c>
      <c r="D23" s="7">
        <v>45927.67</v>
      </c>
      <c r="E23" s="7">
        <v>45835.040000000001</v>
      </c>
      <c r="F23" s="7">
        <v>13414.85</v>
      </c>
      <c r="G23" s="80">
        <f t="shared" si="0"/>
        <v>669461.02</v>
      </c>
      <c r="H23" s="7">
        <v>403410.05</v>
      </c>
      <c r="I23" s="7">
        <v>160277.48000000001</v>
      </c>
      <c r="J23" s="7">
        <v>47867.25</v>
      </c>
      <c r="K23" s="7">
        <v>47416.26</v>
      </c>
      <c r="L23" s="7">
        <v>12244.36</v>
      </c>
      <c r="M23" s="80">
        <f t="shared" si="1"/>
        <v>671215.4</v>
      </c>
      <c r="N23" s="9">
        <f>377786.04+25624.05</f>
        <v>403410.08999999997</v>
      </c>
      <c r="O23" s="67">
        <f>141353.58+18923.95</f>
        <v>160277.53</v>
      </c>
      <c r="P23" s="9">
        <f>46405.84+1461.4</f>
        <v>47867.24</v>
      </c>
      <c r="Q23" s="9">
        <f>42790.85+4625.4</f>
        <v>47416.25</v>
      </c>
      <c r="R23" s="9">
        <f>12191+1223.85</f>
        <v>13414.85</v>
      </c>
      <c r="S23" s="80">
        <f t="shared" si="2"/>
        <v>672385.96</v>
      </c>
    </row>
    <row r="24" spans="1:20" ht="16.149999999999999" customHeight="1" x14ac:dyDescent="0.2">
      <c r="A24" s="79">
        <v>21</v>
      </c>
      <c r="B24" s="7">
        <v>402792.59</v>
      </c>
      <c r="C24" s="7">
        <v>157223.26999999999</v>
      </c>
      <c r="D24" s="7">
        <v>44997.81</v>
      </c>
      <c r="E24" s="7">
        <v>45286.35</v>
      </c>
      <c r="F24" s="7">
        <v>13219.07</v>
      </c>
      <c r="G24" s="80">
        <f t="shared" si="0"/>
        <v>663519.08999999985</v>
      </c>
      <c r="H24" s="7">
        <v>399557.76</v>
      </c>
      <c r="I24" s="7">
        <v>158548.12</v>
      </c>
      <c r="J24" s="7">
        <v>44997.760000000002</v>
      </c>
      <c r="K24" s="7">
        <v>43537.43</v>
      </c>
      <c r="L24" s="7">
        <v>12179.32</v>
      </c>
      <c r="M24" s="80">
        <f t="shared" si="1"/>
        <v>658820.39</v>
      </c>
      <c r="N24" s="7">
        <f>374306.96+25250.85</f>
        <v>399557.81</v>
      </c>
      <c r="O24" s="67">
        <f>139056.61+18339.05</f>
        <v>157395.65999999997</v>
      </c>
      <c r="P24" s="9">
        <f>43782.61+1215.2</f>
        <v>44997.81</v>
      </c>
      <c r="Q24" s="7">
        <f>39232.74+4304.7</f>
        <v>43537.439999999995</v>
      </c>
      <c r="R24" s="9">
        <f>12131.92+1087.15</f>
        <v>13219.07</v>
      </c>
      <c r="S24" s="80">
        <f t="shared" si="2"/>
        <v>658707.78999999992</v>
      </c>
    </row>
    <row r="25" spans="1:20" ht="16.149999999999999" customHeight="1" x14ac:dyDescent="0.2">
      <c r="A25" s="79">
        <v>22</v>
      </c>
      <c r="B25" s="7">
        <v>394587.97</v>
      </c>
      <c r="C25" s="7">
        <v>153484.26999999999</v>
      </c>
      <c r="D25" s="7">
        <v>45114.3</v>
      </c>
      <c r="E25" s="7">
        <v>42119.62</v>
      </c>
      <c r="F25" s="7">
        <v>12738.15</v>
      </c>
      <c r="G25" s="80">
        <f t="shared" si="0"/>
        <v>648044.31000000006</v>
      </c>
      <c r="H25" s="7">
        <v>394280.11</v>
      </c>
      <c r="I25" s="7">
        <v>152924.15</v>
      </c>
      <c r="J25" s="7">
        <v>45114.3</v>
      </c>
      <c r="K25" s="7">
        <v>43868.54</v>
      </c>
      <c r="L25" s="7">
        <v>12738.15</v>
      </c>
      <c r="M25" s="80">
        <f t="shared" si="1"/>
        <v>648925.25000000012</v>
      </c>
      <c r="N25" s="7">
        <f>375943.16+24355.5</f>
        <v>400298.66</v>
      </c>
      <c r="O25" s="8">
        <f>135295.52+17819.8</f>
        <v>153115.31999999998</v>
      </c>
      <c r="P25" s="7">
        <f>44579.01+1246.85</f>
        <v>45825.86</v>
      </c>
      <c r="Q25" s="7">
        <f>39882.3+4608.85</f>
        <v>44491.15</v>
      </c>
      <c r="R25" s="7">
        <f>11948.52+982.35</f>
        <v>12930.87</v>
      </c>
      <c r="S25" s="80">
        <f t="shared" si="2"/>
        <v>656661.86</v>
      </c>
    </row>
    <row r="26" spans="1:20" ht="16.149999999999999" customHeight="1" x14ac:dyDescent="0.2">
      <c r="A26" s="79">
        <v>23</v>
      </c>
      <c r="B26" s="7">
        <v>256820.47</v>
      </c>
      <c r="C26" s="7">
        <v>72195.19</v>
      </c>
      <c r="D26" s="7">
        <v>24671.919999999998</v>
      </c>
      <c r="E26" s="7">
        <v>17629.509999999998</v>
      </c>
      <c r="F26" s="7">
        <v>7311.77</v>
      </c>
      <c r="G26" s="80">
        <f t="shared" si="0"/>
        <v>378628.86000000004</v>
      </c>
      <c r="H26" s="7">
        <v>260693.41</v>
      </c>
      <c r="I26" s="7">
        <v>73051.94</v>
      </c>
      <c r="J26" s="7">
        <v>24671.87</v>
      </c>
      <c r="K26" s="7">
        <v>15732.11</v>
      </c>
      <c r="L26" s="7">
        <v>7311.77</v>
      </c>
      <c r="M26" s="80">
        <f t="shared" si="1"/>
        <v>381461.1</v>
      </c>
      <c r="N26" s="7">
        <f>248768.21+11925.2</f>
        <v>260693.41</v>
      </c>
      <c r="O26" s="8">
        <f>63835.66+8527</f>
        <v>72362.66</v>
      </c>
      <c r="P26" s="7">
        <f>24087.11+584.8</f>
        <v>24671.91</v>
      </c>
      <c r="Q26" s="7">
        <f>15645.61+1983.9</f>
        <v>17629.510000000002</v>
      </c>
      <c r="R26" s="7">
        <f>6799.78+512</f>
        <v>7311.78</v>
      </c>
      <c r="S26" s="80">
        <f t="shared" si="2"/>
        <v>382669.27</v>
      </c>
    </row>
    <row r="27" spans="1:20" ht="16.149999999999999" customHeight="1" x14ac:dyDescent="0.2">
      <c r="A27" s="79">
        <v>24</v>
      </c>
      <c r="B27" s="7">
        <v>111762.18</v>
      </c>
      <c r="C27" s="7">
        <v>37249.1</v>
      </c>
      <c r="D27" s="7">
        <v>12065.7</v>
      </c>
      <c r="E27" s="7">
        <v>9247.7199999999993</v>
      </c>
      <c r="F27" s="7">
        <v>3226.03</v>
      </c>
      <c r="G27" s="80">
        <f t="shared" si="0"/>
        <v>173550.73</v>
      </c>
      <c r="H27" s="7">
        <v>111359.53</v>
      </c>
      <c r="I27" s="7">
        <v>37228.400000000001</v>
      </c>
      <c r="J27" s="7">
        <v>12065.7</v>
      </c>
      <c r="K27" s="7">
        <v>9247.7199999999993</v>
      </c>
      <c r="L27" s="7">
        <v>3226.03</v>
      </c>
      <c r="M27" s="80">
        <f t="shared" si="1"/>
        <v>173127.38</v>
      </c>
      <c r="N27" s="7">
        <f>106180.18+5179.35</f>
        <v>111359.53</v>
      </c>
      <c r="O27" s="8">
        <f>32231.96+4642.8</f>
        <v>36874.76</v>
      </c>
      <c r="P27" s="7">
        <f>11766.15+299.55</f>
        <v>12065.699999999999</v>
      </c>
      <c r="Q27" s="7">
        <f>8354.32+893.4</f>
        <v>9247.7199999999993</v>
      </c>
      <c r="R27" s="7">
        <f>2980.43+245.6</f>
        <v>3226.0299999999997</v>
      </c>
      <c r="S27" s="80">
        <f t="shared" si="2"/>
        <v>172773.74000000002</v>
      </c>
      <c r="T27" s="3"/>
    </row>
    <row r="28" spans="1:20" ht="16.149999999999999" customHeight="1" x14ac:dyDescent="0.2">
      <c r="A28" s="79">
        <v>25</v>
      </c>
      <c r="B28" s="7">
        <v>386290.73</v>
      </c>
      <c r="C28" s="7">
        <v>155392.81</v>
      </c>
      <c r="D28" s="7">
        <v>43805.18</v>
      </c>
      <c r="E28" s="7">
        <v>43731.39</v>
      </c>
      <c r="F28" s="7">
        <v>12878.6</v>
      </c>
      <c r="G28" s="80">
        <f t="shared" si="0"/>
        <v>642098.71000000008</v>
      </c>
      <c r="H28" s="7">
        <v>388651.07</v>
      </c>
      <c r="I28" s="7">
        <v>157091.51999999999</v>
      </c>
      <c r="J28" s="7">
        <v>43803.18</v>
      </c>
      <c r="K28" s="7">
        <v>43731.39</v>
      </c>
      <c r="L28" s="7">
        <v>12878.6</v>
      </c>
      <c r="M28" s="80">
        <f t="shared" si="1"/>
        <v>646155.76</v>
      </c>
      <c r="N28" s="9">
        <f>363995.52+24665.55</f>
        <v>388661.07</v>
      </c>
      <c r="O28" s="67">
        <f>138289.16+18021.8</f>
        <v>156310.96</v>
      </c>
      <c r="P28" s="9">
        <f>42619.02+1186.15</f>
        <v>43805.17</v>
      </c>
      <c r="Q28" s="7">
        <f>39245.19+4486.2</f>
        <v>43731.39</v>
      </c>
      <c r="R28" s="9">
        <f>11768.9+1109.7</f>
        <v>12878.6</v>
      </c>
      <c r="S28" s="80">
        <f t="shared" si="2"/>
        <v>645387.19000000006</v>
      </c>
      <c r="T28" s="3"/>
    </row>
    <row r="29" spans="1:20" ht="16.149999999999999" customHeight="1" x14ac:dyDescent="0.2">
      <c r="A29" s="79">
        <v>26</v>
      </c>
      <c r="B29" s="7">
        <v>399224.36</v>
      </c>
      <c r="C29" s="7">
        <v>158725.63</v>
      </c>
      <c r="D29" s="7">
        <v>44977.77</v>
      </c>
      <c r="E29" s="7">
        <v>46466.65</v>
      </c>
      <c r="F29" s="7">
        <v>13631.9</v>
      </c>
      <c r="G29" s="80">
        <f t="shared" si="0"/>
        <v>663026.31000000006</v>
      </c>
      <c r="H29" s="7">
        <v>399960.79</v>
      </c>
      <c r="I29" s="7">
        <v>158084.35999999999</v>
      </c>
      <c r="J29" s="7">
        <v>44977.77</v>
      </c>
      <c r="K29" s="7">
        <v>44957.3</v>
      </c>
      <c r="L29" s="7">
        <v>13631.9</v>
      </c>
      <c r="M29" s="80">
        <f t="shared" si="1"/>
        <v>661612.12</v>
      </c>
      <c r="N29" s="9">
        <f>374784.69+25176.1</f>
        <v>399960.79</v>
      </c>
      <c r="O29" s="67">
        <f>138754.73+18404.6</f>
        <v>157159.33000000002</v>
      </c>
      <c r="P29" s="9">
        <f>43617.67+1360.1</f>
        <v>44977.77</v>
      </c>
      <c r="Q29" s="7">
        <f>40375.4+4581.9</f>
        <v>44957.3</v>
      </c>
      <c r="R29" s="9">
        <f>12421.51+1210.4</f>
        <v>13631.91</v>
      </c>
      <c r="S29" s="80">
        <f t="shared" si="2"/>
        <v>660687.10000000009</v>
      </c>
      <c r="T29" s="3"/>
    </row>
    <row r="30" spans="1:20" ht="16.149999999999999" customHeight="1" x14ac:dyDescent="0.2">
      <c r="A30" s="79">
        <v>27</v>
      </c>
      <c r="B30" s="7">
        <v>397641.09</v>
      </c>
      <c r="C30" s="7">
        <v>159970</v>
      </c>
      <c r="D30" s="7">
        <v>45405.47</v>
      </c>
      <c r="E30" s="7">
        <v>45870.43</v>
      </c>
      <c r="F30" s="7">
        <v>13499.97</v>
      </c>
      <c r="G30" s="80">
        <f t="shared" si="0"/>
        <v>662386.96000000008</v>
      </c>
      <c r="H30" s="7">
        <v>395448.73</v>
      </c>
      <c r="I30" s="7">
        <v>159171.4</v>
      </c>
      <c r="J30" s="7">
        <v>45405.42</v>
      </c>
      <c r="K30" s="7">
        <v>45758.62</v>
      </c>
      <c r="L30" s="7">
        <v>12353.53</v>
      </c>
      <c r="M30" s="80">
        <f t="shared" si="1"/>
        <v>658137.70000000007</v>
      </c>
      <c r="N30" s="67">
        <f>370542.94+24905.8</f>
        <v>395448.74</v>
      </c>
      <c r="O30" s="8">
        <f>139983.77+18296.8</f>
        <v>158280.56999999998</v>
      </c>
      <c r="P30" s="7">
        <f>44263.52+1141.95</f>
        <v>45405.469999999994</v>
      </c>
      <c r="Q30" s="7">
        <f>41037.68+4720.95</f>
        <v>45758.63</v>
      </c>
      <c r="R30" s="7">
        <f>12301.27+1198.7</f>
        <v>13499.970000000001</v>
      </c>
      <c r="S30" s="80">
        <f t="shared" si="2"/>
        <v>658393.37999999989</v>
      </c>
      <c r="T30" s="3"/>
    </row>
    <row r="31" spans="1:20" ht="16.149999999999999" customHeight="1" x14ac:dyDescent="0.2">
      <c r="A31" s="79">
        <v>28</v>
      </c>
      <c r="B31" s="7">
        <v>396256.56</v>
      </c>
      <c r="C31" s="7">
        <v>158887.69</v>
      </c>
      <c r="D31" s="7">
        <v>44571.25</v>
      </c>
      <c r="E31" s="7">
        <v>46320.99</v>
      </c>
      <c r="F31" s="7">
        <v>13853.21</v>
      </c>
      <c r="G31" s="80">
        <f t="shared" si="0"/>
        <v>659889.69999999995</v>
      </c>
      <c r="H31" s="7">
        <v>399399.48</v>
      </c>
      <c r="I31" s="7">
        <v>157500.81</v>
      </c>
      <c r="J31" s="7">
        <v>43771.13</v>
      </c>
      <c r="K31" s="7">
        <v>47942.13</v>
      </c>
      <c r="L31" s="7">
        <v>13853.21</v>
      </c>
      <c r="M31" s="80">
        <f t="shared" si="1"/>
        <v>662466.76</v>
      </c>
      <c r="N31" s="7">
        <f>370128.61+24784.3</f>
        <v>394912.91</v>
      </c>
      <c r="O31" s="7">
        <f>139126.91+18373.9</f>
        <v>157500.81</v>
      </c>
      <c r="P31" s="7">
        <f>42455.28+1315.85</f>
        <v>43771.13</v>
      </c>
      <c r="Q31" s="7">
        <f>43132.19+4809.95</f>
        <v>47942.14</v>
      </c>
      <c r="R31" s="7">
        <f>12613.67+1239.55</f>
        <v>13853.22</v>
      </c>
      <c r="S31" s="80">
        <f t="shared" si="2"/>
        <v>657980.21</v>
      </c>
    </row>
    <row r="32" spans="1:20" ht="16.149999999999999" customHeight="1" x14ac:dyDescent="0.2">
      <c r="A32" s="79">
        <v>29</v>
      </c>
      <c r="B32" s="7">
        <v>388912.22</v>
      </c>
      <c r="C32" s="7">
        <v>151451.92000000001</v>
      </c>
      <c r="D32" s="7">
        <v>44535.01</v>
      </c>
      <c r="E32" s="7">
        <v>40972.32</v>
      </c>
      <c r="F32" s="7">
        <v>13423.36</v>
      </c>
      <c r="G32" s="80">
        <f t="shared" si="0"/>
        <v>639294.82999999996</v>
      </c>
      <c r="H32" s="7">
        <v>396086.75</v>
      </c>
      <c r="I32" s="7">
        <v>148250.37</v>
      </c>
      <c r="J32" s="7">
        <v>44638.39</v>
      </c>
      <c r="K32" s="7">
        <v>41422.92</v>
      </c>
      <c r="L32" s="7">
        <v>12301.46</v>
      </c>
      <c r="M32" s="80">
        <f t="shared" si="1"/>
        <v>642699.89</v>
      </c>
      <c r="N32" s="9">
        <v>391665.12</v>
      </c>
      <c r="O32" s="9">
        <v>148250.37</v>
      </c>
      <c r="P32" s="9">
        <v>44271.14</v>
      </c>
      <c r="Q32" s="9">
        <v>40972.32</v>
      </c>
      <c r="R32" s="9">
        <v>13423.37</v>
      </c>
      <c r="S32" s="80">
        <f t="shared" si="2"/>
        <v>638582.31999999995</v>
      </c>
    </row>
    <row r="33" spans="1:20" ht="16.149999999999999" customHeight="1" x14ac:dyDescent="0.2">
      <c r="A33" s="79">
        <v>30</v>
      </c>
      <c r="B33" s="7">
        <v>259366.79</v>
      </c>
      <c r="C33" s="7">
        <v>69894.720000000001</v>
      </c>
      <c r="D33" s="7">
        <v>25927.43</v>
      </c>
      <c r="E33" s="7">
        <v>17309.5</v>
      </c>
      <c r="F33" s="7">
        <v>7954.43</v>
      </c>
      <c r="G33" s="80">
        <f t="shared" si="0"/>
        <v>380452.87</v>
      </c>
      <c r="H33" s="7">
        <v>261036.66</v>
      </c>
      <c r="I33" s="7">
        <v>71136.509999999995</v>
      </c>
      <c r="J33" s="7">
        <v>27179.64</v>
      </c>
      <c r="K33" s="7">
        <v>15446.15</v>
      </c>
      <c r="L33" s="7">
        <v>7954.43</v>
      </c>
      <c r="M33" s="80">
        <f t="shared" si="1"/>
        <v>382753.39</v>
      </c>
      <c r="N33" s="9">
        <v>259443.96</v>
      </c>
      <c r="O33" s="9">
        <v>71136.5</v>
      </c>
      <c r="P33" s="9">
        <v>26991.43</v>
      </c>
      <c r="Q33" s="9">
        <v>17309.419999999998</v>
      </c>
      <c r="R33" s="9">
        <v>7954.43</v>
      </c>
      <c r="S33" s="80">
        <f t="shared" si="2"/>
        <v>382835.73999999993</v>
      </c>
    </row>
    <row r="34" spans="1:20" ht="16.149999999999999" customHeight="1" x14ac:dyDescent="0.2">
      <c r="A34" s="79">
        <v>31</v>
      </c>
      <c r="B34" s="9">
        <v>116551.4</v>
      </c>
      <c r="C34" s="9">
        <v>50190.58</v>
      </c>
      <c r="D34" s="7">
        <v>12665.8</v>
      </c>
      <c r="E34" s="7">
        <v>8896.34</v>
      </c>
      <c r="F34" s="7">
        <v>3213.26</v>
      </c>
      <c r="G34" s="80">
        <f t="shared" si="0"/>
        <v>191517.37999999998</v>
      </c>
      <c r="H34" s="7">
        <v>117198.26</v>
      </c>
      <c r="I34" s="7">
        <v>38269.15</v>
      </c>
      <c r="J34" s="7">
        <v>12665.8</v>
      </c>
      <c r="K34" s="7">
        <v>8896.34</v>
      </c>
      <c r="L34" s="7">
        <v>3213.22</v>
      </c>
      <c r="M34" s="80">
        <f t="shared" si="1"/>
        <v>180242.77</v>
      </c>
      <c r="N34" s="9">
        <v>117198.31</v>
      </c>
      <c r="O34" s="9">
        <v>37512.449999999997</v>
      </c>
      <c r="P34" s="9">
        <v>12665.8</v>
      </c>
      <c r="Q34" s="9">
        <v>8896.33</v>
      </c>
      <c r="R34" s="9">
        <v>3213.26</v>
      </c>
      <c r="S34" s="80">
        <f t="shared" si="2"/>
        <v>179486.15</v>
      </c>
    </row>
    <row r="35" spans="1:20" ht="16.149999999999999" customHeight="1" thickBot="1" x14ac:dyDescent="0.25">
      <c r="A35" s="39" t="s">
        <v>10</v>
      </c>
      <c r="B35" s="68">
        <f>SUM(B4:B34)</f>
        <v>10464119.989999998</v>
      </c>
      <c r="C35" s="69">
        <f>SUM(C4:C34)</f>
        <v>3926424.7299999995</v>
      </c>
      <c r="D35" s="70">
        <f>SUM(D4:D34)</f>
        <v>1179318.9300000002</v>
      </c>
      <c r="E35" s="70">
        <f>SUM(E4:E34)</f>
        <v>1075516.9600000002</v>
      </c>
      <c r="F35" s="70">
        <f>SUM(F4:F34)</f>
        <v>347058.14000000007</v>
      </c>
      <c r="G35" s="71">
        <f t="shared" si="0"/>
        <v>16992438.75</v>
      </c>
      <c r="H35" s="68">
        <f t="shared" ref="H35:S35" si="3">SUM(H4:H34)</f>
        <v>10437800.619999999</v>
      </c>
      <c r="I35" s="70">
        <f t="shared" si="3"/>
        <v>3926553.5799999996</v>
      </c>
      <c r="J35" s="70">
        <f t="shared" si="3"/>
        <v>1579275.5599999996</v>
      </c>
      <c r="K35" s="70">
        <f t="shared" si="3"/>
        <v>1058958.9000000001</v>
      </c>
      <c r="L35" s="70">
        <f t="shared" si="3"/>
        <v>341467.7900000001</v>
      </c>
      <c r="M35" s="72">
        <f t="shared" si="3"/>
        <v>17344056.450000003</v>
      </c>
      <c r="N35" s="68">
        <f t="shared" si="3"/>
        <v>10480167.5</v>
      </c>
      <c r="O35" s="70">
        <f t="shared" si="3"/>
        <v>3914576.44</v>
      </c>
      <c r="P35" s="70">
        <f t="shared" si="3"/>
        <v>1178878.6199999999</v>
      </c>
      <c r="Q35" s="70">
        <f t="shared" si="3"/>
        <v>1075642.8899999999</v>
      </c>
      <c r="R35" s="70">
        <f t="shared" si="3"/>
        <v>347233.87999999995</v>
      </c>
      <c r="S35" s="73">
        <f t="shared" si="3"/>
        <v>16996499.329999998</v>
      </c>
      <c r="T35" s="17"/>
    </row>
    <row r="37" spans="1:20" x14ac:dyDescent="0.2">
      <c r="H37" s="4" t="s">
        <v>11</v>
      </c>
    </row>
    <row r="38" spans="1:20" x14ac:dyDescent="0.2">
      <c r="N38" s="14" t="s">
        <v>11</v>
      </c>
      <c r="O38" s="15" t="s">
        <v>11</v>
      </c>
      <c r="P38" s="14" t="s">
        <v>11</v>
      </c>
      <c r="Q38" s="16" t="s">
        <v>11</v>
      </c>
      <c r="R38" s="16" t="s">
        <v>11</v>
      </c>
    </row>
    <row r="39" spans="1:20" x14ac:dyDescent="0.2">
      <c r="N39" s="14"/>
    </row>
  </sheetData>
  <mergeCells count="5">
    <mergeCell ref="B1:S1"/>
    <mergeCell ref="A2:A3"/>
    <mergeCell ref="B2:G2"/>
    <mergeCell ref="H2:M2"/>
    <mergeCell ref="N2:S2"/>
  </mergeCells>
  <printOptions horizontalCentered="1" verticalCentered="1"/>
  <pageMargins left="0" right="0" top="0" bottom="0" header="0" footer="0"/>
  <pageSetup paperSize="9" scale="6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39"/>
  <sheetViews>
    <sheetView workbookViewId="0">
      <pane xSplit="1" ySplit="3" topLeftCell="E13" activePane="bottomRight" state="frozen"/>
      <selection pane="topRight" activeCell="B1" sqref="B1"/>
      <selection pane="bottomLeft" activeCell="A2" sqref="A2"/>
      <selection pane="bottomRight" activeCell="H47" sqref="H47"/>
    </sheetView>
  </sheetViews>
  <sheetFormatPr defaultColWidth="9.140625" defaultRowHeight="12.75" x14ac:dyDescent="0.2"/>
  <cols>
    <col min="1" max="1" width="6.85546875" style="1" customWidth="1"/>
    <col min="2" max="6" width="11.7109375" style="1" customWidth="1"/>
    <col min="7" max="7" width="12.7109375" style="2" customWidth="1"/>
    <col min="8" max="8" width="11.7109375" style="4" customWidth="1"/>
    <col min="9" max="12" width="11.7109375" style="1" customWidth="1"/>
    <col min="13" max="13" width="12.7109375" style="2" customWidth="1"/>
    <col min="14" max="18" width="11.7109375" style="13" customWidth="1"/>
    <col min="19" max="19" width="12.7109375" style="1" customWidth="1"/>
    <col min="20" max="20" width="10.7109375" style="1" customWidth="1"/>
    <col min="21" max="16384" width="9.140625" style="1"/>
  </cols>
  <sheetData>
    <row r="1" spans="1:19" ht="24" customHeight="1" x14ac:dyDescent="0.2">
      <c r="A1" s="74"/>
      <c r="B1" s="125" t="s">
        <v>16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</row>
    <row r="2" spans="1:19" ht="18.75" x14ac:dyDescent="0.25">
      <c r="A2" s="126" t="s">
        <v>0</v>
      </c>
      <c r="B2" s="127" t="s">
        <v>1</v>
      </c>
      <c r="C2" s="128"/>
      <c r="D2" s="128"/>
      <c r="E2" s="128"/>
      <c r="F2" s="128"/>
      <c r="G2" s="128"/>
      <c r="H2" s="127" t="s">
        <v>2</v>
      </c>
      <c r="I2" s="128"/>
      <c r="J2" s="128"/>
      <c r="K2" s="128"/>
      <c r="L2" s="128"/>
      <c r="M2" s="128"/>
      <c r="N2" s="127" t="s">
        <v>3</v>
      </c>
      <c r="O2" s="128"/>
      <c r="P2" s="128"/>
      <c r="Q2" s="128"/>
      <c r="R2" s="128"/>
      <c r="S2" s="128"/>
    </row>
    <row r="3" spans="1:19" ht="16.149999999999999" customHeight="1" x14ac:dyDescent="0.2">
      <c r="A3" s="126"/>
      <c r="B3" s="75" t="s">
        <v>4</v>
      </c>
      <c r="C3" s="75" t="s">
        <v>5</v>
      </c>
      <c r="D3" s="75" t="s">
        <v>6</v>
      </c>
      <c r="E3" s="75" t="s">
        <v>7</v>
      </c>
      <c r="F3" s="75" t="s">
        <v>8</v>
      </c>
      <c r="G3" s="76" t="s">
        <v>9</v>
      </c>
      <c r="H3" s="77" t="s">
        <v>4</v>
      </c>
      <c r="I3" s="75" t="s">
        <v>5</v>
      </c>
      <c r="J3" s="75" t="s">
        <v>6</v>
      </c>
      <c r="K3" s="75" t="s">
        <v>7</v>
      </c>
      <c r="L3" s="75" t="s">
        <v>8</v>
      </c>
      <c r="M3" s="78" t="s">
        <v>9</v>
      </c>
      <c r="N3" s="75" t="s">
        <v>4</v>
      </c>
      <c r="O3" s="75" t="s">
        <v>5</v>
      </c>
      <c r="P3" s="75" t="s">
        <v>6</v>
      </c>
      <c r="Q3" s="75" t="s">
        <v>7</v>
      </c>
      <c r="R3" s="75" t="s">
        <v>8</v>
      </c>
      <c r="S3" s="78" t="s">
        <v>9</v>
      </c>
    </row>
    <row r="4" spans="1:19" ht="16.149999999999999" customHeight="1" x14ac:dyDescent="0.2">
      <c r="A4" s="79">
        <v>1</v>
      </c>
      <c r="B4" s="7">
        <v>419973.75</v>
      </c>
      <c r="C4" s="7">
        <v>161181.23000000001</v>
      </c>
      <c r="D4" s="7">
        <v>48428.22</v>
      </c>
      <c r="E4" s="7">
        <v>49331.83</v>
      </c>
      <c r="F4" s="7">
        <v>14546.94</v>
      </c>
      <c r="G4" s="80">
        <f t="shared" ref="G4:G35" si="0">SUM(B4:F4)</f>
        <v>693461.96999999986</v>
      </c>
      <c r="H4" s="7">
        <v>418301.73</v>
      </c>
      <c r="I4" s="7">
        <v>164357.1</v>
      </c>
      <c r="J4" s="7">
        <v>50096.57</v>
      </c>
      <c r="K4" s="7">
        <v>49331.83</v>
      </c>
      <c r="L4" s="7">
        <v>14546.94</v>
      </c>
      <c r="M4" s="80">
        <f t="shared" ref="M4:M34" si="1">SUM(H4:L4)</f>
        <v>696634.16999999981</v>
      </c>
      <c r="N4" s="9">
        <f>392898.93+25132.8</f>
        <v>418031.73</v>
      </c>
      <c r="O4" s="9">
        <f>145373.25+18983.85</f>
        <v>164357.1</v>
      </c>
      <c r="P4" s="9">
        <f>48640.01+1456.55</f>
        <v>50096.560000000005</v>
      </c>
      <c r="Q4" s="9">
        <f>44413.03+4918.8</f>
        <v>49331.83</v>
      </c>
      <c r="R4" s="9">
        <f>13354.24+1192.7</f>
        <v>14546.94</v>
      </c>
      <c r="S4" s="80">
        <f t="shared" ref="S4:S34" si="2">SUM(N4:R4)</f>
        <v>696364.15999999992</v>
      </c>
    </row>
    <row r="5" spans="1:19" ht="16.149999999999999" customHeight="1" x14ac:dyDescent="0.2">
      <c r="A5" s="79">
        <v>2</v>
      </c>
      <c r="B5" s="30">
        <v>419241.81</v>
      </c>
      <c r="C5" s="7">
        <v>160579.32</v>
      </c>
      <c r="D5" s="7">
        <v>48875.24</v>
      </c>
      <c r="E5" s="7">
        <v>47284.85</v>
      </c>
      <c r="F5" s="7">
        <v>14210.72</v>
      </c>
      <c r="G5" s="80">
        <f t="shared" si="0"/>
        <v>690191.94</v>
      </c>
      <c r="H5" s="7">
        <v>430073.52</v>
      </c>
      <c r="I5" s="7">
        <v>162113.20000000001</v>
      </c>
      <c r="J5" s="7">
        <v>48875.24</v>
      </c>
      <c r="K5" s="7">
        <v>43820.86</v>
      </c>
      <c r="L5" s="7">
        <v>14210.67</v>
      </c>
      <c r="M5" s="80">
        <f t="shared" si="1"/>
        <v>699093.49</v>
      </c>
      <c r="N5" s="9">
        <f>404564.87+25508.65</f>
        <v>430073.52</v>
      </c>
      <c r="O5" s="9">
        <f>143297.44+18815.75</f>
        <v>162113.19</v>
      </c>
      <c r="P5" s="9">
        <f>47535.59+1339.65</f>
        <v>48875.24</v>
      </c>
      <c r="Q5" s="9">
        <f>43607.71+4888.65</f>
        <v>48496.36</v>
      </c>
      <c r="R5" s="9">
        <f>12933.51+1277.2</f>
        <v>14210.710000000001</v>
      </c>
      <c r="S5" s="80">
        <f t="shared" si="2"/>
        <v>703769.0199999999</v>
      </c>
    </row>
    <row r="6" spans="1:19" ht="16.149999999999999" customHeight="1" x14ac:dyDescent="0.2">
      <c r="A6" s="79">
        <v>3</v>
      </c>
      <c r="B6" s="7">
        <v>415664.26</v>
      </c>
      <c r="C6" s="7">
        <v>153103.85999999999</v>
      </c>
      <c r="D6" s="7">
        <v>48644.08</v>
      </c>
      <c r="E6" s="7">
        <v>46478.41</v>
      </c>
      <c r="F6" s="7">
        <v>14172.41</v>
      </c>
      <c r="G6" s="80">
        <f t="shared" si="0"/>
        <v>678063.02</v>
      </c>
      <c r="H6" s="7">
        <v>413967.27</v>
      </c>
      <c r="I6" s="7">
        <v>153103.81</v>
      </c>
      <c r="J6" s="7">
        <v>48644.08</v>
      </c>
      <c r="K6" s="7">
        <v>45152.7</v>
      </c>
      <c r="L6" s="7">
        <v>13002.88</v>
      </c>
      <c r="M6" s="80">
        <f t="shared" si="1"/>
        <v>673870.74</v>
      </c>
      <c r="N6" s="9">
        <f>389190.26+24734.4</f>
        <v>413924.66000000003</v>
      </c>
      <c r="O6" s="9">
        <f>135728.01+17375.85</f>
        <v>153103.86000000002</v>
      </c>
      <c r="P6" s="9">
        <f>47325.03+1300.55</f>
        <v>48625.58</v>
      </c>
      <c r="Q6" s="9">
        <f>40776.75+4376</f>
        <v>45152.75</v>
      </c>
      <c r="R6" s="9">
        <f>12949.56+1222.85</f>
        <v>14172.41</v>
      </c>
      <c r="S6" s="80">
        <f t="shared" si="2"/>
        <v>674979.26</v>
      </c>
    </row>
    <row r="7" spans="1:19" ht="16.149999999999999" customHeight="1" x14ac:dyDescent="0.2">
      <c r="A7" s="79">
        <v>4</v>
      </c>
      <c r="B7" s="7">
        <v>264924</v>
      </c>
      <c r="C7" s="7">
        <v>68733.55</v>
      </c>
      <c r="D7" s="7">
        <v>28642.75</v>
      </c>
      <c r="E7" s="7">
        <v>18363.12</v>
      </c>
      <c r="F7" s="7">
        <v>8179.99</v>
      </c>
      <c r="G7" s="80">
        <f t="shared" si="0"/>
        <v>388843.41</v>
      </c>
      <c r="H7" s="7">
        <v>269235.59000000003</v>
      </c>
      <c r="I7" s="7">
        <v>69129.36</v>
      </c>
      <c r="J7" s="7">
        <v>28642.75</v>
      </c>
      <c r="K7" s="7">
        <v>19688.79</v>
      </c>
      <c r="L7" s="7">
        <v>8179.99</v>
      </c>
      <c r="M7" s="80">
        <f t="shared" si="1"/>
        <v>394876.48</v>
      </c>
      <c r="N7" s="9">
        <f>257386.99+11848.6</f>
        <v>269235.58999999997</v>
      </c>
      <c r="O7" s="9">
        <f>60882.4+7851.15</f>
        <v>68733.55</v>
      </c>
      <c r="P7" s="9">
        <f>28024.1+618.65</f>
        <v>28642.75</v>
      </c>
      <c r="Q7" s="9">
        <f>17306.44+2382.35</f>
        <v>19688.789999999997</v>
      </c>
      <c r="R7" s="9">
        <f>7662.59+517.4</f>
        <v>8179.99</v>
      </c>
      <c r="S7" s="80">
        <f t="shared" si="2"/>
        <v>394480.66999999993</v>
      </c>
    </row>
    <row r="8" spans="1:19" ht="16.149999999999999" customHeight="1" x14ac:dyDescent="0.2">
      <c r="A8" s="79">
        <v>5</v>
      </c>
      <c r="B8" s="7">
        <v>125012.53</v>
      </c>
      <c r="C8" s="7">
        <v>37285.4</v>
      </c>
      <c r="D8" s="7">
        <v>14087.29</v>
      </c>
      <c r="E8" s="7">
        <v>9761.5</v>
      </c>
      <c r="F8" s="7">
        <v>3719.73</v>
      </c>
      <c r="G8" s="80">
        <f t="shared" si="0"/>
        <v>189866.45</v>
      </c>
      <c r="H8" s="7">
        <v>124565.65</v>
      </c>
      <c r="I8" s="7">
        <v>38081.5</v>
      </c>
      <c r="J8" s="7">
        <v>14087.29</v>
      </c>
      <c r="K8" s="7">
        <v>9761.4500000000007</v>
      </c>
      <c r="L8" s="7">
        <v>3719.68</v>
      </c>
      <c r="M8" s="80">
        <f t="shared" si="1"/>
        <v>190215.57</v>
      </c>
      <c r="N8" s="9">
        <f>118769.5+5796.15</f>
        <v>124565.65</v>
      </c>
      <c r="O8" s="9">
        <f>32511.5+4453.75</f>
        <v>36965.25</v>
      </c>
      <c r="P8" s="9">
        <f>13733.19+288.1</f>
        <v>14021.29</v>
      </c>
      <c r="Q8" s="9">
        <f>8663.35+1098.15</f>
        <v>9761.5</v>
      </c>
      <c r="R8" s="9">
        <f>3468.38+251.35</f>
        <v>3719.73</v>
      </c>
      <c r="S8" s="80">
        <f t="shared" si="2"/>
        <v>189033.42</v>
      </c>
    </row>
    <row r="9" spans="1:19" ht="16.149999999999999" customHeight="1" x14ac:dyDescent="0.2">
      <c r="A9" s="79">
        <v>6</v>
      </c>
      <c r="B9" s="8">
        <v>420842.06</v>
      </c>
      <c r="C9" s="7">
        <v>163046.79</v>
      </c>
      <c r="D9" s="7">
        <v>48515.49</v>
      </c>
      <c r="E9" s="7">
        <v>47080.94</v>
      </c>
      <c r="F9" s="7">
        <v>14325.63</v>
      </c>
      <c r="G9" s="80">
        <f t="shared" si="0"/>
        <v>693810.91</v>
      </c>
      <c r="H9" s="7">
        <v>417741.75</v>
      </c>
      <c r="I9" s="7">
        <v>164412.04999999999</v>
      </c>
      <c r="J9" s="7">
        <v>48515.49</v>
      </c>
      <c r="K9" s="7">
        <v>45060.5</v>
      </c>
      <c r="L9" s="7">
        <v>14325.63</v>
      </c>
      <c r="M9" s="80">
        <f t="shared" si="1"/>
        <v>690055.42</v>
      </c>
      <c r="N9" s="9">
        <f>393142.15+24586.5</f>
        <v>417728.65</v>
      </c>
      <c r="O9" s="9">
        <f>144981.19+19132.65</f>
        <v>164113.84</v>
      </c>
      <c r="P9" s="9">
        <f>47171.6+1343.9</f>
        <v>48515.5</v>
      </c>
      <c r="Q9" s="9">
        <f>40514.8+4545.7</f>
        <v>45060.5</v>
      </c>
      <c r="R9" s="9">
        <f>13080.53+1245.1</f>
        <v>14325.630000000001</v>
      </c>
      <c r="S9" s="80">
        <f t="shared" si="2"/>
        <v>689744.12</v>
      </c>
    </row>
    <row r="10" spans="1:19" ht="16.149999999999999" customHeight="1" x14ac:dyDescent="0.2">
      <c r="A10" s="79">
        <v>7</v>
      </c>
      <c r="B10" s="7">
        <v>431391.97</v>
      </c>
      <c r="C10" s="7">
        <v>166730.98000000001</v>
      </c>
      <c r="D10" s="7">
        <v>49641.85</v>
      </c>
      <c r="E10" s="7">
        <v>50024.41</v>
      </c>
      <c r="F10" s="7">
        <v>14627.8</v>
      </c>
      <c r="G10" s="80">
        <f t="shared" si="0"/>
        <v>712417.01</v>
      </c>
      <c r="H10" s="30">
        <v>420380.74</v>
      </c>
      <c r="I10" s="7">
        <v>167665.48000000001</v>
      </c>
      <c r="J10" s="7">
        <v>48165.02</v>
      </c>
      <c r="K10" s="7">
        <v>51326.11</v>
      </c>
      <c r="L10" s="7">
        <v>14070.27</v>
      </c>
      <c r="M10" s="80">
        <f t="shared" si="1"/>
        <v>701607.62</v>
      </c>
      <c r="N10" s="8">
        <f>395102.08+25270.2</f>
        <v>420372.28</v>
      </c>
      <c r="O10" s="8">
        <f>148174.85+19137</f>
        <v>167311.85</v>
      </c>
      <c r="P10" s="7">
        <f>46781.97+1383.05</f>
        <v>48165.020000000004</v>
      </c>
      <c r="Q10" s="8">
        <f>46235.61+5090.5</f>
        <v>51326.11</v>
      </c>
      <c r="R10" s="7">
        <f>12860.27+1210</f>
        <v>14070.27</v>
      </c>
      <c r="S10" s="80">
        <f t="shared" si="2"/>
        <v>701245.53</v>
      </c>
    </row>
    <row r="11" spans="1:19" ht="16.149999999999999" customHeight="1" x14ac:dyDescent="0.2">
      <c r="A11" s="79">
        <v>8</v>
      </c>
      <c r="B11" s="7">
        <v>429810.51</v>
      </c>
      <c r="C11" s="7">
        <v>166266.51</v>
      </c>
      <c r="D11" s="7">
        <v>49241.69</v>
      </c>
      <c r="E11" s="7">
        <v>49230.59</v>
      </c>
      <c r="F11" s="7">
        <v>15125.75</v>
      </c>
      <c r="G11" s="80">
        <f t="shared" si="0"/>
        <v>709675.04999999993</v>
      </c>
      <c r="H11" s="7">
        <v>440934.69</v>
      </c>
      <c r="I11" s="7">
        <v>167191.54</v>
      </c>
      <c r="J11" s="7">
        <v>50718.51</v>
      </c>
      <c r="K11" s="7">
        <v>49949.33</v>
      </c>
      <c r="L11" s="7">
        <v>15683.29</v>
      </c>
      <c r="M11" s="80">
        <f t="shared" si="1"/>
        <v>724477.36</v>
      </c>
      <c r="N11" s="7">
        <f>414566.88+26367.8</f>
        <v>440934.68</v>
      </c>
      <c r="O11" s="8">
        <f>146803.36+19463.15</f>
        <v>166266.50999999998</v>
      </c>
      <c r="P11" s="7">
        <f>49268.51+1450</f>
        <v>50718.51</v>
      </c>
      <c r="Q11" s="7">
        <f>45068.47+4880.85</f>
        <v>49949.32</v>
      </c>
      <c r="R11" s="7">
        <f>14286.58+1396.7</f>
        <v>15683.28</v>
      </c>
      <c r="S11" s="80">
        <f t="shared" si="2"/>
        <v>723552.29999999993</v>
      </c>
    </row>
    <row r="12" spans="1:19" ht="16.149999999999999" customHeight="1" x14ac:dyDescent="0.2">
      <c r="A12" s="79">
        <v>9</v>
      </c>
      <c r="B12" s="7">
        <v>426569.85</v>
      </c>
      <c r="C12" s="7">
        <v>163247.25</v>
      </c>
      <c r="D12" s="7">
        <v>47814.17</v>
      </c>
      <c r="E12" s="7">
        <v>48725.33</v>
      </c>
      <c r="F12" s="7">
        <v>14559.71</v>
      </c>
      <c r="G12" s="80">
        <f t="shared" si="0"/>
        <v>700916.30999999994</v>
      </c>
      <c r="H12" s="7">
        <v>423025</v>
      </c>
      <c r="I12" s="7">
        <v>163718.66</v>
      </c>
      <c r="J12" s="7">
        <v>47814.17</v>
      </c>
      <c r="K12" s="7">
        <v>48725.33</v>
      </c>
      <c r="L12" s="7">
        <v>14559.71</v>
      </c>
      <c r="M12" s="80">
        <f t="shared" si="1"/>
        <v>697842.87</v>
      </c>
      <c r="N12" s="9">
        <f>397874.9+25150.1</f>
        <v>423025</v>
      </c>
      <c r="O12" s="67">
        <f>144698.8+18548.45</f>
        <v>163247.25</v>
      </c>
      <c r="P12" s="9">
        <f>46447.67+1366.5</f>
        <v>47814.17</v>
      </c>
      <c r="Q12" s="7">
        <f>43689.13+5036.2</f>
        <v>48725.329999999994</v>
      </c>
      <c r="R12" s="9">
        <f>13248.26+1311.45</f>
        <v>14559.710000000001</v>
      </c>
      <c r="S12" s="80">
        <f t="shared" si="2"/>
        <v>697371.46</v>
      </c>
    </row>
    <row r="13" spans="1:19" ht="16.149999999999999" customHeight="1" x14ac:dyDescent="0.2">
      <c r="A13" s="79">
        <v>10</v>
      </c>
      <c r="B13" s="7">
        <v>417858.4</v>
      </c>
      <c r="C13" s="7">
        <v>158566.29</v>
      </c>
      <c r="D13" s="7">
        <v>49099.62</v>
      </c>
      <c r="E13" s="7">
        <v>44657.52</v>
      </c>
      <c r="F13" s="7">
        <v>14300.09</v>
      </c>
      <c r="G13" s="80">
        <f t="shared" si="0"/>
        <v>684481.92</v>
      </c>
      <c r="H13" s="7">
        <v>38929.449999999997</v>
      </c>
      <c r="I13" s="7">
        <v>158566.24</v>
      </c>
      <c r="J13" s="7">
        <v>6486.07</v>
      </c>
      <c r="K13" s="7">
        <v>782.57</v>
      </c>
      <c r="L13" s="7">
        <v>4264.49</v>
      </c>
      <c r="M13" s="80">
        <f t="shared" si="1"/>
        <v>209028.82</v>
      </c>
      <c r="N13" s="8">
        <f>37427.1+1502.35</f>
        <v>38929.449999999997</v>
      </c>
      <c r="O13" s="8">
        <f>140066.09+18500.2</f>
        <v>158566.29</v>
      </c>
      <c r="P13" s="8">
        <f>6391.77+94.35</f>
        <v>6486.1200000000008</v>
      </c>
      <c r="Q13" s="7">
        <f>737.77+44.85</f>
        <v>782.62</v>
      </c>
      <c r="R13" s="8">
        <f>4175.99+88.5</f>
        <v>4264.49</v>
      </c>
      <c r="S13" s="80">
        <f t="shared" si="2"/>
        <v>209028.96999999997</v>
      </c>
    </row>
    <row r="14" spans="1:19" ht="16.149999999999999" customHeight="1" x14ac:dyDescent="0.2">
      <c r="A14" s="79">
        <v>11</v>
      </c>
      <c r="B14" s="7">
        <v>269373.74</v>
      </c>
      <c r="C14" s="7">
        <v>69399.25</v>
      </c>
      <c r="D14" s="7">
        <v>30855.86</v>
      </c>
      <c r="E14" s="7">
        <v>18153.810000000001</v>
      </c>
      <c r="F14" s="7">
        <v>8584.31</v>
      </c>
      <c r="G14" s="80">
        <f t="shared" si="0"/>
        <v>396366.97</v>
      </c>
      <c r="H14" s="7">
        <v>654704.1</v>
      </c>
      <c r="I14" s="7">
        <v>69399.25</v>
      </c>
      <c r="J14" s="7">
        <v>70939.92</v>
      </c>
      <c r="K14" s="7">
        <v>60814.8</v>
      </c>
      <c r="L14" s="7">
        <v>18619.91</v>
      </c>
      <c r="M14" s="80">
        <f t="shared" si="1"/>
        <v>874477.9800000001</v>
      </c>
      <c r="N14" s="8">
        <f>613400.66+34042.35</f>
        <v>647443.01</v>
      </c>
      <c r="O14" s="7">
        <f>61637.26+7762</f>
        <v>69399.260000000009</v>
      </c>
      <c r="P14" s="8">
        <f>68854.31+1718.35</f>
        <v>70572.66</v>
      </c>
      <c r="Q14" s="7">
        <f>54164.64+6650.2</f>
        <v>60814.84</v>
      </c>
      <c r="R14" s="8">
        <f>16994.46+1625.45</f>
        <v>18619.91</v>
      </c>
      <c r="S14" s="80">
        <f t="shared" si="2"/>
        <v>866849.68</v>
      </c>
    </row>
    <row r="15" spans="1:19" ht="16.149999999999999" customHeight="1" x14ac:dyDescent="0.2">
      <c r="A15" s="79">
        <v>12</v>
      </c>
      <c r="B15" s="7">
        <v>118370.14</v>
      </c>
      <c r="C15" s="7">
        <v>36318.379999999997</v>
      </c>
      <c r="D15" s="7">
        <v>14397.98</v>
      </c>
      <c r="E15" s="7">
        <v>8869.7999999999993</v>
      </c>
      <c r="F15" s="7">
        <v>3728.24</v>
      </c>
      <c r="G15" s="80">
        <f t="shared" si="0"/>
        <v>181684.53999999998</v>
      </c>
      <c r="H15" s="7">
        <v>122937.81</v>
      </c>
      <c r="I15" s="7">
        <v>32105.25</v>
      </c>
      <c r="J15" s="7">
        <v>14586.15</v>
      </c>
      <c r="K15" s="7">
        <v>10534.32</v>
      </c>
      <c r="L15" s="7">
        <v>3728.24</v>
      </c>
      <c r="M15" s="80">
        <f t="shared" si="1"/>
        <v>183891.77</v>
      </c>
      <c r="N15" s="7">
        <f>115440.59+5495.9</f>
        <v>120936.48999999999</v>
      </c>
      <c r="O15" s="8">
        <f>31913.18+4405.2</f>
        <v>36318.379999999997</v>
      </c>
      <c r="P15" s="7">
        <f>14090.78+307.2</f>
        <v>14397.980000000001</v>
      </c>
      <c r="Q15" s="7">
        <f>8982.07+1093.6</f>
        <v>10075.67</v>
      </c>
      <c r="R15" s="7">
        <f>3470.44+257.8</f>
        <v>3728.2400000000002</v>
      </c>
      <c r="S15" s="80">
        <f t="shared" si="2"/>
        <v>185456.76</v>
      </c>
    </row>
    <row r="16" spans="1:19" ht="16.149999999999999" customHeight="1" x14ac:dyDescent="0.2">
      <c r="A16" s="79">
        <v>13</v>
      </c>
      <c r="B16" s="7">
        <v>372772.73</v>
      </c>
      <c r="C16" s="7">
        <v>162849.67000000001</v>
      </c>
      <c r="D16" s="7">
        <v>46259.01</v>
      </c>
      <c r="E16" s="7">
        <v>47059.33</v>
      </c>
      <c r="F16" s="7">
        <v>12516.84</v>
      </c>
      <c r="G16" s="80">
        <f t="shared" si="0"/>
        <v>641457.57999999996</v>
      </c>
      <c r="H16" s="7">
        <v>374801.54</v>
      </c>
      <c r="I16" s="7">
        <v>164077.78</v>
      </c>
      <c r="J16" s="7">
        <v>49155.71</v>
      </c>
      <c r="K16" s="7">
        <v>45142.7</v>
      </c>
      <c r="L16" s="7">
        <v>12516.84</v>
      </c>
      <c r="M16" s="80">
        <f>SUM(N16:R16)</f>
        <v>644466.46999999986</v>
      </c>
      <c r="N16" s="7">
        <f>351080.69+23720.85</f>
        <v>374801.54</v>
      </c>
      <c r="O16" s="7">
        <f>144372.22+18477.45</f>
        <v>162849.67000000001</v>
      </c>
      <c r="P16" s="7">
        <f>47841.66+1314.05</f>
        <v>49155.710000000006</v>
      </c>
      <c r="Q16" s="7">
        <f>40265.56+4877.15</f>
        <v>45142.71</v>
      </c>
      <c r="R16" s="7">
        <f>11444.34+1072.5</f>
        <v>12516.84</v>
      </c>
      <c r="S16" s="80">
        <f>SUM(N16:R16)</f>
        <v>644466.46999999986</v>
      </c>
    </row>
    <row r="17" spans="1:20" ht="16.149999999999999" customHeight="1" x14ac:dyDescent="0.2">
      <c r="A17" s="79">
        <v>14</v>
      </c>
      <c r="B17" s="7">
        <v>411597.93</v>
      </c>
      <c r="C17" s="7">
        <v>161836.07999999999</v>
      </c>
      <c r="D17" s="7">
        <v>47099.26</v>
      </c>
      <c r="E17" s="7">
        <v>46715.02</v>
      </c>
      <c r="F17" s="7">
        <v>14449.05</v>
      </c>
      <c r="G17" s="80">
        <f t="shared" si="0"/>
        <v>681697.34000000008</v>
      </c>
      <c r="H17" s="7">
        <v>413573.18</v>
      </c>
      <c r="I17" s="7">
        <v>160589.89000000001</v>
      </c>
      <c r="J17" s="7">
        <v>47767.4</v>
      </c>
      <c r="K17" s="7">
        <v>48631.65</v>
      </c>
      <c r="L17" s="7">
        <v>14449.05</v>
      </c>
      <c r="M17" s="80">
        <f t="shared" si="1"/>
        <v>685011.17000000016</v>
      </c>
      <c r="N17" s="7">
        <f>388557.73+25015.5</f>
        <v>413573.23</v>
      </c>
      <c r="O17" s="8">
        <f>142500.04+18089.9</f>
        <v>160589.94</v>
      </c>
      <c r="P17" s="7">
        <f>46338.75+1428.7</f>
        <v>47767.45</v>
      </c>
      <c r="Q17" s="7">
        <f>43659.65+4972</f>
        <v>48631.65</v>
      </c>
      <c r="R17" s="7">
        <f>13128.2+1320.85</f>
        <v>14449.050000000001</v>
      </c>
      <c r="S17" s="80">
        <f t="shared" si="2"/>
        <v>685011.32</v>
      </c>
    </row>
    <row r="18" spans="1:20" ht="16.149999999999999" customHeight="1" x14ac:dyDescent="0.2">
      <c r="A18" s="79">
        <v>15</v>
      </c>
      <c r="B18" s="7">
        <v>421754.85</v>
      </c>
      <c r="C18" s="7">
        <v>165326.89000000001</v>
      </c>
      <c r="D18" s="7">
        <v>49649.74</v>
      </c>
      <c r="E18" s="7">
        <v>46336.959999999999</v>
      </c>
      <c r="F18" s="7">
        <v>14772.51</v>
      </c>
      <c r="G18" s="80">
        <f t="shared" si="0"/>
        <v>697840.95</v>
      </c>
      <c r="H18" s="7">
        <v>420584.31</v>
      </c>
      <c r="I18" s="7">
        <v>161910.29</v>
      </c>
      <c r="J18" s="7">
        <v>49649.74</v>
      </c>
      <c r="K18" s="7">
        <v>46336.959999999999</v>
      </c>
      <c r="L18" s="7">
        <v>14772.51</v>
      </c>
      <c r="M18" s="80">
        <f t="shared" si="1"/>
        <v>693253.80999999994</v>
      </c>
      <c r="N18" s="9">
        <f>400643.63+24697.4</f>
        <v>425341.03</v>
      </c>
      <c r="O18" s="67">
        <f>144878.28+18343.5</f>
        <v>163221.78</v>
      </c>
      <c r="P18" s="9">
        <f>48932.07+1384.75</f>
        <v>50316.82</v>
      </c>
      <c r="Q18" s="7">
        <f>42512.97+4387.3</f>
        <v>46900.270000000004</v>
      </c>
      <c r="R18" s="9">
        <f>13684.95+1265.45</f>
        <v>14950.400000000001</v>
      </c>
      <c r="S18" s="80">
        <f t="shared" si="2"/>
        <v>700730.3</v>
      </c>
    </row>
    <row r="19" spans="1:20" ht="16.149999999999999" customHeight="1" x14ac:dyDescent="0.2">
      <c r="A19" s="79">
        <v>16</v>
      </c>
      <c r="B19" s="7">
        <v>163619.62</v>
      </c>
      <c r="C19" s="30">
        <v>57223.32</v>
      </c>
      <c r="D19" s="30">
        <v>20092.48</v>
      </c>
      <c r="E19" s="30">
        <v>12440.33</v>
      </c>
      <c r="F19" s="30">
        <v>4677.32</v>
      </c>
      <c r="G19" s="80">
        <f t="shared" si="0"/>
        <v>258053.07</v>
      </c>
      <c r="H19" s="7">
        <v>164906.46</v>
      </c>
      <c r="I19" s="30">
        <v>57941.01</v>
      </c>
      <c r="J19" s="30">
        <v>20092.43</v>
      </c>
      <c r="K19" s="30">
        <v>12440.28</v>
      </c>
      <c r="L19" s="30">
        <v>4677.2700000000004</v>
      </c>
      <c r="M19" s="80">
        <f t="shared" si="1"/>
        <v>260057.44999999998</v>
      </c>
      <c r="N19" s="7">
        <f>156555.84+8324.75</f>
        <v>164880.59</v>
      </c>
      <c r="O19" s="8">
        <f>50818.12+6405.2</f>
        <v>57223.32</v>
      </c>
      <c r="P19" s="7">
        <f>19545.39+547.1</f>
        <v>20092.489999999998</v>
      </c>
      <c r="Q19" s="9">
        <f>10935.82+1504.5</f>
        <v>12440.32</v>
      </c>
      <c r="R19" s="7">
        <f>4268.02+409.3</f>
        <v>4677.3200000000006</v>
      </c>
      <c r="S19" s="80">
        <f t="shared" si="2"/>
        <v>259314.04</v>
      </c>
    </row>
    <row r="20" spans="1:20" ht="16.149999999999999" customHeight="1" x14ac:dyDescent="0.2">
      <c r="A20" s="79">
        <v>17</v>
      </c>
      <c r="B20" s="7">
        <v>360096.7</v>
      </c>
      <c r="C20" s="30">
        <v>121364.82</v>
      </c>
      <c r="D20" s="30">
        <v>41068.25</v>
      </c>
      <c r="E20" s="30">
        <v>33733.14</v>
      </c>
      <c r="F20" s="30">
        <v>11989.1</v>
      </c>
      <c r="G20" s="80">
        <f t="shared" si="0"/>
        <v>568252.01</v>
      </c>
      <c r="H20" s="7">
        <v>357929.5</v>
      </c>
      <c r="I20" s="30">
        <v>123962.11</v>
      </c>
      <c r="J20" s="30">
        <v>41068.199999999997</v>
      </c>
      <c r="K20" s="30">
        <v>33733.089999999997</v>
      </c>
      <c r="L20" s="30">
        <v>11333.63</v>
      </c>
      <c r="M20" s="80">
        <f t="shared" si="1"/>
        <v>568026.53</v>
      </c>
      <c r="N20" s="7">
        <f>338386.3+19543.2</f>
        <v>357929.5</v>
      </c>
      <c r="O20" s="8">
        <f>106767.76+14439.15</f>
        <v>121206.90999999999</v>
      </c>
      <c r="P20" s="7">
        <f>40045.64+1022.6</f>
        <v>41068.239999999998</v>
      </c>
      <c r="Q20" s="7">
        <f>29498.54+4234.6</f>
        <v>33733.14</v>
      </c>
      <c r="R20" s="7">
        <f>10425.87+907.8</f>
        <v>11333.67</v>
      </c>
      <c r="S20" s="80">
        <f t="shared" si="2"/>
        <v>565271.46</v>
      </c>
    </row>
    <row r="21" spans="1:20" ht="16.149999999999999" customHeight="1" x14ac:dyDescent="0.2">
      <c r="A21" s="79">
        <v>18</v>
      </c>
      <c r="B21" s="7">
        <v>255864.97</v>
      </c>
      <c r="C21" s="30">
        <v>67568.850000000006</v>
      </c>
      <c r="D21" s="30">
        <v>26953.119999999999</v>
      </c>
      <c r="E21" s="30">
        <v>16772.240000000002</v>
      </c>
      <c r="F21" s="30">
        <v>7754.4</v>
      </c>
      <c r="G21" s="80">
        <f t="shared" si="0"/>
        <v>374913.58</v>
      </c>
      <c r="H21" s="7">
        <v>242019.65</v>
      </c>
      <c r="I21" s="30">
        <v>67534.320000000007</v>
      </c>
      <c r="J21" s="30">
        <v>24974.09</v>
      </c>
      <c r="K21" s="30">
        <v>16772.240000000002</v>
      </c>
      <c r="L21" s="30">
        <v>8409.82</v>
      </c>
      <c r="M21" s="80">
        <f t="shared" si="1"/>
        <v>359710.12</v>
      </c>
      <c r="N21" s="7">
        <f>231479.23+10517.95</f>
        <v>241997.18000000002</v>
      </c>
      <c r="O21" s="30">
        <f>59240.12+8294.25</f>
        <v>67534.37</v>
      </c>
      <c r="P21" s="7">
        <f>24434.24+539.85</f>
        <v>24974.09</v>
      </c>
      <c r="Q21" s="7">
        <f>14799.64+1972.6</f>
        <v>16772.239999999998</v>
      </c>
      <c r="R21" s="7">
        <f>7856.32+553.5</f>
        <v>8409.82</v>
      </c>
      <c r="S21" s="80">
        <f>SUM(N21:R21)</f>
        <v>359687.70000000007</v>
      </c>
    </row>
    <row r="22" spans="1:20" ht="16.149999999999999" customHeight="1" x14ac:dyDescent="0.2">
      <c r="A22" s="79">
        <v>19</v>
      </c>
      <c r="B22" s="7">
        <v>106048.79</v>
      </c>
      <c r="C22" s="7">
        <v>34310.9</v>
      </c>
      <c r="D22" s="7">
        <v>11533.71</v>
      </c>
      <c r="E22" s="7">
        <v>9174.36</v>
      </c>
      <c r="F22" s="7">
        <v>2932.37</v>
      </c>
      <c r="G22" s="80">
        <f t="shared" si="0"/>
        <v>164000.13</v>
      </c>
      <c r="H22" s="7">
        <v>115090.36500000001</v>
      </c>
      <c r="I22" s="7">
        <v>34706.699999999997</v>
      </c>
      <c r="J22" s="7">
        <v>12589.19</v>
      </c>
      <c r="K22" s="7">
        <v>9174.36</v>
      </c>
      <c r="L22" s="7">
        <v>2932.37</v>
      </c>
      <c r="M22" s="80">
        <f t="shared" si="1"/>
        <v>174492.98499999999</v>
      </c>
      <c r="N22" s="7">
        <f>109548.6+5541.75</f>
        <v>115090.35</v>
      </c>
      <c r="O22" s="8">
        <f>32520.45+4545.7</f>
        <v>37066.15</v>
      </c>
      <c r="P22" s="7">
        <f>12302.19+287</f>
        <v>12589.19</v>
      </c>
      <c r="Q22" s="7">
        <f>8343.57+830.8</f>
        <v>9174.369999999999</v>
      </c>
      <c r="R22" s="7">
        <f>2713.52+218.85</f>
        <v>2932.37</v>
      </c>
      <c r="S22" s="80">
        <f t="shared" si="2"/>
        <v>176852.43</v>
      </c>
    </row>
    <row r="23" spans="1:20" ht="16.149999999999999" customHeight="1" x14ac:dyDescent="0.2">
      <c r="A23" s="79">
        <v>20</v>
      </c>
      <c r="B23" s="7">
        <v>409458.37</v>
      </c>
      <c r="C23" s="7">
        <v>162085.35999999999</v>
      </c>
      <c r="D23" s="7">
        <v>46616.71</v>
      </c>
      <c r="E23" s="7">
        <v>46189.86</v>
      </c>
      <c r="F23" s="7">
        <v>13780.86</v>
      </c>
      <c r="G23" s="80">
        <f t="shared" si="0"/>
        <v>678131.15999999992</v>
      </c>
      <c r="H23" s="7">
        <v>410896.03</v>
      </c>
      <c r="I23" s="7">
        <v>162111.66</v>
      </c>
      <c r="J23" s="7">
        <v>47540.25</v>
      </c>
      <c r="K23" s="7">
        <v>46189.86</v>
      </c>
      <c r="L23" s="7">
        <v>13780.86</v>
      </c>
      <c r="M23" s="80">
        <f t="shared" si="1"/>
        <v>680518.66</v>
      </c>
      <c r="N23" s="9">
        <f>386586.72+24309.3</f>
        <v>410896.01999999996</v>
      </c>
      <c r="O23" s="67">
        <f>143114.06+18997.6</f>
        <v>162111.66</v>
      </c>
      <c r="P23" s="9">
        <f>46244.11+1296.15</f>
        <v>47540.26</v>
      </c>
      <c r="Q23" s="9">
        <f>41449.26+4740.6</f>
        <v>46189.86</v>
      </c>
      <c r="R23" s="9">
        <f>12674.96+1105.9</f>
        <v>13780.859999999999</v>
      </c>
      <c r="S23" s="80">
        <f t="shared" si="2"/>
        <v>680518.65999999992</v>
      </c>
    </row>
    <row r="24" spans="1:20" ht="16.149999999999999" customHeight="1" x14ac:dyDescent="0.2">
      <c r="A24" s="79">
        <v>21</v>
      </c>
      <c r="B24" s="7">
        <v>413863.69</v>
      </c>
      <c r="C24" s="7">
        <v>167074.51999999999</v>
      </c>
      <c r="D24" s="7">
        <v>47983.45</v>
      </c>
      <c r="E24" s="7">
        <v>48337.94</v>
      </c>
      <c r="F24" s="7">
        <v>14253.28</v>
      </c>
      <c r="G24" s="80">
        <f t="shared" si="0"/>
        <v>691512.87999999989</v>
      </c>
      <c r="H24" s="7">
        <v>411537.58</v>
      </c>
      <c r="I24" s="7">
        <v>170525.69</v>
      </c>
      <c r="J24" s="7">
        <v>47983.4</v>
      </c>
      <c r="K24" s="7">
        <v>45495.8</v>
      </c>
      <c r="L24" s="7">
        <v>13504.22</v>
      </c>
      <c r="M24" s="80">
        <f t="shared" si="1"/>
        <v>689046.69000000006</v>
      </c>
      <c r="N24" s="7">
        <f>385814.95+25835.2</f>
        <v>411650.15</v>
      </c>
      <c r="O24" s="67">
        <f>150990+19108.75</f>
        <v>170098.75</v>
      </c>
      <c r="P24" s="9">
        <f>46630.79+1352.65</f>
        <v>47983.44</v>
      </c>
      <c r="Q24" s="7">
        <f>41101.85+4393.95</f>
        <v>45495.799999999996</v>
      </c>
      <c r="R24" s="9">
        <f>12359.57+1144.65</f>
        <v>13504.22</v>
      </c>
      <c r="S24" s="80">
        <f t="shared" si="2"/>
        <v>688732.3600000001</v>
      </c>
    </row>
    <row r="25" spans="1:20" ht="16.149999999999999" customHeight="1" x14ac:dyDescent="0.2">
      <c r="A25" s="79">
        <v>22</v>
      </c>
      <c r="B25" s="7">
        <v>419238.23</v>
      </c>
      <c r="C25" s="7">
        <v>166764.6</v>
      </c>
      <c r="D25" s="7">
        <v>48203.09</v>
      </c>
      <c r="E25" s="7">
        <v>48325.79</v>
      </c>
      <c r="F25" s="7">
        <v>14040.48</v>
      </c>
      <c r="G25" s="80">
        <f t="shared" si="0"/>
        <v>696572.19</v>
      </c>
      <c r="H25" s="7">
        <v>422364.03</v>
      </c>
      <c r="I25" s="7">
        <v>167807.6</v>
      </c>
      <c r="J25" s="7">
        <v>48203.09</v>
      </c>
      <c r="K25" s="7">
        <v>51167.93</v>
      </c>
      <c r="L25" s="7">
        <v>14789.53</v>
      </c>
      <c r="M25" s="80">
        <f t="shared" si="1"/>
        <v>704332.18</v>
      </c>
      <c r="N25" s="7">
        <f>396617.96+25737.96</f>
        <v>422355.92000000004</v>
      </c>
      <c r="O25" s="8">
        <f>147400.3+19364.3</f>
        <v>166764.59999999998</v>
      </c>
      <c r="P25" s="7">
        <f>46840.53+1362.55</f>
        <v>48203.08</v>
      </c>
      <c r="Q25" s="7">
        <f>45610.13+5557.8</f>
        <v>51167.93</v>
      </c>
      <c r="R25" s="7">
        <f>13502.33+1287.2</f>
        <v>14789.53</v>
      </c>
      <c r="S25" s="80">
        <f t="shared" si="2"/>
        <v>703281.06</v>
      </c>
    </row>
    <row r="26" spans="1:20" ht="16.149999999999999" customHeight="1" x14ac:dyDescent="0.2">
      <c r="A26" s="79">
        <v>23</v>
      </c>
      <c r="B26" s="7">
        <v>421994.95</v>
      </c>
      <c r="C26" s="7">
        <v>165350.9</v>
      </c>
      <c r="D26" s="7">
        <v>47296.61</v>
      </c>
      <c r="E26" s="7">
        <v>48482.55</v>
      </c>
      <c r="F26" s="7">
        <v>14172.41</v>
      </c>
      <c r="G26" s="80">
        <f t="shared" si="0"/>
        <v>697297.42</v>
      </c>
      <c r="H26" s="7">
        <v>431854.96</v>
      </c>
      <c r="I26" s="7">
        <v>165350.9</v>
      </c>
      <c r="J26" s="7">
        <v>47296.61</v>
      </c>
      <c r="K26" s="7">
        <v>48482.55</v>
      </c>
      <c r="L26" s="7">
        <v>14172.41</v>
      </c>
      <c r="M26" s="80">
        <f t="shared" si="1"/>
        <v>707157.43</v>
      </c>
      <c r="N26" s="7">
        <f>406065.25+25776.8</f>
        <v>431842.05</v>
      </c>
      <c r="O26" s="8">
        <f>145195+19168.1</f>
        <v>164363.1</v>
      </c>
      <c r="P26" s="7">
        <f>45905.26+1391.35</f>
        <v>47296.61</v>
      </c>
      <c r="Q26" s="7">
        <f>43450+5032.55</f>
        <v>48482.55</v>
      </c>
      <c r="R26" s="7">
        <f>12953.01+1219.4</f>
        <v>14172.41</v>
      </c>
      <c r="S26" s="80">
        <f t="shared" si="2"/>
        <v>706156.72000000009</v>
      </c>
    </row>
    <row r="27" spans="1:20" ht="16.149999999999999" customHeight="1" x14ac:dyDescent="0.2">
      <c r="A27" s="79">
        <v>24</v>
      </c>
      <c r="B27" s="7">
        <v>381200.09</v>
      </c>
      <c r="C27" s="7">
        <v>159382.15</v>
      </c>
      <c r="D27" s="7">
        <v>34977.46</v>
      </c>
      <c r="E27" s="7">
        <v>43948.78</v>
      </c>
      <c r="F27" s="7">
        <v>12265.73</v>
      </c>
      <c r="G27" s="80">
        <f t="shared" si="0"/>
        <v>631774.21</v>
      </c>
      <c r="H27" s="7">
        <v>384116.21</v>
      </c>
      <c r="I27" s="7">
        <v>159520.97</v>
      </c>
      <c r="J27" s="7">
        <v>34977.46</v>
      </c>
      <c r="K27" s="7">
        <v>43948.78</v>
      </c>
      <c r="L27" s="7">
        <v>12265.73</v>
      </c>
      <c r="M27" s="80">
        <f t="shared" si="1"/>
        <v>634829.15</v>
      </c>
      <c r="N27" s="7">
        <f>359992.43+24110.15</f>
        <v>384102.58</v>
      </c>
      <c r="O27" s="8">
        <f>139209.6+18495.45</f>
        <v>157705.05000000002</v>
      </c>
      <c r="P27" s="7">
        <f>33835.26+1142.2</f>
        <v>34977.46</v>
      </c>
      <c r="Q27" s="7">
        <f>39192.78+4756</f>
        <v>43948.78</v>
      </c>
      <c r="R27" s="7">
        <f>11175.43+1090.3</f>
        <v>12265.73</v>
      </c>
      <c r="S27" s="80">
        <f t="shared" si="2"/>
        <v>632999.6</v>
      </c>
      <c r="T27" s="3"/>
    </row>
    <row r="28" spans="1:20" ht="16.149999999999999" customHeight="1" x14ac:dyDescent="0.2">
      <c r="A28" s="79">
        <v>25</v>
      </c>
      <c r="B28" s="7">
        <v>256123.87</v>
      </c>
      <c r="C28" s="7">
        <v>71379.240000000005</v>
      </c>
      <c r="D28" s="7">
        <v>27110.59</v>
      </c>
      <c r="E28" s="7">
        <v>17604.169999999998</v>
      </c>
      <c r="F28" s="7">
        <v>7907.61</v>
      </c>
      <c r="G28" s="80">
        <f t="shared" si="0"/>
        <v>380125.48</v>
      </c>
      <c r="H28" s="7">
        <v>256969.95</v>
      </c>
      <c r="I28" s="7">
        <v>71644.98</v>
      </c>
      <c r="J28" s="7">
        <v>27506.400000000001</v>
      </c>
      <c r="K28" s="7">
        <v>17604.169999999998</v>
      </c>
      <c r="L28" s="7">
        <v>7907.61</v>
      </c>
      <c r="M28" s="80">
        <f t="shared" si="1"/>
        <v>381633.11</v>
      </c>
      <c r="N28" s="9">
        <f>245484.6+11485.4</f>
        <v>256970</v>
      </c>
      <c r="O28" s="67">
        <f>62555.05+8400.6</f>
        <v>70955.650000000009</v>
      </c>
      <c r="P28" s="9">
        <f>26929.95+576.45</f>
        <v>27506.400000000001</v>
      </c>
      <c r="Q28" s="7">
        <f>15247.57+2356.6</f>
        <v>17604.169999999998</v>
      </c>
      <c r="R28" s="9">
        <f>7365.11+542.5</f>
        <v>7907.61</v>
      </c>
      <c r="S28" s="80">
        <f t="shared" si="2"/>
        <v>380943.83</v>
      </c>
      <c r="T28" s="3"/>
    </row>
    <row r="29" spans="1:20" ht="16.149999999999999" customHeight="1" x14ac:dyDescent="0.2">
      <c r="A29" s="79">
        <v>26</v>
      </c>
      <c r="B29" s="7">
        <v>104766.39999999999</v>
      </c>
      <c r="C29" s="7">
        <v>30881.87</v>
      </c>
      <c r="D29" s="7">
        <v>11393.26</v>
      </c>
      <c r="E29" s="7">
        <v>9204.68</v>
      </c>
      <c r="F29" s="7">
        <v>3021.75</v>
      </c>
      <c r="G29" s="80">
        <f t="shared" si="0"/>
        <v>159267.96</v>
      </c>
      <c r="H29" s="7">
        <v>110605.75</v>
      </c>
      <c r="I29" s="7">
        <v>28429.99</v>
      </c>
      <c r="J29" s="7">
        <v>11610.27</v>
      </c>
      <c r="K29" s="7">
        <v>9204.68</v>
      </c>
      <c r="L29" s="7">
        <v>3021.75</v>
      </c>
      <c r="M29" s="80">
        <f t="shared" si="1"/>
        <v>162872.43999999997</v>
      </c>
      <c r="N29" s="9">
        <f>102086.46+4882</f>
        <v>106968.46</v>
      </c>
      <c r="O29" s="67">
        <f>28239.18+4376.45</f>
        <v>32615.63</v>
      </c>
      <c r="P29" s="9">
        <f>11354.86+255.45</f>
        <v>11610.310000000001</v>
      </c>
      <c r="Q29" s="7">
        <f>8020.98+1183.7</f>
        <v>9204.68</v>
      </c>
      <c r="R29" s="9">
        <f>2772.24+249.5</f>
        <v>3021.74</v>
      </c>
      <c r="S29" s="80">
        <f t="shared" si="2"/>
        <v>163420.81999999998</v>
      </c>
      <c r="T29" s="3"/>
    </row>
    <row r="30" spans="1:20" ht="16.149999999999999" customHeight="1" x14ac:dyDescent="0.2">
      <c r="A30" s="79">
        <v>27</v>
      </c>
      <c r="B30" s="7">
        <v>395300.92</v>
      </c>
      <c r="C30" s="7">
        <v>158604.12</v>
      </c>
      <c r="D30" s="7">
        <v>44113.71</v>
      </c>
      <c r="E30" s="7">
        <v>45475.62</v>
      </c>
      <c r="F30" s="7">
        <v>13376.55</v>
      </c>
      <c r="G30" s="80">
        <f t="shared" si="0"/>
        <v>656870.92000000004</v>
      </c>
      <c r="H30" s="7">
        <v>394623.98</v>
      </c>
      <c r="I30" s="7">
        <v>161898.29</v>
      </c>
      <c r="J30" s="7">
        <v>43651.05</v>
      </c>
      <c r="K30" s="7">
        <v>45926.28</v>
      </c>
      <c r="L30" s="7">
        <v>13376.55</v>
      </c>
      <c r="M30" s="80">
        <f t="shared" si="1"/>
        <v>659476.15000000014</v>
      </c>
      <c r="N30" s="67">
        <f>365679.43+24843.7</f>
        <v>390523.13</v>
      </c>
      <c r="O30" s="8">
        <f>142707.58+18719.3</f>
        <v>161426.87999999998</v>
      </c>
      <c r="P30" s="7">
        <f>42042.39+1241.4</f>
        <v>43283.79</v>
      </c>
      <c r="Q30" s="7">
        <f>40827.58+4648.05</f>
        <v>45475.630000000005</v>
      </c>
      <c r="R30" s="7">
        <f>12242.14+1134.4</f>
        <v>13376.539999999999</v>
      </c>
      <c r="S30" s="80">
        <f t="shared" si="2"/>
        <v>654085.97000000009</v>
      </c>
      <c r="T30" s="3"/>
    </row>
    <row r="31" spans="1:20" ht="16.149999999999999" customHeight="1" x14ac:dyDescent="0.2">
      <c r="A31" s="79">
        <v>28</v>
      </c>
      <c r="B31" s="7">
        <v>407478.48</v>
      </c>
      <c r="C31" s="7">
        <v>163410.12</v>
      </c>
      <c r="D31" s="7">
        <v>47037.14</v>
      </c>
      <c r="E31" s="7">
        <v>47177.68</v>
      </c>
      <c r="F31" s="7">
        <v>13797.89</v>
      </c>
      <c r="G31" s="80">
        <f t="shared" si="0"/>
        <v>678901.31</v>
      </c>
      <c r="H31" s="7">
        <v>407777.88</v>
      </c>
      <c r="I31" s="7">
        <v>164216.79999999999</v>
      </c>
      <c r="J31" s="7">
        <v>47238.13</v>
      </c>
      <c r="K31" s="7">
        <v>47177.68</v>
      </c>
      <c r="L31" s="7">
        <v>12587.52</v>
      </c>
      <c r="M31" s="80">
        <f t="shared" si="1"/>
        <v>678998.01</v>
      </c>
      <c r="N31" s="7">
        <f>380923.89+25858.95</f>
        <v>406782.84</v>
      </c>
      <c r="O31" s="7">
        <f>143944.94+19515.15</f>
        <v>163460.09</v>
      </c>
      <c r="P31" s="7">
        <f>45673.66+1376.25</f>
        <v>47049.91</v>
      </c>
      <c r="Q31" s="7">
        <f>41981.38+5196.3</f>
        <v>47177.68</v>
      </c>
      <c r="R31" s="7">
        <f>12532.34+1265.55</f>
        <v>13797.89</v>
      </c>
      <c r="S31" s="80">
        <f t="shared" si="2"/>
        <v>678268.41000000015</v>
      </c>
    </row>
    <row r="32" spans="1:20" ht="16.149999999999999" customHeight="1" x14ac:dyDescent="0.2">
      <c r="A32" s="79">
        <v>29</v>
      </c>
      <c r="B32" s="7">
        <v>405719.03</v>
      </c>
      <c r="C32" s="7">
        <v>163377.17000000001</v>
      </c>
      <c r="D32" s="7">
        <v>46571.95</v>
      </c>
      <c r="E32" s="7">
        <v>47867.72</v>
      </c>
      <c r="F32" s="7">
        <v>13904.29</v>
      </c>
      <c r="G32" s="80">
        <f t="shared" si="0"/>
        <v>677440.16</v>
      </c>
      <c r="H32" s="7">
        <v>410389.38</v>
      </c>
      <c r="I32" s="7">
        <v>161244.4</v>
      </c>
      <c r="J32" s="7">
        <v>47390.86</v>
      </c>
      <c r="K32" s="7">
        <v>47867.72</v>
      </c>
      <c r="L32" s="7">
        <v>13904.29</v>
      </c>
      <c r="M32" s="80">
        <f t="shared" si="1"/>
        <v>680796.65</v>
      </c>
      <c r="N32" s="9">
        <f>384947.87+25437.25</f>
        <v>410385.12</v>
      </c>
      <c r="O32" s="9">
        <f>142763.8+18480.65</f>
        <v>161244.44999999998</v>
      </c>
      <c r="P32" s="9">
        <f>45895.26+1495.6</f>
        <v>47390.86</v>
      </c>
      <c r="Q32" s="9">
        <f>43010.42+4857.3</f>
        <v>47867.72</v>
      </c>
      <c r="R32" s="9">
        <f>12745.59+1158.7</f>
        <v>13904.29</v>
      </c>
      <c r="S32" s="80">
        <f t="shared" si="2"/>
        <v>680792.44</v>
      </c>
    </row>
    <row r="33" spans="1:20" ht="16.149999999999999" customHeight="1" x14ac:dyDescent="0.2">
      <c r="A33" s="79">
        <v>30</v>
      </c>
      <c r="B33" s="7">
        <v>412614.39</v>
      </c>
      <c r="C33" s="7">
        <v>163777.81</v>
      </c>
      <c r="D33" s="7">
        <v>47876.43</v>
      </c>
      <c r="E33" s="7">
        <v>46713.3</v>
      </c>
      <c r="F33" s="7">
        <v>13883.01</v>
      </c>
      <c r="G33" s="80">
        <f t="shared" si="0"/>
        <v>684864.94000000006</v>
      </c>
      <c r="H33" s="7">
        <v>416087.85</v>
      </c>
      <c r="I33" s="7">
        <v>166427.66</v>
      </c>
      <c r="J33" s="7">
        <v>47876.38</v>
      </c>
      <c r="K33" s="7">
        <v>45459.46</v>
      </c>
      <c r="L33" s="7">
        <v>13883.01</v>
      </c>
      <c r="M33" s="80">
        <f t="shared" si="1"/>
        <v>689734.36</v>
      </c>
      <c r="N33" s="9">
        <f>388793.36+26040.7</f>
        <v>414834.06</v>
      </c>
      <c r="O33" s="9">
        <f>146765.11+19662.6</f>
        <v>166427.71</v>
      </c>
      <c r="P33" s="9">
        <f>46544.78+1331.65</f>
        <v>47876.43</v>
      </c>
      <c r="Q33" s="9">
        <f>42048.9+4664.4</f>
        <v>46713.3</v>
      </c>
      <c r="R33" s="9">
        <f>12652.46+1230.55</f>
        <v>13883.009999999998</v>
      </c>
      <c r="S33" s="80">
        <f t="shared" si="2"/>
        <v>689734.51000000013</v>
      </c>
    </row>
    <row r="34" spans="1:20" ht="16.149999999999999" customHeight="1" x14ac:dyDescent="0.2">
      <c r="A34" s="79">
        <v>31</v>
      </c>
      <c r="B34" s="9"/>
      <c r="C34" s="9"/>
      <c r="D34" s="7"/>
      <c r="E34" s="7"/>
      <c r="F34" s="7"/>
      <c r="G34" s="80">
        <f t="shared" si="0"/>
        <v>0</v>
      </c>
      <c r="H34" s="7"/>
      <c r="I34" s="7"/>
      <c r="J34" s="7"/>
      <c r="K34" s="7"/>
      <c r="L34" s="7"/>
      <c r="M34" s="80">
        <f t="shared" si="1"/>
        <v>0</v>
      </c>
      <c r="N34" s="9"/>
      <c r="O34" s="9"/>
      <c r="P34" s="9"/>
      <c r="Q34" s="9"/>
      <c r="R34" s="9"/>
      <c r="S34" s="80">
        <f t="shared" si="2"/>
        <v>0</v>
      </c>
    </row>
    <row r="35" spans="1:20" ht="16.149999999999999" customHeight="1" thickBot="1" x14ac:dyDescent="0.25">
      <c r="A35" s="39" t="s">
        <v>10</v>
      </c>
      <c r="B35" s="68">
        <f>SUM(B4:B34)</f>
        <v>10278547.030000001</v>
      </c>
      <c r="C35" s="69">
        <f>SUM(C4:C34)</f>
        <v>3847027.2000000007</v>
      </c>
      <c r="D35" s="70">
        <f>SUM(D4:D34)</f>
        <v>1170080.2099999995</v>
      </c>
      <c r="E35" s="70">
        <f>SUM(E4:E34)</f>
        <v>1099521.5800000003</v>
      </c>
      <c r="F35" s="70">
        <f>SUM(F4:F34)</f>
        <v>343576.7699999999</v>
      </c>
      <c r="G35" s="71">
        <f t="shared" si="0"/>
        <v>16738752.790000001</v>
      </c>
      <c r="H35" s="68">
        <f t="shared" ref="H35:S35" si="3">SUM(H4:H34)</f>
        <v>10320925.905000001</v>
      </c>
      <c r="I35" s="70">
        <f t="shared" si="3"/>
        <v>3859744.4800000004</v>
      </c>
      <c r="J35" s="70">
        <f t="shared" si="3"/>
        <v>1174141.92</v>
      </c>
      <c r="K35" s="70">
        <f t="shared" si="3"/>
        <v>1095704.7800000003</v>
      </c>
      <c r="L35" s="70">
        <f t="shared" si="3"/>
        <v>341196.66999999993</v>
      </c>
      <c r="M35" s="72">
        <f t="shared" si="3"/>
        <v>16790485.654999997</v>
      </c>
      <c r="N35" s="68">
        <f t="shared" si="3"/>
        <v>10306124.460000001</v>
      </c>
      <c r="O35" s="70">
        <f t="shared" si="3"/>
        <v>3857362.0399999996</v>
      </c>
      <c r="P35" s="70">
        <f t="shared" si="3"/>
        <v>1173613.92</v>
      </c>
      <c r="Q35" s="70">
        <f t="shared" si="3"/>
        <v>1101288.4200000004</v>
      </c>
      <c r="R35" s="70">
        <f t="shared" si="3"/>
        <v>343754.60999999993</v>
      </c>
      <c r="S35" s="73">
        <f t="shared" si="3"/>
        <v>16782143.449999999</v>
      </c>
      <c r="T35" s="17"/>
    </row>
    <row r="37" spans="1:20" x14ac:dyDescent="0.2">
      <c r="H37" s="4" t="s">
        <v>11</v>
      </c>
    </row>
    <row r="38" spans="1:20" x14ac:dyDescent="0.2">
      <c r="N38" s="14" t="s">
        <v>11</v>
      </c>
      <c r="O38" s="15" t="s">
        <v>11</v>
      </c>
      <c r="P38" s="14" t="s">
        <v>11</v>
      </c>
      <c r="Q38" s="16" t="s">
        <v>11</v>
      </c>
      <c r="R38" s="16" t="s">
        <v>11</v>
      </c>
    </row>
    <row r="39" spans="1:20" x14ac:dyDescent="0.2">
      <c r="N39" s="14"/>
    </row>
  </sheetData>
  <mergeCells count="5">
    <mergeCell ref="B1:S1"/>
    <mergeCell ref="A2:A3"/>
    <mergeCell ref="B2:G2"/>
    <mergeCell ref="H2:M2"/>
    <mergeCell ref="N2:S2"/>
  </mergeCells>
  <printOptions horizontalCentered="1" verticalCentered="1"/>
  <pageMargins left="0" right="0" top="0" bottom="0" header="0" footer="0"/>
  <pageSetup paperSize="9" scale="6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39"/>
  <sheetViews>
    <sheetView zoomScale="120" zoomScaleNormal="120" workbookViewId="0">
      <pane xSplit="1" ySplit="3" topLeftCell="G16" activePane="bottomRight" state="frozen"/>
      <selection pane="topRight" activeCell="B1" sqref="B1"/>
      <selection pane="bottomLeft" activeCell="A2" sqref="A2"/>
      <selection pane="bottomRight" activeCell="H33" sqref="H33:L33"/>
    </sheetView>
  </sheetViews>
  <sheetFormatPr defaultColWidth="9.140625" defaultRowHeight="12.75" x14ac:dyDescent="0.2"/>
  <cols>
    <col min="1" max="1" width="6.85546875" style="1" customWidth="1"/>
    <col min="2" max="6" width="11.7109375" style="1" customWidth="1"/>
    <col min="7" max="7" width="12.7109375" style="2" customWidth="1"/>
    <col min="8" max="8" width="11.7109375" style="4" customWidth="1"/>
    <col min="9" max="12" width="11.7109375" style="1" customWidth="1"/>
    <col min="13" max="13" width="12.7109375" style="2" customWidth="1"/>
    <col min="14" max="18" width="11.7109375" style="13" customWidth="1"/>
    <col min="19" max="19" width="12.7109375" style="1" customWidth="1"/>
    <col min="20" max="20" width="10.7109375" style="1" customWidth="1"/>
    <col min="21" max="16384" width="9.140625" style="1"/>
  </cols>
  <sheetData>
    <row r="1" spans="1:19" ht="24" customHeight="1" x14ac:dyDescent="0.2">
      <c r="A1" s="74"/>
      <c r="B1" s="125" t="s">
        <v>16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</row>
    <row r="2" spans="1:19" ht="18.75" x14ac:dyDescent="0.25">
      <c r="A2" s="126" t="s">
        <v>0</v>
      </c>
      <c r="B2" s="127" t="s">
        <v>1</v>
      </c>
      <c r="C2" s="128"/>
      <c r="D2" s="128"/>
      <c r="E2" s="128"/>
      <c r="F2" s="128"/>
      <c r="G2" s="128"/>
      <c r="H2" s="127" t="s">
        <v>2</v>
      </c>
      <c r="I2" s="128"/>
      <c r="J2" s="128"/>
      <c r="K2" s="128"/>
      <c r="L2" s="128"/>
      <c r="M2" s="128"/>
      <c r="N2" s="127" t="s">
        <v>3</v>
      </c>
      <c r="O2" s="128"/>
      <c r="P2" s="128"/>
      <c r="Q2" s="128"/>
      <c r="R2" s="128"/>
      <c r="S2" s="128"/>
    </row>
    <row r="3" spans="1:19" ht="16.149999999999999" customHeight="1" x14ac:dyDescent="0.2">
      <c r="A3" s="126"/>
      <c r="B3" s="75" t="s">
        <v>4</v>
      </c>
      <c r="C3" s="75" t="s">
        <v>5</v>
      </c>
      <c r="D3" s="75" t="s">
        <v>6</v>
      </c>
      <c r="E3" s="75" t="s">
        <v>7</v>
      </c>
      <c r="F3" s="75" t="s">
        <v>8</v>
      </c>
      <c r="G3" s="76" t="s">
        <v>9</v>
      </c>
      <c r="H3" s="77" t="s">
        <v>4</v>
      </c>
      <c r="I3" s="75" t="s">
        <v>5</v>
      </c>
      <c r="J3" s="75" t="s">
        <v>6</v>
      </c>
      <c r="K3" s="75" t="s">
        <v>7</v>
      </c>
      <c r="L3" s="75" t="s">
        <v>8</v>
      </c>
      <c r="M3" s="78" t="s">
        <v>9</v>
      </c>
      <c r="N3" s="75" t="s">
        <v>4</v>
      </c>
      <c r="O3" s="75" t="s">
        <v>5</v>
      </c>
      <c r="P3" s="75" t="s">
        <v>6</v>
      </c>
      <c r="Q3" s="75" t="s">
        <v>7</v>
      </c>
      <c r="R3" s="75" t="s">
        <v>8</v>
      </c>
      <c r="S3" s="78" t="s">
        <v>9</v>
      </c>
    </row>
    <row r="4" spans="1:19" ht="16.149999999999999" customHeight="1" x14ac:dyDescent="0.2">
      <c r="A4" s="79">
        <v>1</v>
      </c>
      <c r="B4" s="7">
        <v>120299.82</v>
      </c>
      <c r="C4" s="7">
        <v>36368.879999999997</v>
      </c>
      <c r="D4" s="7">
        <v>13820.89</v>
      </c>
      <c r="E4" s="7">
        <v>8072.06</v>
      </c>
      <c r="F4" s="7">
        <v>3392.02</v>
      </c>
      <c r="G4" s="80">
        <f>SUM(N4:R4)</f>
        <v>183192.77</v>
      </c>
      <c r="H4" s="7">
        <v>121593.59</v>
      </c>
      <c r="I4" s="7">
        <v>37058.199999999997</v>
      </c>
      <c r="J4" s="7">
        <v>13766.18</v>
      </c>
      <c r="K4" s="7">
        <v>8072.06</v>
      </c>
      <c r="L4" s="7">
        <v>3392.02</v>
      </c>
      <c r="M4" s="80">
        <f>SUM(H4:L4)</f>
        <v>183882.04999999996</v>
      </c>
      <c r="N4" s="7">
        <f>116445.89+5147.75</f>
        <v>121593.64</v>
      </c>
      <c r="O4" s="7">
        <f>32115.28+4253.6</f>
        <v>36368.879999999997</v>
      </c>
      <c r="P4" s="7">
        <f>13480.83+285.35</f>
        <v>13766.18</v>
      </c>
      <c r="Q4" s="7">
        <f>7309.91+762.15</f>
        <v>8072.0599999999995</v>
      </c>
      <c r="R4" s="7">
        <f>3176.46+215.55</f>
        <v>3392.01</v>
      </c>
      <c r="S4" s="80">
        <f>SUM(N4:R4)</f>
        <v>183192.77</v>
      </c>
    </row>
    <row r="5" spans="1:19" ht="16.149999999999999" customHeight="1" x14ac:dyDescent="0.2">
      <c r="A5" s="79">
        <v>2</v>
      </c>
      <c r="B5" s="7">
        <v>411802.41</v>
      </c>
      <c r="C5" s="7">
        <v>145844.31</v>
      </c>
      <c r="D5" s="7">
        <v>46451.82</v>
      </c>
      <c r="E5" s="7">
        <v>46712.25</v>
      </c>
      <c r="F5" s="7">
        <v>13670.21</v>
      </c>
      <c r="G5" s="80">
        <f t="shared" ref="G5:G35" si="0">SUM(B5:F5)</f>
        <v>664480.99999999988</v>
      </c>
      <c r="H5" s="7">
        <v>411913.11</v>
      </c>
      <c r="I5" s="7">
        <v>152514.57</v>
      </c>
      <c r="J5" s="7">
        <v>46312.19</v>
      </c>
      <c r="K5" s="7">
        <v>47342.04</v>
      </c>
      <c r="L5" s="7">
        <v>13670.21</v>
      </c>
      <c r="M5" s="80">
        <f t="shared" ref="M5:M34" si="1">SUM(H5:L5)</f>
        <v>671752.11999999988</v>
      </c>
      <c r="N5" s="9">
        <f>387948.61+23943.9</f>
        <v>411892.51</v>
      </c>
      <c r="O5" s="9">
        <f>134767.03+17747.55</f>
        <v>152514.57999999999</v>
      </c>
      <c r="P5" s="9">
        <f>45175.64+1136.55</f>
        <v>46312.19</v>
      </c>
      <c r="Q5" s="9">
        <f>42615.34+4726.7</f>
        <v>47342.039999999994</v>
      </c>
      <c r="R5" s="9">
        <f>12525.51+1144.7</f>
        <v>13670.210000000001</v>
      </c>
      <c r="S5" s="80">
        <f>SUM(N5:R5)</f>
        <v>671731.53</v>
      </c>
    </row>
    <row r="6" spans="1:19" ht="16.149999999999999" customHeight="1" x14ac:dyDescent="0.2">
      <c r="A6" s="79">
        <v>3</v>
      </c>
      <c r="B6" s="7">
        <v>428439.89</v>
      </c>
      <c r="C6" s="30">
        <v>157784.67000000001</v>
      </c>
      <c r="D6" s="30">
        <v>47822.63</v>
      </c>
      <c r="E6" s="30">
        <v>49132.32</v>
      </c>
      <c r="F6" s="30">
        <v>14853.37</v>
      </c>
      <c r="G6" s="80">
        <f t="shared" si="0"/>
        <v>698032.88</v>
      </c>
      <c r="H6" s="7">
        <v>429774.26</v>
      </c>
      <c r="I6" s="7">
        <v>158271.85999999999</v>
      </c>
      <c r="J6" s="7">
        <v>45405.86</v>
      </c>
      <c r="K6" s="7">
        <v>49892.66</v>
      </c>
      <c r="L6" s="7">
        <v>14853.37</v>
      </c>
      <c r="M6" s="80">
        <f t="shared" si="1"/>
        <v>698198.01</v>
      </c>
      <c r="N6" s="9">
        <f>404426.17+25368.7</f>
        <v>429794.87</v>
      </c>
      <c r="O6" s="9">
        <f>139114.86+18462.95</f>
        <v>157577.81</v>
      </c>
      <c r="P6" s="9">
        <f>44273.66+1132.2</f>
        <v>45405.86</v>
      </c>
      <c r="Q6" s="9">
        <f>45050.91+4841.75</f>
        <v>49892.66</v>
      </c>
      <c r="R6" s="9">
        <f>13674.57+1178.8</f>
        <v>14853.369999999999</v>
      </c>
      <c r="S6" s="80">
        <f t="shared" ref="S6:S34" si="2">SUM(N6:R6)</f>
        <v>697524.57</v>
      </c>
    </row>
    <row r="7" spans="1:19" ht="16.149999999999999" customHeight="1" x14ac:dyDescent="0.2">
      <c r="A7" s="79">
        <v>4</v>
      </c>
      <c r="B7" s="7">
        <v>430930.07</v>
      </c>
      <c r="C7" s="30">
        <v>156964.94</v>
      </c>
      <c r="D7" s="30">
        <v>48916.66</v>
      </c>
      <c r="E7" s="30">
        <v>49522.77</v>
      </c>
      <c r="F7" s="30">
        <v>15065.88</v>
      </c>
      <c r="G7" s="80">
        <f t="shared" si="0"/>
        <v>701400.32000000007</v>
      </c>
      <c r="H7" s="7">
        <v>426922.04</v>
      </c>
      <c r="I7" s="7">
        <v>156454.85</v>
      </c>
      <c r="J7" s="7">
        <v>51059.66</v>
      </c>
      <c r="K7" s="7">
        <v>49530.76</v>
      </c>
      <c r="L7" s="7">
        <v>15031.4</v>
      </c>
      <c r="M7" s="80">
        <f t="shared" si="1"/>
        <v>698998.71000000008</v>
      </c>
      <c r="N7" s="9">
        <f>400513.55+25839.1</f>
        <v>426352.64999999997</v>
      </c>
      <c r="O7" s="9">
        <f>137754.63+17583.95</f>
        <v>155338.58000000002</v>
      </c>
      <c r="P7" s="9">
        <f>49647.66+1412</f>
        <v>51059.66</v>
      </c>
      <c r="Q7" s="9">
        <f>44495.51+5035.25</f>
        <v>49530.76</v>
      </c>
      <c r="R7" s="9">
        <f>13902.8+1128.65</f>
        <v>15031.449999999999</v>
      </c>
      <c r="S7" s="80">
        <f t="shared" si="2"/>
        <v>697313.1</v>
      </c>
    </row>
    <row r="8" spans="1:19" ht="16.149999999999999" customHeight="1" x14ac:dyDescent="0.2">
      <c r="A8" s="79">
        <v>5</v>
      </c>
      <c r="B8" s="7">
        <v>429649.41</v>
      </c>
      <c r="C8" s="30">
        <v>158775.01999999999</v>
      </c>
      <c r="D8" s="30">
        <v>49075.13</v>
      </c>
      <c r="E8" s="30">
        <v>48321.87</v>
      </c>
      <c r="F8" s="30">
        <v>14988.13</v>
      </c>
      <c r="G8" s="80">
        <f t="shared" si="0"/>
        <v>700809.55999999994</v>
      </c>
      <c r="H8" s="7">
        <v>432501.63</v>
      </c>
      <c r="I8" s="7">
        <v>142486.67000000001</v>
      </c>
      <c r="J8" s="7">
        <v>48237.9</v>
      </c>
      <c r="K8" s="7">
        <v>48321.87</v>
      </c>
      <c r="L8" s="7">
        <v>14949.87</v>
      </c>
      <c r="M8" s="80">
        <f t="shared" si="1"/>
        <v>686497.94000000006</v>
      </c>
      <c r="N8" s="9">
        <f>407541.33+24960.35</f>
        <v>432501.68</v>
      </c>
      <c r="O8" s="9">
        <f>141180.09+19225.55</f>
        <v>160405.63999999998</v>
      </c>
      <c r="P8" s="9">
        <f>47033.1+1204.85</f>
        <v>48237.95</v>
      </c>
      <c r="Q8" s="9">
        <f>43402.87+4919</f>
        <v>48321.87</v>
      </c>
      <c r="R8" s="9">
        <f>13754.67+1195.2</f>
        <v>14949.87</v>
      </c>
      <c r="S8" s="80">
        <f t="shared" si="2"/>
        <v>704417.00999999989</v>
      </c>
    </row>
    <row r="9" spans="1:19" ht="16.149999999999999" customHeight="1" x14ac:dyDescent="0.2">
      <c r="A9" s="79">
        <v>6</v>
      </c>
      <c r="B9" s="7">
        <v>416592.06</v>
      </c>
      <c r="C9" s="7">
        <v>152394.26</v>
      </c>
      <c r="D9" s="7">
        <v>49247.76</v>
      </c>
      <c r="E9" s="7">
        <v>43349.120000000003</v>
      </c>
      <c r="F9" s="7">
        <v>14637.94</v>
      </c>
      <c r="G9" s="80">
        <f t="shared" si="0"/>
        <v>676221.14</v>
      </c>
      <c r="H9" s="7">
        <v>417635.49</v>
      </c>
      <c r="I9" s="7">
        <v>135594.95000000001</v>
      </c>
      <c r="J9" s="7">
        <v>49841.49</v>
      </c>
      <c r="K9" s="7">
        <v>43349.120000000003</v>
      </c>
      <c r="L9" s="7">
        <v>14596.1</v>
      </c>
      <c r="M9" s="80">
        <f t="shared" si="1"/>
        <v>661017.14999999991</v>
      </c>
      <c r="N9" s="9">
        <f>393252.4+23691.95</f>
        <v>416944.35000000003</v>
      </c>
      <c r="O9" s="9">
        <f>134477.75+17537.25</f>
        <v>152015</v>
      </c>
      <c r="P9" s="9">
        <f>48694.39+1147.15</f>
        <v>49841.54</v>
      </c>
      <c r="Q9" s="9">
        <f>38924.52+4424.6</f>
        <v>43349.119999999995</v>
      </c>
      <c r="R9" s="9">
        <f>13576.45+1019.65</f>
        <v>14596.1</v>
      </c>
      <c r="S9" s="80">
        <f t="shared" si="2"/>
        <v>676746.1100000001</v>
      </c>
    </row>
    <row r="10" spans="1:19" ht="16.149999999999999" customHeight="1" x14ac:dyDescent="0.2">
      <c r="A10" s="79">
        <v>7</v>
      </c>
      <c r="B10" s="7">
        <v>286790.12</v>
      </c>
      <c r="C10" s="7">
        <v>74170.490000000005</v>
      </c>
      <c r="D10" s="7">
        <v>32573.45</v>
      </c>
      <c r="E10" s="7">
        <v>18720</v>
      </c>
      <c r="F10" s="7">
        <v>9158.8700000000008</v>
      </c>
      <c r="G10" s="80">
        <f t="shared" si="0"/>
        <v>421412.93</v>
      </c>
      <c r="H10" s="7">
        <v>288778.48</v>
      </c>
      <c r="I10" s="7">
        <v>72138.81</v>
      </c>
      <c r="J10" s="7">
        <v>32475.37</v>
      </c>
      <c r="K10" s="7">
        <v>18720</v>
      </c>
      <c r="L10" s="7">
        <v>9158.82</v>
      </c>
      <c r="M10" s="80">
        <f t="shared" si="1"/>
        <v>421271.48</v>
      </c>
      <c r="N10" s="8">
        <f>276910.17+11868.3</f>
        <v>288778.46999999997</v>
      </c>
      <c r="O10" s="8">
        <f>64064.51+8074.35</f>
        <v>72138.86</v>
      </c>
      <c r="P10" s="7">
        <f>31897.97+577.45</f>
        <v>32475.420000000002</v>
      </c>
      <c r="Q10" s="8">
        <f>16552.15+2167.85</f>
        <v>18720</v>
      </c>
      <c r="R10" s="7">
        <f>8670.82+488.05</f>
        <v>9158.869999999999</v>
      </c>
      <c r="S10" s="80">
        <f t="shared" si="2"/>
        <v>421271.61999999994</v>
      </c>
    </row>
    <row r="11" spans="1:19" ht="16.149999999999999" customHeight="1" x14ac:dyDescent="0.2">
      <c r="A11" s="79">
        <v>8</v>
      </c>
      <c r="B11" s="7">
        <v>135733.44</v>
      </c>
      <c r="C11" s="7">
        <v>42335.05</v>
      </c>
      <c r="D11" s="7">
        <v>15853.43</v>
      </c>
      <c r="E11" s="7">
        <v>9518.6200000000008</v>
      </c>
      <c r="F11" s="7">
        <v>3787.82</v>
      </c>
      <c r="G11" s="80">
        <f t="shared" si="0"/>
        <v>207228.36</v>
      </c>
      <c r="H11" s="7">
        <v>137691.19</v>
      </c>
      <c r="I11" s="7">
        <v>45690.67</v>
      </c>
      <c r="J11" s="7">
        <v>15422.76</v>
      </c>
      <c r="K11" s="7">
        <v>9518.6200000000008</v>
      </c>
      <c r="L11" s="7">
        <v>3787.77</v>
      </c>
      <c r="M11" s="80">
        <f t="shared" si="1"/>
        <v>212111.00999999998</v>
      </c>
      <c r="N11" s="7">
        <f>131818.04+5873.15</f>
        <v>137691.19</v>
      </c>
      <c r="O11" s="8">
        <f>39708.14+5057.5</f>
        <v>44765.64</v>
      </c>
      <c r="P11" s="7">
        <f>15137.17+285.65</f>
        <v>15422.82</v>
      </c>
      <c r="Q11" s="7">
        <f>8427.47+1091.15</f>
        <v>9518.619999999999</v>
      </c>
      <c r="R11" s="7">
        <f>3556.97+230.85</f>
        <v>3787.8199999999997</v>
      </c>
      <c r="S11" s="80">
        <f t="shared" si="2"/>
        <v>211186.09000000003</v>
      </c>
    </row>
    <row r="12" spans="1:19" ht="16.149999999999999" customHeight="1" x14ac:dyDescent="0.2">
      <c r="A12" s="79">
        <v>9</v>
      </c>
      <c r="B12" s="7">
        <v>410431.27</v>
      </c>
      <c r="C12" s="7">
        <v>149003.34</v>
      </c>
      <c r="D12" s="7">
        <v>47119.48</v>
      </c>
      <c r="E12" s="7">
        <v>45754.89</v>
      </c>
      <c r="F12" s="7">
        <v>14255.86</v>
      </c>
      <c r="G12" s="80">
        <f t="shared" si="0"/>
        <v>666564.84</v>
      </c>
      <c r="H12" s="7">
        <v>410099.44</v>
      </c>
      <c r="I12" s="7">
        <v>149495.89000000001</v>
      </c>
      <c r="J12" s="7">
        <v>46465.4</v>
      </c>
      <c r="K12" s="7">
        <v>45754.89</v>
      </c>
      <c r="L12" s="7">
        <v>13070.5</v>
      </c>
      <c r="M12" s="80">
        <f t="shared" si="1"/>
        <v>664886.12000000011</v>
      </c>
      <c r="N12" s="9">
        <f>382453.72+23974</f>
        <v>406427.72</v>
      </c>
      <c r="O12" s="67">
        <f>131939.39+17556.5</f>
        <v>149495.89000000001</v>
      </c>
      <c r="P12" s="9">
        <f>45194.35+1271.05</f>
        <v>46465.4</v>
      </c>
      <c r="Q12" s="7">
        <f>41025.39+4729.5</f>
        <v>45754.89</v>
      </c>
      <c r="R12" s="9">
        <f>13017.2+1222.4</f>
        <v>14239.6</v>
      </c>
      <c r="S12" s="80">
        <f t="shared" si="2"/>
        <v>662383.5</v>
      </c>
    </row>
    <row r="13" spans="1:19" ht="16.149999999999999" customHeight="1" x14ac:dyDescent="0.2">
      <c r="A13" s="79">
        <v>10</v>
      </c>
      <c r="B13" s="7">
        <v>425345.94</v>
      </c>
      <c r="C13" s="7">
        <v>148449.92000000001</v>
      </c>
      <c r="D13" s="7">
        <v>48408.62</v>
      </c>
      <c r="E13" s="7">
        <v>46797.9</v>
      </c>
      <c r="F13" s="7">
        <v>14615.99</v>
      </c>
      <c r="G13" s="80">
        <f t="shared" si="0"/>
        <v>683618.37</v>
      </c>
      <c r="H13" s="7">
        <v>431977.71</v>
      </c>
      <c r="I13" s="7">
        <v>155505.04999999999</v>
      </c>
      <c r="J13" s="7">
        <v>49194.59</v>
      </c>
      <c r="K13" s="7">
        <v>46775.519999999997</v>
      </c>
      <c r="L13" s="7">
        <v>15131.73</v>
      </c>
      <c r="M13" s="80">
        <f t="shared" si="1"/>
        <v>698584.6</v>
      </c>
      <c r="N13" s="8">
        <f>401700.88+25608.45</f>
        <v>427309.33</v>
      </c>
      <c r="O13" s="8">
        <f>136975.2+18529.85</f>
        <v>155505.05000000002</v>
      </c>
      <c r="P13" s="8">
        <f>47525.6+1276.95</f>
        <v>48802.549999999996</v>
      </c>
      <c r="Q13" s="7">
        <f>41919.66+4405.2</f>
        <v>46324.86</v>
      </c>
      <c r="R13" s="8">
        <f>13937.18+1194.55</f>
        <v>15131.73</v>
      </c>
      <c r="S13" s="80">
        <f t="shared" si="2"/>
        <v>693073.52</v>
      </c>
    </row>
    <row r="14" spans="1:19" ht="16.149999999999999" customHeight="1" x14ac:dyDescent="0.2">
      <c r="A14" s="79">
        <v>11</v>
      </c>
      <c r="B14" s="7">
        <v>427957.25</v>
      </c>
      <c r="C14" s="7">
        <v>154515.26999999999</v>
      </c>
      <c r="D14" s="7">
        <v>50502.03</v>
      </c>
      <c r="E14" s="7">
        <v>48339.040000000001</v>
      </c>
      <c r="F14" s="7">
        <v>14495.87</v>
      </c>
      <c r="G14" s="80">
        <f t="shared" si="0"/>
        <v>695809.46000000008</v>
      </c>
      <c r="H14" s="7">
        <v>431483.02</v>
      </c>
      <c r="I14" s="7">
        <v>153737</v>
      </c>
      <c r="J14" s="7">
        <v>50331.65</v>
      </c>
      <c r="K14" s="7">
        <v>50201.63</v>
      </c>
      <c r="L14" s="7">
        <v>13378.03</v>
      </c>
      <c r="M14" s="80">
        <f t="shared" si="1"/>
        <v>699131.33000000007</v>
      </c>
      <c r="N14" s="8">
        <f>405248.33+25847.35</f>
        <v>431095.68</v>
      </c>
      <c r="O14" s="7">
        <f>135665.65+18071.4</f>
        <v>153737.04999999999</v>
      </c>
      <c r="P14" s="8">
        <f>48821.54+1321.9</f>
        <v>50143.44</v>
      </c>
      <c r="Q14" s="7">
        <f>45118.53+5083.1</f>
        <v>50201.63</v>
      </c>
      <c r="R14" s="8">
        <f>13328.55+1134.8</f>
        <v>14463.349999999999</v>
      </c>
      <c r="S14" s="80">
        <f t="shared" si="2"/>
        <v>699641.14999999991</v>
      </c>
    </row>
    <row r="15" spans="1:19" ht="16.149999999999999" customHeight="1" x14ac:dyDescent="0.2">
      <c r="A15" s="79">
        <v>12</v>
      </c>
      <c r="B15" s="7">
        <v>419241.19</v>
      </c>
      <c r="C15" s="7">
        <v>151308.89000000001</v>
      </c>
      <c r="D15" s="7">
        <v>54390.66</v>
      </c>
      <c r="E15" s="7">
        <v>47243.9</v>
      </c>
      <c r="F15" s="7">
        <v>13797.89</v>
      </c>
      <c r="G15" s="80">
        <f t="shared" si="0"/>
        <v>685982.53000000014</v>
      </c>
      <c r="H15" s="7">
        <v>423152.49</v>
      </c>
      <c r="I15" s="7">
        <v>152188.73000000001</v>
      </c>
      <c r="J15" s="7">
        <v>46426.38</v>
      </c>
      <c r="K15" s="7">
        <v>47243.91</v>
      </c>
      <c r="L15" s="7">
        <v>14102.98</v>
      </c>
      <c r="M15" s="80">
        <f t="shared" si="1"/>
        <v>683114.49</v>
      </c>
      <c r="N15" s="7">
        <f>397687.24+24895.85</f>
        <v>422583.08999999997</v>
      </c>
      <c r="O15" s="8">
        <f>134387.07+17044.95</f>
        <v>151432.02000000002</v>
      </c>
      <c r="P15" s="7">
        <f>45180.64+1245.75</f>
        <v>46426.39</v>
      </c>
      <c r="Q15" s="7">
        <f>42427.77+4816.15</f>
        <v>47243.92</v>
      </c>
      <c r="R15" s="7">
        <f>12927.33+1175.65</f>
        <v>14102.98</v>
      </c>
      <c r="S15" s="80">
        <f t="shared" si="2"/>
        <v>681788.4</v>
      </c>
    </row>
    <row r="16" spans="1:19" ht="16.149999999999999" customHeight="1" x14ac:dyDescent="0.2">
      <c r="A16" s="79">
        <v>13</v>
      </c>
      <c r="B16" s="7">
        <v>419416.07</v>
      </c>
      <c r="C16" s="7">
        <v>154332.88</v>
      </c>
      <c r="D16" s="7">
        <v>48301.55</v>
      </c>
      <c r="E16" s="7">
        <v>44399.29</v>
      </c>
      <c r="F16" s="7">
        <v>14277.76</v>
      </c>
      <c r="G16" s="80">
        <f t="shared" si="0"/>
        <v>680727.55</v>
      </c>
      <c r="H16" s="7">
        <v>415130.3</v>
      </c>
      <c r="I16" s="7">
        <v>155479.03</v>
      </c>
      <c r="J16" s="7">
        <v>48506.6</v>
      </c>
      <c r="K16" s="7">
        <v>40177.550000000003</v>
      </c>
      <c r="L16" s="7">
        <v>14254.57</v>
      </c>
      <c r="M16" s="80">
        <f t="shared" si="1"/>
        <v>673548.04999999993</v>
      </c>
      <c r="N16" s="7">
        <f>391393.25+23725.95</f>
        <v>415119.2</v>
      </c>
      <c r="O16" s="7">
        <f>137297.68+18181.35</f>
        <v>155479.03</v>
      </c>
      <c r="P16" s="7">
        <f>47308.15+1198.5</f>
        <v>48506.65</v>
      </c>
      <c r="Q16" s="7">
        <f>39985.09+4414.2</f>
        <v>44399.289999999994</v>
      </c>
      <c r="R16" s="7">
        <f>13151.82+1102.75</f>
        <v>14254.57</v>
      </c>
      <c r="S16" s="80">
        <f t="shared" si="2"/>
        <v>677758.74</v>
      </c>
    </row>
    <row r="17" spans="1:20" ht="16.149999999999999" customHeight="1" x14ac:dyDescent="0.2">
      <c r="A17" s="79">
        <v>14</v>
      </c>
      <c r="B17" s="7">
        <v>274112.84999999998</v>
      </c>
      <c r="C17" s="7">
        <v>75104.08</v>
      </c>
      <c r="D17" s="7">
        <v>28459.74</v>
      </c>
      <c r="E17" s="7">
        <v>18271.11</v>
      </c>
      <c r="F17" s="7">
        <v>8269.3700000000008</v>
      </c>
      <c r="G17" s="80">
        <f t="shared" si="0"/>
        <v>404217.14999999997</v>
      </c>
      <c r="H17" s="7">
        <v>276082.7</v>
      </c>
      <c r="I17" s="7">
        <v>75931.990000000005</v>
      </c>
      <c r="J17" s="7">
        <v>29740.55</v>
      </c>
      <c r="K17" s="7">
        <v>18271.11</v>
      </c>
      <c r="L17" s="7">
        <v>8269.3700000000008</v>
      </c>
      <c r="M17" s="80">
        <f t="shared" si="1"/>
        <v>408295.72</v>
      </c>
      <c r="N17" s="7">
        <f>263081.54+11924.35</f>
        <v>275005.88999999996</v>
      </c>
      <c r="O17" s="8">
        <f>67222.12+8290.4</f>
        <v>75512.51999999999</v>
      </c>
      <c r="P17" s="7">
        <f>29216.57+520.15</f>
        <v>29736.720000000001</v>
      </c>
      <c r="Q17" s="7">
        <f>16108.81+2162.3</f>
        <v>18271.11</v>
      </c>
      <c r="R17" s="7">
        <f>7803.12+466.25</f>
        <v>8269.369999999999</v>
      </c>
      <c r="S17" s="80">
        <f t="shared" si="2"/>
        <v>406795.60999999987</v>
      </c>
    </row>
    <row r="18" spans="1:20" ht="16.149999999999999" customHeight="1" x14ac:dyDescent="0.2">
      <c r="A18" s="79">
        <v>15</v>
      </c>
      <c r="B18" s="7">
        <v>120018.73</v>
      </c>
      <c r="C18" s="7">
        <v>38216.93</v>
      </c>
      <c r="D18" s="7">
        <v>12726</v>
      </c>
      <c r="E18" s="7">
        <v>9253.98</v>
      </c>
      <c r="F18" s="7">
        <v>3281.36</v>
      </c>
      <c r="G18" s="80">
        <f t="shared" si="0"/>
        <v>183497</v>
      </c>
      <c r="H18" s="7">
        <v>119182.93</v>
      </c>
      <c r="I18" s="7">
        <v>38216.93</v>
      </c>
      <c r="J18" s="7">
        <v>12726</v>
      </c>
      <c r="K18" s="7">
        <v>8750.8700000000008</v>
      </c>
      <c r="L18" s="7">
        <v>3281.31</v>
      </c>
      <c r="M18" s="80">
        <f t="shared" si="1"/>
        <v>182158.03999999998</v>
      </c>
      <c r="N18" s="9">
        <f>113693.78+5489.2</f>
        <v>119182.98</v>
      </c>
      <c r="O18" s="67">
        <f>33150.48+5066.45</f>
        <v>38216.93</v>
      </c>
      <c r="P18" s="9">
        <f>12454.15+271.85</f>
        <v>12726</v>
      </c>
      <c r="Q18" s="7">
        <f>7797.57+953.3</f>
        <v>8750.869999999999</v>
      </c>
      <c r="R18" s="9">
        <f>3084.56+196.8</f>
        <v>3281.36</v>
      </c>
      <c r="S18" s="80">
        <f t="shared" si="2"/>
        <v>182158.13999999998</v>
      </c>
    </row>
    <row r="19" spans="1:20" ht="16.149999999999999" customHeight="1" x14ac:dyDescent="0.2">
      <c r="A19" s="79">
        <v>16</v>
      </c>
      <c r="B19" s="7">
        <v>415132.31</v>
      </c>
      <c r="C19" s="7">
        <v>149797.82</v>
      </c>
      <c r="D19" s="7">
        <v>43075.73</v>
      </c>
      <c r="E19" s="7">
        <v>44916.99</v>
      </c>
      <c r="F19" s="7">
        <v>13676.52</v>
      </c>
      <c r="G19" s="80">
        <f t="shared" si="0"/>
        <v>666599.37</v>
      </c>
      <c r="H19" s="7">
        <v>417349.67</v>
      </c>
      <c r="I19" s="7">
        <v>150879.18</v>
      </c>
      <c r="J19" s="7">
        <v>45099.81</v>
      </c>
      <c r="K19" s="7">
        <v>45420.11</v>
      </c>
      <c r="L19" s="7">
        <v>13676.52</v>
      </c>
      <c r="M19" s="80">
        <f t="shared" si="1"/>
        <v>672425.28999999992</v>
      </c>
      <c r="N19" s="7">
        <f>391832.13+24418.25</f>
        <v>416250.38</v>
      </c>
      <c r="O19" s="8">
        <f>132935.88+17645.05</f>
        <v>150580.93</v>
      </c>
      <c r="P19" s="7">
        <f>44002.73+1121.9</f>
        <v>45124.630000000005</v>
      </c>
      <c r="Q19" s="9">
        <f>41122.16+4297.95</f>
        <v>45420.11</v>
      </c>
      <c r="R19" s="7">
        <f>12586.62+1089.9</f>
        <v>13676.52</v>
      </c>
      <c r="S19" s="80">
        <f t="shared" si="2"/>
        <v>671052.57000000007</v>
      </c>
    </row>
    <row r="20" spans="1:20" ht="16.149999999999999" customHeight="1" x14ac:dyDescent="0.2">
      <c r="A20" s="79">
        <v>17</v>
      </c>
      <c r="B20" s="7">
        <v>426918.02</v>
      </c>
      <c r="C20" s="7">
        <v>152365.57</v>
      </c>
      <c r="D20" s="7">
        <v>48516.83</v>
      </c>
      <c r="E20" s="7">
        <v>48195.43</v>
      </c>
      <c r="F20" s="7">
        <v>14562.39</v>
      </c>
      <c r="G20" s="80">
        <f t="shared" si="0"/>
        <v>690558.24000000011</v>
      </c>
      <c r="H20" s="7">
        <v>426939.3</v>
      </c>
      <c r="I20" s="7">
        <v>149498.23000000001</v>
      </c>
      <c r="J20" s="7">
        <v>49607.22</v>
      </c>
      <c r="K20" s="7">
        <v>48195.43</v>
      </c>
      <c r="L20" s="7">
        <v>13282.92</v>
      </c>
      <c r="M20" s="80">
        <f t="shared" si="1"/>
        <v>687523.10000000009</v>
      </c>
      <c r="N20" s="7">
        <f>401367.95+25477.15</f>
        <v>426845.10000000003</v>
      </c>
      <c r="O20" s="8">
        <f>132494.38+17003.9</f>
        <v>149498.28</v>
      </c>
      <c r="P20" s="7">
        <f>48429.37+1177.9</f>
        <v>49607.270000000004</v>
      </c>
      <c r="Q20" s="7">
        <f>43252.99+4942.45</f>
        <v>48195.439999999995</v>
      </c>
      <c r="R20" s="7">
        <f>13273.34+1274.7</f>
        <v>14548.04</v>
      </c>
      <c r="S20" s="80">
        <f t="shared" si="2"/>
        <v>688694.13</v>
      </c>
    </row>
    <row r="21" spans="1:20" ht="16.149999999999999" customHeight="1" x14ac:dyDescent="0.2">
      <c r="A21" s="79">
        <v>18</v>
      </c>
      <c r="B21" s="7">
        <v>427518.69</v>
      </c>
      <c r="C21" s="30">
        <v>153196.20000000001</v>
      </c>
      <c r="D21" s="30">
        <v>46698.48</v>
      </c>
      <c r="E21" s="30">
        <v>49231.6</v>
      </c>
      <c r="F21" s="30">
        <v>14218.13</v>
      </c>
      <c r="G21" s="80">
        <f t="shared" si="0"/>
        <v>690863.1</v>
      </c>
      <c r="H21" s="7">
        <v>401064</v>
      </c>
      <c r="I21" s="7">
        <v>157298.68</v>
      </c>
      <c r="J21" s="7">
        <v>47798.62</v>
      </c>
      <c r="K21" s="7">
        <v>49231.6</v>
      </c>
      <c r="L21" s="7">
        <v>14206.17</v>
      </c>
      <c r="M21" s="80">
        <f t="shared" si="1"/>
        <v>669599.06999999995</v>
      </c>
      <c r="N21" s="7">
        <f>399952.08+25502.65</f>
        <v>425454.73000000004</v>
      </c>
      <c r="O21" s="30">
        <f>138272.43+19026.25</f>
        <v>157298.68</v>
      </c>
      <c r="P21" s="7">
        <f>46530.93+1267.75</f>
        <v>47798.68</v>
      </c>
      <c r="Q21" s="7">
        <f>44654.9+4576.7</f>
        <v>49231.6</v>
      </c>
      <c r="R21" s="7">
        <f>13030.57+1175.6</f>
        <v>14206.17</v>
      </c>
      <c r="S21" s="80">
        <f>SUM(N21:R21)</f>
        <v>693989.8600000001</v>
      </c>
    </row>
    <row r="22" spans="1:20" ht="16.149999999999999" customHeight="1" x14ac:dyDescent="0.2">
      <c r="A22" s="79">
        <v>19</v>
      </c>
      <c r="B22" s="7">
        <v>418215.5</v>
      </c>
      <c r="C22" s="7">
        <v>153458.68</v>
      </c>
      <c r="D22" s="7">
        <v>46049.03</v>
      </c>
      <c r="E22" s="7">
        <v>49174.31</v>
      </c>
      <c r="F22" s="7">
        <v>13563.81</v>
      </c>
      <c r="G22" s="80">
        <f t="shared" si="0"/>
        <v>680461.33000000007</v>
      </c>
      <c r="H22" s="7">
        <v>418059.08</v>
      </c>
      <c r="I22" s="7">
        <v>153854.44</v>
      </c>
      <c r="J22" s="7">
        <v>45255.7</v>
      </c>
      <c r="K22" s="7">
        <v>44592.25</v>
      </c>
      <c r="L22" s="7">
        <v>14077.97</v>
      </c>
      <c r="M22" s="80">
        <f t="shared" si="1"/>
        <v>675839.44</v>
      </c>
      <c r="N22" s="7">
        <f>392928.08+25121.15</f>
        <v>418049.23000000004</v>
      </c>
      <c r="O22" s="8">
        <f>135150.68+18308</f>
        <v>153458.68</v>
      </c>
      <c r="P22" s="7">
        <f>44104.95+1150.8</f>
        <v>45255.75</v>
      </c>
      <c r="Q22" s="7">
        <f>44383.36+4790.95</f>
        <v>49174.31</v>
      </c>
      <c r="R22" s="7">
        <f>12846.62+1231.35</f>
        <v>14077.970000000001</v>
      </c>
      <c r="S22" s="80">
        <f t="shared" si="2"/>
        <v>680015.94</v>
      </c>
    </row>
    <row r="23" spans="1:20" ht="16.149999999999999" customHeight="1" x14ac:dyDescent="0.2">
      <c r="A23" s="79">
        <v>20</v>
      </c>
      <c r="B23" s="7">
        <v>414032.35</v>
      </c>
      <c r="C23" s="7">
        <v>149288.82999999999</v>
      </c>
      <c r="D23" s="7">
        <v>46503.9</v>
      </c>
      <c r="E23" s="7">
        <v>44373.09</v>
      </c>
      <c r="F23" s="7">
        <v>13853.21</v>
      </c>
      <c r="G23" s="80">
        <f t="shared" si="0"/>
        <v>668051.37999999989</v>
      </c>
      <c r="H23" s="7">
        <v>413445.17</v>
      </c>
      <c r="I23" s="7">
        <v>150758.76999999999</v>
      </c>
      <c r="J23" s="7">
        <v>49052.99</v>
      </c>
      <c r="K23" s="7">
        <v>44373.09</v>
      </c>
      <c r="L23" s="7">
        <v>12657.95</v>
      </c>
      <c r="M23" s="80">
        <f t="shared" si="1"/>
        <v>670287.96999999986</v>
      </c>
      <c r="N23" s="9">
        <f>389474.36+23969.85</f>
        <v>413444.20999999996</v>
      </c>
      <c r="O23" s="67">
        <f>132326.07+16962.75</f>
        <v>149288.82</v>
      </c>
      <c r="P23" s="9">
        <f>47786.79+1266.2</f>
        <v>49052.99</v>
      </c>
      <c r="Q23" s="9">
        <f>39933.34+4439.75</f>
        <v>44373.09</v>
      </c>
      <c r="R23" s="9">
        <f>12604.62+1223.25</f>
        <v>13827.87</v>
      </c>
      <c r="S23" s="80">
        <f t="shared" si="2"/>
        <v>669986.98</v>
      </c>
    </row>
    <row r="24" spans="1:20" ht="16.149999999999999" customHeight="1" x14ac:dyDescent="0.2">
      <c r="A24" s="79">
        <v>21</v>
      </c>
      <c r="B24" s="7">
        <v>268640.03999999998</v>
      </c>
      <c r="C24" s="7">
        <v>70498.539999999994</v>
      </c>
      <c r="D24" s="7">
        <v>28664.03</v>
      </c>
      <c r="E24" s="7">
        <v>18617.810000000001</v>
      </c>
      <c r="F24" s="7">
        <v>8409.82</v>
      </c>
      <c r="G24" s="80">
        <f t="shared" si="0"/>
        <v>394830.24</v>
      </c>
      <c r="H24" s="7">
        <v>268354.84000000003</v>
      </c>
      <c r="I24" s="7">
        <v>70101.820000000007</v>
      </c>
      <c r="J24" s="7">
        <v>28664.03</v>
      </c>
      <c r="K24" s="7">
        <v>18617.810000000001</v>
      </c>
      <c r="L24" s="7">
        <v>8409.82</v>
      </c>
      <c r="M24" s="80">
        <f t="shared" si="1"/>
        <v>394148.32000000007</v>
      </c>
      <c r="N24" s="7">
        <f>256320.71+12016.3</f>
        <v>268337.01</v>
      </c>
      <c r="O24" s="67">
        <f>62116.14+7632.05</f>
        <v>69748.19</v>
      </c>
      <c r="P24" s="9">
        <f>28043.72+620.3</f>
        <v>28664.02</v>
      </c>
      <c r="Q24" s="7">
        <f>16316.81+2301</f>
        <v>18617.809999999998</v>
      </c>
      <c r="R24" s="9">
        <f>7938.72+471.1</f>
        <v>8409.82</v>
      </c>
      <c r="S24" s="80">
        <f t="shared" si="2"/>
        <v>393776.85000000003</v>
      </c>
    </row>
    <row r="25" spans="1:20" ht="16.149999999999999" customHeight="1" x14ac:dyDescent="0.2">
      <c r="A25" s="79">
        <v>22</v>
      </c>
      <c r="B25" s="7">
        <v>118514.27</v>
      </c>
      <c r="C25" s="7">
        <v>36267.550000000003</v>
      </c>
      <c r="D25" s="7">
        <v>13163.75</v>
      </c>
      <c r="E25" s="7">
        <v>9223.14</v>
      </c>
      <c r="F25" s="7">
        <v>3451.6</v>
      </c>
      <c r="G25" s="80">
        <f t="shared" si="0"/>
        <v>180620.31000000003</v>
      </c>
      <c r="H25" s="7">
        <v>118173.74</v>
      </c>
      <c r="I25" s="7">
        <v>38037.65</v>
      </c>
      <c r="J25" s="7">
        <v>13163.7</v>
      </c>
      <c r="K25" s="7">
        <v>9223.14</v>
      </c>
      <c r="L25" s="7">
        <v>3451.6</v>
      </c>
      <c r="M25" s="80">
        <f t="shared" si="1"/>
        <v>182049.83000000005</v>
      </c>
      <c r="N25" s="7">
        <f>112742.49+5431.3</f>
        <v>118173.79000000001</v>
      </c>
      <c r="O25" s="8">
        <f>32623.14+4547.3</f>
        <v>37170.44</v>
      </c>
      <c r="P25" s="7">
        <f>12853.55+310.2</f>
        <v>13163.75</v>
      </c>
      <c r="Q25" s="7">
        <f>8182.14+1041</f>
        <v>9223.14</v>
      </c>
      <c r="R25" s="7">
        <f>3196.55+255.05</f>
        <v>3451.6000000000004</v>
      </c>
      <c r="S25" s="80">
        <f t="shared" si="2"/>
        <v>181182.72</v>
      </c>
    </row>
    <row r="26" spans="1:20" ht="16.149999999999999" customHeight="1" x14ac:dyDescent="0.2">
      <c r="A26" s="79">
        <v>23</v>
      </c>
      <c r="B26" s="7">
        <v>404676.94</v>
      </c>
      <c r="C26" s="7">
        <v>148461.21</v>
      </c>
      <c r="D26" s="7">
        <v>47466.94</v>
      </c>
      <c r="E26" s="7">
        <v>46546.12</v>
      </c>
      <c r="F26" s="7">
        <v>14227.74</v>
      </c>
      <c r="G26" s="80">
        <f t="shared" si="0"/>
        <v>661378.95000000007</v>
      </c>
      <c r="H26" s="7">
        <v>405066.67</v>
      </c>
      <c r="I26" s="7">
        <v>150899.98000000001</v>
      </c>
      <c r="J26" s="7">
        <v>46462.53</v>
      </c>
      <c r="K26" s="7">
        <v>46546.12</v>
      </c>
      <c r="L26" s="7">
        <v>14227.74</v>
      </c>
      <c r="M26" s="80">
        <f t="shared" si="1"/>
        <v>663203.04</v>
      </c>
      <c r="N26" s="7">
        <f>380923.34+24219.7</f>
        <v>405143.04000000004</v>
      </c>
      <c r="O26" s="8">
        <f>131614.15+18277.45</f>
        <v>149891.6</v>
      </c>
      <c r="P26" s="7">
        <f>45097.31+1369.05</f>
        <v>46466.36</v>
      </c>
      <c r="Q26" s="7">
        <f>41701.67+4844.45</f>
        <v>46546.119999999995</v>
      </c>
      <c r="R26" s="7">
        <f>12994.44+1233.3</f>
        <v>14227.74</v>
      </c>
      <c r="S26" s="80">
        <f t="shared" si="2"/>
        <v>662274.86</v>
      </c>
    </row>
    <row r="27" spans="1:20" ht="16.149999999999999" customHeight="1" x14ac:dyDescent="0.2">
      <c r="A27" s="79">
        <v>24</v>
      </c>
      <c r="B27" s="7">
        <v>418134.88</v>
      </c>
      <c r="C27" s="7">
        <v>150276.45000000001</v>
      </c>
      <c r="D27" s="7">
        <v>47594.19</v>
      </c>
      <c r="E27" s="7">
        <v>47795.8</v>
      </c>
      <c r="F27" s="7">
        <v>14317.12</v>
      </c>
      <c r="G27" s="80">
        <f t="shared" si="0"/>
        <v>678118.44000000006</v>
      </c>
      <c r="H27" s="7">
        <v>425579.88</v>
      </c>
      <c r="I27" s="7">
        <v>132338.45000000001</v>
      </c>
      <c r="J27" s="7">
        <v>48598.61</v>
      </c>
      <c r="K27" s="7">
        <v>42971.24</v>
      </c>
      <c r="L27" s="7">
        <v>14317.12</v>
      </c>
      <c r="M27" s="80">
        <f t="shared" si="1"/>
        <v>663805.30000000005</v>
      </c>
      <c r="N27" s="7">
        <f>399791.48+25788.4</f>
        <v>425579.88</v>
      </c>
      <c r="O27" s="8">
        <f>131563.78+17767.75</f>
        <v>149331.53</v>
      </c>
      <c r="P27" s="7">
        <f>47233.3+1365.3</f>
        <v>48598.600000000006</v>
      </c>
      <c r="Q27" s="7">
        <f>42751.3+5044.5</f>
        <v>47795.8</v>
      </c>
      <c r="R27" s="7">
        <f>13178.57+1138.55</f>
        <v>14317.119999999999</v>
      </c>
      <c r="S27" s="80">
        <f t="shared" si="2"/>
        <v>685622.93</v>
      </c>
      <c r="T27" s="3"/>
    </row>
    <row r="28" spans="1:20" ht="16.149999999999999" customHeight="1" x14ac:dyDescent="0.2">
      <c r="A28" s="79">
        <v>25</v>
      </c>
      <c r="B28" s="7">
        <v>422561.33</v>
      </c>
      <c r="C28" s="7">
        <v>154046.73000000001</v>
      </c>
      <c r="D28" s="7">
        <v>49371.95</v>
      </c>
      <c r="E28" s="7">
        <v>48787.54</v>
      </c>
      <c r="F28" s="7">
        <v>14193.69</v>
      </c>
      <c r="G28" s="80">
        <f t="shared" si="0"/>
        <v>688961.24</v>
      </c>
      <c r="H28" s="7">
        <v>419711.74</v>
      </c>
      <c r="I28" s="7">
        <v>154597.85</v>
      </c>
      <c r="J28" s="7">
        <v>46911.99</v>
      </c>
      <c r="K28" s="7">
        <v>46942.79</v>
      </c>
      <c r="L28" s="7">
        <v>13120.8</v>
      </c>
      <c r="M28" s="80">
        <f t="shared" si="1"/>
        <v>681285.17</v>
      </c>
      <c r="N28" s="9">
        <f>391167.2+24907.25</f>
        <v>416074.45</v>
      </c>
      <c r="O28" s="67">
        <f>136153.3+18444.6</f>
        <v>154597.9</v>
      </c>
      <c r="P28" s="9">
        <f>45615.69+1296.3</f>
        <v>46911.990000000005</v>
      </c>
      <c r="Q28" s="7">
        <f>42373.79+4569</f>
        <v>46942.79</v>
      </c>
      <c r="R28" s="9">
        <f>13071.89+1121.8</f>
        <v>14193.689999999999</v>
      </c>
      <c r="S28" s="80">
        <f t="shared" si="2"/>
        <v>678720.82</v>
      </c>
      <c r="T28" s="3"/>
    </row>
    <row r="29" spans="1:20" ht="16.149999999999999" customHeight="1" x14ac:dyDescent="0.2">
      <c r="A29" s="79">
        <v>26</v>
      </c>
      <c r="B29" s="7">
        <v>413191.58</v>
      </c>
      <c r="C29" s="7">
        <v>151904.63</v>
      </c>
      <c r="D29" s="7">
        <v>48105.63</v>
      </c>
      <c r="E29" s="7">
        <v>47960.11</v>
      </c>
      <c r="F29" s="7">
        <v>13921.31</v>
      </c>
      <c r="G29" s="80">
        <f t="shared" si="0"/>
        <v>675083.26</v>
      </c>
      <c r="H29" s="7">
        <v>415987.42</v>
      </c>
      <c r="I29" s="7">
        <v>152380.25</v>
      </c>
      <c r="J29" s="7">
        <v>49247.47</v>
      </c>
      <c r="K29" s="7">
        <v>49816.29</v>
      </c>
      <c r="L29" s="7">
        <v>13921.31</v>
      </c>
      <c r="M29" s="80">
        <f t="shared" si="1"/>
        <v>681352.74</v>
      </c>
      <c r="N29" s="9">
        <f>386216.14+25102.9</f>
        <v>411319.04000000004</v>
      </c>
      <c r="O29" s="67">
        <f>134198.29+17710.6</f>
        <v>151908.89000000001</v>
      </c>
      <c r="P29" s="9">
        <f>47467.21+1413</f>
        <v>48880.21</v>
      </c>
      <c r="Q29" s="7">
        <f>44522.69+4812.95</f>
        <v>49335.64</v>
      </c>
      <c r="R29" s="9">
        <f>12851.01+1070.3</f>
        <v>13921.31</v>
      </c>
      <c r="S29" s="80">
        <f t="shared" si="2"/>
        <v>675365.09000000008</v>
      </c>
      <c r="T29" s="3"/>
    </row>
    <row r="30" spans="1:20" ht="16.149999999999999" customHeight="1" x14ac:dyDescent="0.2">
      <c r="A30" s="79">
        <v>27</v>
      </c>
      <c r="B30" s="7">
        <v>402513.33</v>
      </c>
      <c r="C30" s="7">
        <v>151327.06</v>
      </c>
      <c r="D30" s="7">
        <v>46761.36</v>
      </c>
      <c r="E30" s="7">
        <v>44789.74</v>
      </c>
      <c r="F30" s="7">
        <v>13746.82</v>
      </c>
      <c r="G30" s="80">
        <f t="shared" si="0"/>
        <v>659138.30999999994</v>
      </c>
      <c r="H30" s="7">
        <v>410055.26</v>
      </c>
      <c r="I30" s="7">
        <v>153435.73000000001</v>
      </c>
      <c r="J30" s="7">
        <v>46068.59</v>
      </c>
      <c r="K30" s="7">
        <v>45228.97</v>
      </c>
      <c r="L30" s="7">
        <v>13746.82</v>
      </c>
      <c r="M30" s="80">
        <f t="shared" si="1"/>
        <v>668535.36999999988</v>
      </c>
      <c r="N30" s="67">
        <f>384982.77+24115.75</f>
        <v>409098.52</v>
      </c>
      <c r="O30" s="8">
        <f>132876.76+18450.3</f>
        <v>151327.06</v>
      </c>
      <c r="P30" s="7">
        <f>44634.92+1245.45</f>
        <v>45880.369999999995</v>
      </c>
      <c r="Q30" s="7">
        <f>40685.37+4543.6</f>
        <v>45228.97</v>
      </c>
      <c r="R30" s="7">
        <f>12600.36+1146.45</f>
        <v>13746.810000000001</v>
      </c>
      <c r="S30" s="80">
        <f t="shared" si="2"/>
        <v>665281.7300000001</v>
      </c>
      <c r="T30" s="3"/>
    </row>
    <row r="31" spans="1:20" ht="16.149999999999999" customHeight="1" x14ac:dyDescent="0.2">
      <c r="A31" s="79">
        <v>28</v>
      </c>
      <c r="B31" s="7">
        <v>262712.37</v>
      </c>
      <c r="C31" s="7">
        <v>72018.31</v>
      </c>
      <c r="D31" s="7">
        <v>28472.51</v>
      </c>
      <c r="E31" s="7">
        <v>18428.060000000001</v>
      </c>
      <c r="F31" s="7">
        <v>8490.68</v>
      </c>
      <c r="G31" s="80">
        <f t="shared" si="0"/>
        <v>390121.93</v>
      </c>
      <c r="H31" s="7">
        <v>262925.02</v>
      </c>
      <c r="I31" s="7">
        <v>72018.31</v>
      </c>
      <c r="J31" s="7">
        <v>28723.61</v>
      </c>
      <c r="K31" s="7">
        <v>18428.060000000001</v>
      </c>
      <c r="L31" s="7">
        <v>8490.68</v>
      </c>
      <c r="M31" s="80">
        <f t="shared" si="1"/>
        <v>390585.68</v>
      </c>
      <c r="N31" s="7">
        <f>251309.07+11615.95</f>
        <v>262925.02</v>
      </c>
      <c r="O31" s="7">
        <f>63778.95+8239.35</f>
        <v>72018.3</v>
      </c>
      <c r="P31" s="7">
        <f>28093.46+630.15</f>
        <v>28723.61</v>
      </c>
      <c r="Q31" s="7">
        <f>16082.56+2345.5</f>
        <v>18428.059999999998</v>
      </c>
      <c r="R31" s="7">
        <f>7967.03+523.65</f>
        <v>8490.68</v>
      </c>
      <c r="S31" s="80">
        <f t="shared" si="2"/>
        <v>390585.67</v>
      </c>
    </row>
    <row r="32" spans="1:20" ht="16.149999999999999" customHeight="1" x14ac:dyDescent="0.2">
      <c r="A32" s="79">
        <v>29</v>
      </c>
      <c r="B32" s="7">
        <v>118571.36</v>
      </c>
      <c r="C32" s="7">
        <v>39626.949999999997</v>
      </c>
      <c r="D32" s="7">
        <v>13223.33</v>
      </c>
      <c r="E32" s="7">
        <v>9856.23</v>
      </c>
      <c r="F32" s="7">
        <v>3481.39</v>
      </c>
      <c r="G32" s="80">
        <f t="shared" si="0"/>
        <v>184759.26</v>
      </c>
      <c r="H32" s="7">
        <v>119961.4</v>
      </c>
      <c r="I32" s="7">
        <v>39626.949999999997</v>
      </c>
      <c r="J32" s="7">
        <v>13853.17</v>
      </c>
      <c r="K32" s="7">
        <v>9856.18</v>
      </c>
      <c r="L32" s="7">
        <v>3481.39</v>
      </c>
      <c r="M32" s="80">
        <f t="shared" si="1"/>
        <v>186779.09</v>
      </c>
      <c r="N32" s="9">
        <f>114110.74+5850.65</f>
        <v>119961.39</v>
      </c>
      <c r="O32" s="9">
        <f>34632.3+4994.65</f>
        <v>39626.950000000004</v>
      </c>
      <c r="P32" s="9">
        <f>13574.41+278.8</f>
        <v>13853.21</v>
      </c>
      <c r="Q32" s="9">
        <f>8763.23+1093</f>
        <v>9856.23</v>
      </c>
      <c r="R32" s="9">
        <f>3227.89+253.5</f>
        <v>3481.39</v>
      </c>
      <c r="S32" s="80">
        <f t="shared" si="2"/>
        <v>186779.17</v>
      </c>
    </row>
    <row r="33" spans="1:20" ht="16.149999999999999" customHeight="1" x14ac:dyDescent="0.2">
      <c r="A33" s="79">
        <v>30</v>
      </c>
      <c r="B33" s="7">
        <v>402428.44</v>
      </c>
      <c r="C33" s="7">
        <v>156797.76000000001</v>
      </c>
      <c r="D33" s="7">
        <v>46999.17</v>
      </c>
      <c r="E33" s="7">
        <v>46833.279999999999</v>
      </c>
      <c r="F33" s="7">
        <v>13751.07</v>
      </c>
      <c r="G33" s="80">
        <f t="shared" si="0"/>
        <v>666809.72</v>
      </c>
      <c r="H33" s="7">
        <v>402420.89</v>
      </c>
      <c r="I33" s="7">
        <v>156802.64000000001</v>
      </c>
      <c r="J33" s="7">
        <v>46999.12</v>
      </c>
      <c r="K33" s="7">
        <v>45771.15</v>
      </c>
      <c r="L33" s="7">
        <v>12662.78</v>
      </c>
      <c r="M33" s="80">
        <f t="shared" si="1"/>
        <v>664656.58000000007</v>
      </c>
      <c r="N33" s="9">
        <f>377181.28+24162.8</f>
        <v>401344.08</v>
      </c>
      <c r="O33" s="9">
        <f>138700.39+18185.65</f>
        <v>156886.04</v>
      </c>
      <c r="P33" s="9">
        <f>45741.87+1257.3</f>
        <v>46999.170000000006</v>
      </c>
      <c r="Q33" s="9">
        <f>41351.11+4420.05</f>
        <v>45771.16</v>
      </c>
      <c r="R33" s="9">
        <f>12613.17+1137.9</f>
        <v>13751.07</v>
      </c>
      <c r="S33" s="80">
        <f t="shared" si="2"/>
        <v>664751.52</v>
      </c>
    </row>
    <row r="34" spans="1:20" ht="16.149999999999999" customHeight="1" x14ac:dyDescent="0.2">
      <c r="A34" s="79">
        <v>31</v>
      </c>
      <c r="B34" s="9">
        <v>409767.86</v>
      </c>
      <c r="C34" s="9">
        <v>156881.69</v>
      </c>
      <c r="D34" s="7">
        <v>47320.38</v>
      </c>
      <c r="E34" s="7">
        <v>48290.69</v>
      </c>
      <c r="F34" s="7">
        <v>13870.24</v>
      </c>
      <c r="G34" s="80">
        <f t="shared" si="0"/>
        <v>676130.8600000001</v>
      </c>
      <c r="H34" s="7">
        <v>413178.05</v>
      </c>
      <c r="I34" s="7">
        <v>156244.12</v>
      </c>
      <c r="J34" s="7">
        <v>46303.199999999997</v>
      </c>
      <c r="K34" s="7">
        <v>49352.82</v>
      </c>
      <c r="L34" s="7">
        <v>13870.24</v>
      </c>
      <c r="M34" s="80">
        <f t="shared" si="1"/>
        <v>678948.42999999982</v>
      </c>
      <c r="N34" s="9">
        <f>388181.99+24996.05</f>
        <v>413178.04</v>
      </c>
      <c r="O34" s="9">
        <f>136871.36+17898.35</f>
        <v>154769.71</v>
      </c>
      <c r="P34" s="9">
        <f>45004.55+1298.65</f>
        <v>46303.200000000004</v>
      </c>
      <c r="Q34" s="9">
        <f>44443.37+4909.45</f>
        <v>49352.82</v>
      </c>
      <c r="R34" s="9">
        <f>12658.69+1211.55</f>
        <v>13870.24</v>
      </c>
      <c r="S34" s="80">
        <f t="shared" si="2"/>
        <v>677474.00999999989</v>
      </c>
    </row>
    <row r="35" spans="1:20" ht="16.149999999999999" customHeight="1" thickBot="1" x14ac:dyDescent="0.25">
      <c r="A35" s="39" t="s">
        <v>10</v>
      </c>
      <c r="B35" s="68">
        <f>SUM(B4:B34)</f>
        <v>10900289.789999997</v>
      </c>
      <c r="C35" s="69">
        <f>SUM(C4:C34)</f>
        <v>3841782.9100000006</v>
      </c>
      <c r="D35" s="70">
        <f>SUM(D4:D34)</f>
        <v>1241657.0599999998</v>
      </c>
      <c r="E35" s="70">
        <f>SUM(E4:E34)</f>
        <v>1156429.06</v>
      </c>
      <c r="F35" s="70">
        <f>SUM(F4:F34)</f>
        <v>364283.87999999995</v>
      </c>
      <c r="G35" s="71">
        <f t="shared" si="0"/>
        <v>17504442.699999996</v>
      </c>
      <c r="H35" s="68">
        <f t="shared" ref="H35:S35" si="3">SUM(H4:H34)</f>
        <v>10912190.510000002</v>
      </c>
      <c r="I35" s="70">
        <f t="shared" si="3"/>
        <v>3819538.2500000005</v>
      </c>
      <c r="J35" s="70">
        <f t="shared" si="3"/>
        <v>1237722.9400000002</v>
      </c>
      <c r="K35" s="70">
        <f t="shared" si="3"/>
        <v>1146489.6600000001</v>
      </c>
      <c r="L35" s="70">
        <f t="shared" si="3"/>
        <v>358529.88000000006</v>
      </c>
      <c r="M35" s="72">
        <f t="shared" si="3"/>
        <v>17474471.239999998</v>
      </c>
      <c r="N35" s="68">
        <f>SUM(N4:N34)</f>
        <v>10913451.159999998</v>
      </c>
      <c r="O35" s="70">
        <f>SUM(O4:O34)</f>
        <v>3857905.48</v>
      </c>
      <c r="P35" s="70">
        <f>SUM(P4:P34)</f>
        <v>1236612.58</v>
      </c>
      <c r="Q35" s="70">
        <f>SUM(Q4:Q34)</f>
        <v>1159186.7899999998</v>
      </c>
      <c r="R35" s="70">
        <f>SUM(R4:R34)</f>
        <v>365380.7</v>
      </c>
      <c r="S35" s="73">
        <f t="shared" si="3"/>
        <v>17532536.710000001</v>
      </c>
      <c r="T35" s="17"/>
    </row>
    <row r="37" spans="1:20" x14ac:dyDescent="0.2">
      <c r="H37" s="4" t="s">
        <v>11</v>
      </c>
    </row>
    <row r="38" spans="1:20" x14ac:dyDescent="0.2">
      <c r="N38" s="14" t="s">
        <v>11</v>
      </c>
      <c r="O38" s="15" t="s">
        <v>11</v>
      </c>
      <c r="P38" s="14" t="s">
        <v>11</v>
      </c>
      <c r="Q38" s="16" t="s">
        <v>11</v>
      </c>
      <c r="R38" s="16" t="s">
        <v>11</v>
      </c>
    </row>
    <row r="39" spans="1:20" x14ac:dyDescent="0.2">
      <c r="N39" s="14"/>
    </row>
  </sheetData>
  <mergeCells count="5">
    <mergeCell ref="B1:S1"/>
    <mergeCell ref="A2:A3"/>
    <mergeCell ref="B2:G2"/>
    <mergeCell ref="H2:M2"/>
    <mergeCell ref="N2:S2"/>
  </mergeCells>
  <printOptions horizontalCentered="1" verticalCentered="1"/>
  <pageMargins left="0" right="0" top="0" bottom="0" header="0" footer="0"/>
  <pageSetup paperSize="9" scale="65" orientation="landscape" verticalDpi="0" r:id="rId1"/>
  <ignoredErrors>
    <ignoredError sqref="G4:G32 G33:G34" formulaRange="1"/>
    <ignoredError sqref="G3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34"/>
  <sheetViews>
    <sheetView workbookViewId="0">
      <pane xSplit="1" ySplit="3" topLeftCell="E17" activePane="bottomRight" state="frozen"/>
      <selection pane="topRight" activeCell="B1" sqref="B1"/>
      <selection pane="bottomLeft" activeCell="A2" sqref="A2"/>
      <selection pane="bottomRight" activeCell="L34" sqref="L34"/>
    </sheetView>
  </sheetViews>
  <sheetFormatPr defaultColWidth="9.140625" defaultRowHeight="12.75" x14ac:dyDescent="0.2"/>
  <cols>
    <col min="1" max="1" width="6.85546875" style="1" customWidth="1"/>
    <col min="2" max="6" width="11.7109375" style="1" customWidth="1"/>
    <col min="7" max="7" width="12.7109375" style="2" customWidth="1"/>
    <col min="8" max="8" width="11.7109375" style="4" customWidth="1"/>
    <col min="9" max="12" width="11.7109375" style="1" customWidth="1"/>
    <col min="13" max="13" width="12.7109375" style="2" customWidth="1"/>
    <col min="14" max="18" width="11.7109375" style="13" customWidth="1"/>
    <col min="19" max="19" width="12.7109375" style="1" customWidth="1"/>
    <col min="20" max="20" width="10.7109375" style="1" customWidth="1"/>
    <col min="21" max="16384" width="9.140625" style="1"/>
  </cols>
  <sheetData>
    <row r="1" spans="1:19" ht="24" customHeight="1" x14ac:dyDescent="0.2">
      <c r="A1" s="74"/>
      <c r="B1" s="125" t="s">
        <v>15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</row>
    <row r="2" spans="1:19" ht="18.75" x14ac:dyDescent="0.25">
      <c r="A2" s="126" t="s">
        <v>0</v>
      </c>
      <c r="B2" s="127" t="s">
        <v>1</v>
      </c>
      <c r="C2" s="128"/>
      <c r="D2" s="128"/>
      <c r="E2" s="128"/>
      <c r="F2" s="128"/>
      <c r="G2" s="128"/>
      <c r="H2" s="127" t="s">
        <v>2</v>
      </c>
      <c r="I2" s="128"/>
      <c r="J2" s="128"/>
      <c r="K2" s="128"/>
      <c r="L2" s="128"/>
      <c r="M2" s="128"/>
      <c r="N2" s="127" t="s">
        <v>3</v>
      </c>
      <c r="O2" s="128"/>
      <c r="P2" s="128"/>
      <c r="Q2" s="128"/>
      <c r="R2" s="128"/>
      <c r="S2" s="128"/>
    </row>
    <row r="3" spans="1:19" ht="16.149999999999999" customHeight="1" x14ac:dyDescent="0.2">
      <c r="A3" s="126"/>
      <c r="B3" s="75" t="s">
        <v>4</v>
      </c>
      <c r="C3" s="75" t="s">
        <v>5</v>
      </c>
      <c r="D3" s="75" t="s">
        <v>6</v>
      </c>
      <c r="E3" s="75" t="s">
        <v>7</v>
      </c>
      <c r="F3" s="75" t="s">
        <v>8</v>
      </c>
      <c r="G3" s="76" t="s">
        <v>9</v>
      </c>
      <c r="H3" s="77" t="s">
        <v>4</v>
      </c>
      <c r="I3" s="75" t="s">
        <v>5</v>
      </c>
      <c r="J3" s="75" t="s">
        <v>6</v>
      </c>
      <c r="K3" s="75" t="s">
        <v>7</v>
      </c>
      <c r="L3" s="75" t="s">
        <v>8</v>
      </c>
      <c r="M3" s="78" t="s">
        <v>9</v>
      </c>
      <c r="N3" s="75" t="s">
        <v>4</v>
      </c>
      <c r="O3" s="75" t="s">
        <v>5</v>
      </c>
      <c r="P3" s="75" t="s">
        <v>6</v>
      </c>
      <c r="Q3" s="75" t="s">
        <v>7</v>
      </c>
      <c r="R3" s="75" t="s">
        <v>8</v>
      </c>
      <c r="S3" s="78" t="s">
        <v>9</v>
      </c>
    </row>
    <row r="4" spans="1:19" ht="16.149999999999999" customHeight="1" x14ac:dyDescent="0.2">
      <c r="A4" s="79">
        <v>1</v>
      </c>
      <c r="B4" s="7">
        <v>404374.38</v>
      </c>
      <c r="C4" s="7">
        <v>150218.78</v>
      </c>
      <c r="D4" s="7">
        <v>42951.35</v>
      </c>
      <c r="E4" s="7">
        <v>41833.410000000003</v>
      </c>
      <c r="F4" s="7">
        <v>14070.27</v>
      </c>
      <c r="G4" s="80">
        <f t="shared" ref="G4:G34" si="0">SUM(B4:F4)</f>
        <v>653448.19000000006</v>
      </c>
      <c r="H4" s="7">
        <v>391082.77</v>
      </c>
      <c r="I4" s="7">
        <v>152382.69</v>
      </c>
      <c r="J4" s="7">
        <v>42393.58</v>
      </c>
      <c r="K4" s="7">
        <v>44659.15</v>
      </c>
      <c r="L4" s="7">
        <v>14070.27</v>
      </c>
      <c r="M4" s="80">
        <f t="shared" ref="M4:M33" si="1">SUM(H4:L4)</f>
        <v>644588.46</v>
      </c>
      <c r="N4" s="9">
        <f>371525.76+19557</f>
        <v>391082.76</v>
      </c>
      <c r="O4" s="9">
        <f>135831.24+16551.45</f>
        <v>152382.69</v>
      </c>
      <c r="P4" s="9">
        <f>41537.53+856.05</f>
        <v>42393.58</v>
      </c>
      <c r="Q4" s="9">
        <f>40447.99+4211.15</f>
        <v>44659.14</v>
      </c>
      <c r="R4" s="9">
        <f>13061.12+1009.15</f>
        <v>14070.27</v>
      </c>
      <c r="S4" s="80">
        <f t="shared" ref="S4:S33" si="2">SUM(N4:R4)</f>
        <v>644588.43999999994</v>
      </c>
    </row>
    <row r="5" spans="1:19" ht="16.149999999999999" customHeight="1" x14ac:dyDescent="0.2">
      <c r="A5" s="79">
        <v>2</v>
      </c>
      <c r="B5" s="30">
        <v>241800.83</v>
      </c>
      <c r="C5" s="7">
        <v>60613.43</v>
      </c>
      <c r="D5" s="7">
        <v>22908.79</v>
      </c>
      <c r="E5" s="7">
        <v>16461.990000000002</v>
      </c>
      <c r="F5" s="7">
        <v>8184.25</v>
      </c>
      <c r="G5" s="80">
        <f t="shared" si="0"/>
        <v>349969.29</v>
      </c>
      <c r="H5" s="7">
        <v>259044.1</v>
      </c>
      <c r="I5" s="7">
        <v>62179.44</v>
      </c>
      <c r="J5" s="7">
        <v>23571.39</v>
      </c>
      <c r="K5" s="7">
        <v>16461.990000000002</v>
      </c>
      <c r="L5" s="7">
        <v>8184.2</v>
      </c>
      <c r="M5" s="80">
        <f t="shared" si="1"/>
        <v>369441.12000000005</v>
      </c>
      <c r="N5" s="9">
        <v>259044.99</v>
      </c>
      <c r="O5" s="9">
        <f>55199.22+5863.95</f>
        <v>61063.17</v>
      </c>
      <c r="P5" s="9">
        <f>23221.09+350.3</f>
        <v>23571.39</v>
      </c>
      <c r="Q5" s="9">
        <f>14287.39+2174.6</f>
        <v>16461.989999999998</v>
      </c>
      <c r="R5" s="9">
        <f>7732.95+451.3</f>
        <v>8184.25</v>
      </c>
      <c r="S5" s="80">
        <f t="shared" si="2"/>
        <v>368325.79</v>
      </c>
    </row>
    <row r="6" spans="1:19" ht="16.149999999999999" customHeight="1" x14ac:dyDescent="0.2">
      <c r="A6" s="79">
        <v>3</v>
      </c>
      <c r="B6" s="7">
        <v>115795.03</v>
      </c>
      <c r="C6" s="7">
        <v>35251.279999999999</v>
      </c>
      <c r="D6" s="7">
        <v>12196.97</v>
      </c>
      <c r="E6" s="7">
        <v>9593.5</v>
      </c>
      <c r="F6" s="7">
        <v>3864.43</v>
      </c>
      <c r="G6" s="80">
        <f t="shared" si="0"/>
        <v>176701.21</v>
      </c>
      <c r="H6" s="7">
        <v>117165.46</v>
      </c>
      <c r="I6" s="7">
        <v>35279.870000000003</v>
      </c>
      <c r="J6" s="7">
        <v>12196.92</v>
      </c>
      <c r="K6" s="7">
        <v>9593.4599999999991</v>
      </c>
      <c r="L6" s="7">
        <v>3864.38</v>
      </c>
      <c r="M6" s="80">
        <f t="shared" si="1"/>
        <v>178100.09000000003</v>
      </c>
      <c r="N6" s="9">
        <f>112444.2+4721.25</f>
        <v>117165.45</v>
      </c>
      <c r="O6" s="9">
        <f>30836+4090.2</f>
        <v>34926.199999999997</v>
      </c>
      <c r="P6" s="9">
        <f>12030.32+166.65</f>
        <v>12196.97</v>
      </c>
      <c r="Q6" s="9">
        <f>8582.3+1011.2</f>
        <v>9593.5</v>
      </c>
      <c r="R6" s="9">
        <f>3646.38+218.05</f>
        <v>3864.4300000000003</v>
      </c>
      <c r="S6" s="80">
        <f t="shared" si="2"/>
        <v>177746.55</v>
      </c>
    </row>
    <row r="7" spans="1:19" ht="16.149999999999999" customHeight="1" x14ac:dyDescent="0.2">
      <c r="A7" s="79">
        <v>4</v>
      </c>
      <c r="B7" s="7">
        <v>407374.32</v>
      </c>
      <c r="C7" s="7">
        <v>155730.18</v>
      </c>
      <c r="D7" s="7">
        <v>43453.36</v>
      </c>
      <c r="E7" s="7">
        <v>45997.91</v>
      </c>
      <c r="F7" s="7">
        <v>13951.1</v>
      </c>
      <c r="G7" s="80">
        <f t="shared" si="0"/>
        <v>666506.87</v>
      </c>
      <c r="H7" s="7">
        <v>404184.44</v>
      </c>
      <c r="I7" s="7">
        <v>153910.1</v>
      </c>
      <c r="J7" s="7">
        <v>44342.15</v>
      </c>
      <c r="K7" s="7">
        <v>45997.91</v>
      </c>
      <c r="L7" s="7">
        <v>13951.1</v>
      </c>
      <c r="M7" s="80">
        <f t="shared" si="1"/>
        <v>662385.70000000007</v>
      </c>
      <c r="N7" s="9">
        <v>404184.44</v>
      </c>
      <c r="O7" s="9">
        <v>152513.66</v>
      </c>
      <c r="P7" s="9">
        <v>44336.21</v>
      </c>
      <c r="Q7" s="9">
        <v>45997.91</v>
      </c>
      <c r="R7" s="9">
        <v>13951.1</v>
      </c>
      <c r="S7" s="80">
        <f t="shared" si="2"/>
        <v>660983.31999999995</v>
      </c>
    </row>
    <row r="8" spans="1:19" ht="16.149999999999999" customHeight="1" x14ac:dyDescent="0.2">
      <c r="A8" s="79">
        <v>5</v>
      </c>
      <c r="B8" s="7">
        <v>415312.11</v>
      </c>
      <c r="C8" s="7">
        <v>157359.35999999999</v>
      </c>
      <c r="D8" s="7">
        <v>45053.13</v>
      </c>
      <c r="E8" s="7">
        <v>49654.71</v>
      </c>
      <c r="F8" s="7">
        <v>14010.69</v>
      </c>
      <c r="G8" s="80">
        <f t="shared" si="0"/>
        <v>681389.99999999988</v>
      </c>
      <c r="H8" s="7">
        <v>396301.03</v>
      </c>
      <c r="I8" s="7">
        <v>160609.64000000001</v>
      </c>
      <c r="J8" s="7">
        <v>45011.58</v>
      </c>
      <c r="K8" s="7">
        <v>49654.71</v>
      </c>
      <c r="L8" s="7">
        <v>14010.69</v>
      </c>
      <c r="M8" s="80">
        <f t="shared" si="1"/>
        <v>665587.64999999991</v>
      </c>
      <c r="N8" s="9">
        <f>395361.42+21550.7</f>
        <v>416912.12</v>
      </c>
      <c r="O8" s="9">
        <f>143335.79+17273.85</f>
        <v>160609.64000000001</v>
      </c>
      <c r="P8" s="9">
        <f>43947.78+1063.85</f>
        <v>45011.63</v>
      </c>
      <c r="Q8" s="9">
        <f>44902.16+4752.55</f>
        <v>49654.710000000006</v>
      </c>
      <c r="R8" s="9">
        <f>12942.59+1068.1</f>
        <v>14010.69</v>
      </c>
      <c r="S8" s="80">
        <f t="shared" si="2"/>
        <v>686198.78999999992</v>
      </c>
    </row>
    <row r="9" spans="1:19" ht="16.149999999999999" customHeight="1" x14ac:dyDescent="0.2">
      <c r="A9" s="79">
        <v>6</v>
      </c>
      <c r="B9" s="8">
        <v>411877.29</v>
      </c>
      <c r="C9" s="7">
        <v>159901.9</v>
      </c>
      <c r="D9" s="7">
        <v>44196.39</v>
      </c>
      <c r="E9" s="7">
        <v>47560.34</v>
      </c>
      <c r="F9" s="7">
        <v>14023.45</v>
      </c>
      <c r="G9" s="80">
        <f t="shared" si="0"/>
        <v>677559.36999999988</v>
      </c>
      <c r="H9" s="7">
        <v>412792.28</v>
      </c>
      <c r="I9" s="7">
        <v>160725.17000000001</v>
      </c>
      <c r="J9" s="7">
        <v>44166.22</v>
      </c>
      <c r="K9" s="7">
        <v>47560.34</v>
      </c>
      <c r="L9" s="7">
        <v>14023.45</v>
      </c>
      <c r="M9" s="80">
        <f t="shared" si="1"/>
        <v>679267.46</v>
      </c>
      <c r="N9" s="9">
        <f>391336.43+21455.9</f>
        <v>412792.33</v>
      </c>
      <c r="O9" s="9">
        <f>145029.37+15695.8</f>
        <v>160725.16999999998</v>
      </c>
      <c r="P9" s="9">
        <f>43216.31+949.95</f>
        <v>44166.259999999995</v>
      </c>
      <c r="Q9" s="9">
        <f>42923.39+4636.95</f>
        <v>47560.34</v>
      </c>
      <c r="R9" s="9">
        <f>13025.01+998.45</f>
        <v>14023.460000000001</v>
      </c>
      <c r="S9" s="80">
        <f t="shared" si="2"/>
        <v>679267.55999999994</v>
      </c>
    </row>
    <row r="10" spans="1:19" ht="16.149999999999999" customHeight="1" x14ac:dyDescent="0.2">
      <c r="A10" s="79">
        <v>7</v>
      </c>
      <c r="B10" s="7">
        <v>418068.93</v>
      </c>
      <c r="C10" s="7">
        <v>158271.96</v>
      </c>
      <c r="D10" s="7">
        <v>44847.8</v>
      </c>
      <c r="E10" s="7">
        <v>48173.01</v>
      </c>
      <c r="F10" s="7">
        <v>14151.13</v>
      </c>
      <c r="G10" s="80">
        <f t="shared" si="0"/>
        <v>683512.83000000007</v>
      </c>
      <c r="H10" s="30">
        <v>421907.16</v>
      </c>
      <c r="I10" s="7">
        <v>157817.91</v>
      </c>
      <c r="J10" s="7">
        <v>44806.62</v>
      </c>
      <c r="K10" s="7">
        <v>48173.01</v>
      </c>
      <c r="L10" s="7">
        <v>14151.13</v>
      </c>
      <c r="M10" s="80">
        <f t="shared" si="1"/>
        <v>686855.83</v>
      </c>
      <c r="N10" s="8">
        <f>395693.8+21464.4</f>
        <v>417158.2</v>
      </c>
      <c r="O10" s="8">
        <f>140880.95+16337.05</f>
        <v>157218</v>
      </c>
      <c r="P10" s="7">
        <f>43636.47+1170.15</f>
        <v>44806.62</v>
      </c>
      <c r="Q10" s="8">
        <f>43620.1+4552.9</f>
        <v>48173</v>
      </c>
      <c r="R10" s="7">
        <f>13113.19+1037.95</f>
        <v>14151.140000000001</v>
      </c>
      <c r="S10" s="80">
        <f t="shared" si="2"/>
        <v>681506.96</v>
      </c>
    </row>
    <row r="11" spans="1:19" ht="16.149999999999999" customHeight="1" x14ac:dyDescent="0.2">
      <c r="A11" s="79">
        <v>8</v>
      </c>
      <c r="B11" s="7">
        <v>414524.75</v>
      </c>
      <c r="C11" s="7">
        <v>156507.54</v>
      </c>
      <c r="D11" s="7">
        <v>44825.51</v>
      </c>
      <c r="E11" s="7">
        <v>44996.04</v>
      </c>
      <c r="F11" s="7">
        <v>14363.93</v>
      </c>
      <c r="G11" s="80">
        <f t="shared" si="0"/>
        <v>675217.77000000014</v>
      </c>
      <c r="H11" s="7">
        <v>415771.28</v>
      </c>
      <c r="I11" s="7">
        <v>156832.82</v>
      </c>
      <c r="J11" s="7">
        <v>45159.96</v>
      </c>
      <c r="K11" s="7">
        <v>44344.63</v>
      </c>
      <c r="L11" s="7">
        <v>14363.93</v>
      </c>
      <c r="M11" s="80">
        <f t="shared" si="1"/>
        <v>676472.62000000011</v>
      </c>
      <c r="N11" s="7">
        <f>390498.05+20604.85</f>
        <v>411102.89999999997</v>
      </c>
      <c r="O11" s="8">
        <f>139446.73+16740.85</f>
        <v>156187.58000000002</v>
      </c>
      <c r="P11" s="7">
        <f>43815.05+977.65</f>
        <v>44792.700000000004</v>
      </c>
      <c r="Q11" s="7">
        <f>39713.68+4180.3</f>
        <v>43893.98</v>
      </c>
      <c r="R11" s="7">
        <f>13335.33+1028.6</f>
        <v>14363.93</v>
      </c>
      <c r="S11" s="80">
        <f t="shared" si="2"/>
        <v>670341.09</v>
      </c>
    </row>
    <row r="12" spans="1:19" ht="16.149999999999999" customHeight="1" x14ac:dyDescent="0.2">
      <c r="A12" s="79">
        <v>9</v>
      </c>
      <c r="B12" s="7">
        <v>283285.34999999998</v>
      </c>
      <c r="C12" s="7">
        <v>76780.320000000007</v>
      </c>
      <c r="D12" s="7">
        <v>29456.69</v>
      </c>
      <c r="E12" s="7">
        <v>19194.18</v>
      </c>
      <c r="F12" s="7">
        <v>8873.7199999999993</v>
      </c>
      <c r="G12" s="80">
        <f t="shared" si="0"/>
        <v>417590.25999999995</v>
      </c>
      <c r="H12" s="7">
        <v>288601.11</v>
      </c>
      <c r="I12" s="7">
        <v>78910.89</v>
      </c>
      <c r="J12" s="7">
        <v>28835.51</v>
      </c>
      <c r="K12" s="7">
        <v>20296.240000000002</v>
      </c>
      <c r="L12" s="7">
        <v>8873.67</v>
      </c>
      <c r="M12" s="80">
        <f t="shared" si="1"/>
        <v>425517.42</v>
      </c>
      <c r="N12" s="9">
        <f>277097.77+11116</f>
        <v>288213.77</v>
      </c>
      <c r="O12" s="67">
        <f>69860.28+8293.95</f>
        <v>78154.23</v>
      </c>
      <c r="P12" s="9">
        <f>28095.08+522.2</f>
        <v>28617.280000000002</v>
      </c>
      <c r="Q12" s="7">
        <f>17852.1+2444.15</f>
        <v>20296.25</v>
      </c>
      <c r="R12" s="9">
        <f>8301.52+572.2</f>
        <v>8873.7200000000012</v>
      </c>
      <c r="S12" s="80">
        <f t="shared" si="2"/>
        <v>424155.25</v>
      </c>
    </row>
    <row r="13" spans="1:19" ht="16.149999999999999" customHeight="1" x14ac:dyDescent="0.2">
      <c r="A13" s="79">
        <v>10</v>
      </c>
      <c r="B13" s="7">
        <v>125580.29</v>
      </c>
      <c r="C13" s="7">
        <v>39424.19</v>
      </c>
      <c r="D13" s="7">
        <v>13868.33</v>
      </c>
      <c r="E13" s="7">
        <v>9893.67</v>
      </c>
      <c r="F13" s="7">
        <v>3626.09</v>
      </c>
      <c r="G13" s="80">
        <f t="shared" si="0"/>
        <v>192392.56999999998</v>
      </c>
      <c r="H13" s="7">
        <v>125580.25</v>
      </c>
      <c r="I13" s="7">
        <v>39429.120000000003</v>
      </c>
      <c r="J13" s="7">
        <v>14667.02</v>
      </c>
      <c r="K13" s="7">
        <v>9893.6200000000008</v>
      </c>
      <c r="L13" s="7">
        <v>3626.09</v>
      </c>
      <c r="M13" s="80">
        <f t="shared" si="1"/>
        <v>193196.09999999998</v>
      </c>
      <c r="N13" s="8">
        <f>120430.74+5149.55</f>
        <v>125580.29000000001</v>
      </c>
      <c r="O13" s="8">
        <f>35018.82+4410.3</f>
        <v>39429.120000000003</v>
      </c>
      <c r="P13" s="8">
        <f>14425.27+241.75</f>
        <v>14667.02</v>
      </c>
      <c r="Q13" s="7">
        <f>8809.82+1083.85</f>
        <v>9893.67</v>
      </c>
      <c r="R13" s="8">
        <f>3432.7+193.4</f>
        <v>3626.1</v>
      </c>
      <c r="S13" s="80">
        <f t="shared" si="2"/>
        <v>193196.2</v>
      </c>
    </row>
    <row r="14" spans="1:19" ht="16.149999999999999" customHeight="1" x14ac:dyDescent="0.2">
      <c r="A14" s="79">
        <v>11</v>
      </c>
      <c r="B14" s="7">
        <v>413108.32</v>
      </c>
      <c r="C14" s="7">
        <v>159879.81</v>
      </c>
      <c r="D14" s="7">
        <v>45025.97</v>
      </c>
      <c r="E14" s="7">
        <v>46972.49</v>
      </c>
      <c r="F14" s="7">
        <v>14125.6</v>
      </c>
      <c r="G14" s="80">
        <f t="shared" si="0"/>
        <v>679112.19</v>
      </c>
      <c r="H14" s="7">
        <v>406738.08</v>
      </c>
      <c r="I14" s="7">
        <v>159884.21</v>
      </c>
      <c r="J14" s="7">
        <v>44998.52</v>
      </c>
      <c r="K14" s="7">
        <v>45609.62</v>
      </c>
      <c r="L14" s="7">
        <v>14125.55</v>
      </c>
      <c r="M14" s="80">
        <f t="shared" si="1"/>
        <v>671355.9800000001</v>
      </c>
      <c r="N14" s="8">
        <f>385734.78+21003.3</f>
        <v>406738.08</v>
      </c>
      <c r="O14" s="7">
        <f>142347.11+17537.15</f>
        <v>159884.25999999998</v>
      </c>
      <c r="P14" s="8">
        <f>43834.03+1164.5</f>
        <v>44998.53</v>
      </c>
      <c r="Q14" s="7">
        <f>40999.27+4610.35</f>
        <v>45609.619999999995</v>
      </c>
      <c r="R14" s="8">
        <f>13034.5+1091.1</f>
        <v>14125.6</v>
      </c>
      <c r="S14" s="80">
        <f t="shared" si="2"/>
        <v>671356.09</v>
      </c>
    </row>
    <row r="15" spans="1:19" ht="16.149999999999999" customHeight="1" x14ac:dyDescent="0.2">
      <c r="A15" s="79">
        <v>12</v>
      </c>
      <c r="B15" s="7">
        <v>424157.28</v>
      </c>
      <c r="C15" s="7">
        <v>161535.72</v>
      </c>
      <c r="D15" s="7">
        <v>46698.33</v>
      </c>
      <c r="E15" s="7">
        <v>48810.64</v>
      </c>
      <c r="F15" s="7">
        <v>14274.56</v>
      </c>
      <c r="G15" s="80">
        <f t="shared" si="0"/>
        <v>695476.53</v>
      </c>
      <c r="H15" s="7">
        <v>427818.09</v>
      </c>
      <c r="I15" s="7">
        <v>158964.63</v>
      </c>
      <c r="J15" s="7">
        <v>46664.480000000003</v>
      </c>
      <c r="K15" s="7">
        <v>50173.51</v>
      </c>
      <c r="L15" s="7">
        <v>14274.56</v>
      </c>
      <c r="M15" s="80">
        <f t="shared" si="1"/>
        <v>697895.27</v>
      </c>
      <c r="N15" s="7">
        <f>404244.53+22496.75</f>
        <v>426741.28</v>
      </c>
      <c r="O15" s="8">
        <f>141437.29+17100.45</f>
        <v>158537.74000000002</v>
      </c>
      <c r="P15" s="7">
        <f>45546.22+1118.3</f>
        <v>46664.520000000004</v>
      </c>
      <c r="Q15" s="7">
        <f>45302.81+4870.7</f>
        <v>50173.509999999995</v>
      </c>
      <c r="R15" s="7">
        <f>13190.56+1084</f>
        <v>14274.56</v>
      </c>
      <c r="S15" s="80">
        <f t="shared" si="2"/>
        <v>696391.6100000001</v>
      </c>
    </row>
    <row r="16" spans="1:19" ht="16.149999999999999" customHeight="1" x14ac:dyDescent="0.2">
      <c r="A16" s="79">
        <v>13</v>
      </c>
      <c r="B16" s="7">
        <v>422206.18</v>
      </c>
      <c r="C16" s="7">
        <v>162191.72</v>
      </c>
      <c r="D16" s="7">
        <v>46385.16</v>
      </c>
      <c r="E16" s="7">
        <v>48143.07</v>
      </c>
      <c r="F16" s="7">
        <v>14061.76</v>
      </c>
      <c r="G16" s="80">
        <f t="shared" si="0"/>
        <v>692987.89</v>
      </c>
      <c r="H16" s="7">
        <v>420437.89</v>
      </c>
      <c r="I16" s="7">
        <v>165074.07</v>
      </c>
      <c r="J16" s="7">
        <v>45625.97</v>
      </c>
      <c r="K16" s="7">
        <v>48143.02</v>
      </c>
      <c r="L16" s="7">
        <v>13265.89</v>
      </c>
      <c r="M16" s="80">
        <f t="shared" si="1"/>
        <v>692546.84</v>
      </c>
      <c r="N16" s="7">
        <f>398285.95+22149.65</f>
        <v>420435.60000000003</v>
      </c>
      <c r="O16" s="7">
        <f>145880.29+18378.5</f>
        <v>164258.79</v>
      </c>
      <c r="P16" s="7">
        <f>44519.12+1106.85</f>
        <v>45625.97</v>
      </c>
      <c r="Q16" s="7">
        <f>43681.12+4461.95</f>
        <v>48143.07</v>
      </c>
      <c r="R16" s="7">
        <f>12289.14+976.75</f>
        <v>13265.89</v>
      </c>
      <c r="S16" s="80">
        <f t="shared" si="2"/>
        <v>691729.32</v>
      </c>
    </row>
    <row r="17" spans="1:20" ht="16.149999999999999" customHeight="1" x14ac:dyDescent="0.2">
      <c r="A17" s="79">
        <v>14</v>
      </c>
      <c r="B17" s="7">
        <v>414469.85</v>
      </c>
      <c r="C17" s="7">
        <v>150204.9</v>
      </c>
      <c r="D17" s="7">
        <v>46886.75</v>
      </c>
      <c r="E17" s="7">
        <v>42531.85</v>
      </c>
      <c r="F17" s="7">
        <v>14035.3</v>
      </c>
      <c r="G17" s="80">
        <f t="shared" si="0"/>
        <v>668128.65</v>
      </c>
      <c r="H17" s="7">
        <v>400301.79</v>
      </c>
      <c r="I17" s="7">
        <v>129512.1</v>
      </c>
      <c r="J17" s="7">
        <v>45600</v>
      </c>
      <c r="K17" s="7">
        <v>40677.46</v>
      </c>
      <c r="L17" s="7">
        <v>14219.23</v>
      </c>
      <c r="M17" s="80">
        <f t="shared" si="1"/>
        <v>630310.57999999996</v>
      </c>
      <c r="N17" s="7">
        <f>378934.82+21381.75</f>
        <v>400316.57</v>
      </c>
      <c r="O17" s="8">
        <f>114970.59+14243.3</f>
        <v>129213.89</v>
      </c>
      <c r="P17" s="7">
        <f>44610.94+995</f>
        <v>45605.94</v>
      </c>
      <c r="Q17" s="7">
        <f>36707.91+3969.55</f>
        <v>40677.460000000006</v>
      </c>
      <c r="R17" s="7">
        <f>13146.93+1072.3</f>
        <v>14219.23</v>
      </c>
      <c r="S17" s="80">
        <f t="shared" si="2"/>
        <v>630033.08999999985</v>
      </c>
    </row>
    <row r="18" spans="1:20" ht="16.149999999999999" customHeight="1" x14ac:dyDescent="0.2">
      <c r="A18" s="79">
        <v>15</v>
      </c>
      <c r="B18" s="7">
        <v>153436.6</v>
      </c>
      <c r="C18" s="7">
        <v>47426.05</v>
      </c>
      <c r="D18" s="7">
        <v>16738.599999999999</v>
      </c>
      <c r="E18" s="7">
        <v>11273.85</v>
      </c>
      <c r="F18" s="7">
        <v>4668.05</v>
      </c>
      <c r="G18" s="80">
        <f t="shared" si="0"/>
        <v>233543.15000000002</v>
      </c>
      <c r="H18" s="7">
        <v>148394.21</v>
      </c>
      <c r="I18" s="7">
        <v>58490.89</v>
      </c>
      <c r="J18" s="7">
        <v>15380.44</v>
      </c>
      <c r="K18" s="7">
        <v>10782.26</v>
      </c>
      <c r="L18" s="7">
        <v>4464.4799999999996</v>
      </c>
      <c r="M18" s="80">
        <f t="shared" si="1"/>
        <v>237512.28</v>
      </c>
      <c r="N18" s="9">
        <f>141630.66+6763.55</f>
        <v>148394.21</v>
      </c>
      <c r="O18" s="67">
        <f>52753.79+5737.1</f>
        <v>58490.89</v>
      </c>
      <c r="P18" s="9">
        <f>15044.89+335.6</f>
        <v>15380.49</v>
      </c>
      <c r="Q18" s="7">
        <f>9725.91+1056.4</f>
        <v>10782.31</v>
      </c>
      <c r="R18" s="9">
        <f>4148.63+315.9</f>
        <v>4464.53</v>
      </c>
      <c r="S18" s="80">
        <f t="shared" si="2"/>
        <v>237512.42999999996</v>
      </c>
    </row>
    <row r="19" spans="1:20" ht="16.149999999999999" customHeight="1" x14ac:dyDescent="0.2">
      <c r="A19" s="79">
        <v>16</v>
      </c>
      <c r="B19" s="7">
        <v>260707.95</v>
      </c>
      <c r="C19" s="30">
        <v>69067.25</v>
      </c>
      <c r="D19" s="30">
        <v>28546.3</v>
      </c>
      <c r="E19" s="30">
        <v>16327.55</v>
      </c>
      <c r="F19" s="30">
        <v>8521.75</v>
      </c>
      <c r="G19" s="80">
        <f t="shared" si="0"/>
        <v>383170.8</v>
      </c>
      <c r="H19" s="7">
        <v>248723.44</v>
      </c>
      <c r="I19" s="30">
        <v>66055.92</v>
      </c>
      <c r="J19" s="30">
        <v>27918.27</v>
      </c>
      <c r="K19" s="30">
        <v>13908.97</v>
      </c>
      <c r="L19" s="30">
        <v>8150.2</v>
      </c>
      <c r="M19" s="80">
        <f t="shared" si="1"/>
        <v>364756.8</v>
      </c>
      <c r="N19" s="7">
        <f>239357.59+9365.85</f>
        <v>248723.44</v>
      </c>
      <c r="O19" s="8">
        <f>59384.97+6670.95</f>
        <v>66055.92</v>
      </c>
      <c r="P19" s="7">
        <f>27422.72+495.55</f>
        <v>27918.27</v>
      </c>
      <c r="Q19" s="9">
        <f>13831.17+1784.5</f>
        <v>15615.67</v>
      </c>
      <c r="R19" s="7">
        <f>7736.75+413.45</f>
        <v>8150.2</v>
      </c>
      <c r="S19" s="80">
        <f t="shared" si="2"/>
        <v>366463.5</v>
      </c>
    </row>
    <row r="20" spans="1:20" ht="16.149999999999999" customHeight="1" x14ac:dyDescent="0.2">
      <c r="A20" s="79">
        <v>17</v>
      </c>
      <c r="B20" s="7">
        <v>118673.27</v>
      </c>
      <c r="C20" s="30">
        <v>37165.9</v>
      </c>
      <c r="D20" s="30">
        <v>12768.75</v>
      </c>
      <c r="E20" s="30">
        <v>9189.81</v>
      </c>
      <c r="F20" s="30">
        <v>3481.39</v>
      </c>
      <c r="G20" s="80">
        <f t="shared" si="0"/>
        <v>181279.12000000002</v>
      </c>
      <c r="H20" s="7">
        <v>119520.69</v>
      </c>
      <c r="I20" s="30">
        <v>37165.9</v>
      </c>
      <c r="J20" s="30">
        <v>12768.04</v>
      </c>
      <c r="K20" s="30">
        <v>9189.76</v>
      </c>
      <c r="L20" s="30">
        <v>3481.34</v>
      </c>
      <c r="M20" s="80">
        <f t="shared" si="1"/>
        <v>182125.73</v>
      </c>
      <c r="N20" s="7">
        <f>114648.19+4872.55</f>
        <v>119520.74</v>
      </c>
      <c r="O20" s="8">
        <f>33053.05+4112.85</f>
        <v>37165.9</v>
      </c>
      <c r="P20" s="7">
        <f>12484.88+283.2</f>
        <v>12768.08</v>
      </c>
      <c r="Q20" s="7">
        <f>8199.41+990.4</f>
        <v>9189.81</v>
      </c>
      <c r="R20" s="7">
        <f>3269.74+211.65</f>
        <v>3481.39</v>
      </c>
      <c r="S20" s="80">
        <f t="shared" si="2"/>
        <v>182125.92</v>
      </c>
    </row>
    <row r="21" spans="1:20" ht="16.149999999999999" customHeight="1" x14ac:dyDescent="0.2">
      <c r="A21" s="79">
        <v>18</v>
      </c>
      <c r="B21" s="7">
        <v>405240.5</v>
      </c>
      <c r="C21" s="30">
        <v>153919.09</v>
      </c>
      <c r="D21" s="30">
        <v>44496.18</v>
      </c>
      <c r="E21" s="30">
        <v>47241.09</v>
      </c>
      <c r="F21" s="30">
        <v>13431.87</v>
      </c>
      <c r="G21" s="80">
        <f t="shared" si="0"/>
        <v>664328.73</v>
      </c>
      <c r="H21" s="7">
        <v>400477.82</v>
      </c>
      <c r="I21" s="30">
        <v>157065.60000000001</v>
      </c>
      <c r="J21" s="30">
        <v>44465</v>
      </c>
      <c r="K21" s="30">
        <v>47241.09</v>
      </c>
      <c r="L21" s="30">
        <v>13431.87</v>
      </c>
      <c r="M21" s="80">
        <f t="shared" si="1"/>
        <v>662681.38</v>
      </c>
      <c r="N21" s="7">
        <f>378979.02+21317.95</f>
        <v>400296.97000000003</v>
      </c>
      <c r="O21" s="30">
        <f>137613.07+17982.6</f>
        <v>155595.67000000001</v>
      </c>
      <c r="P21" s="7">
        <f>43343.99+1121.05</f>
        <v>44465.04</v>
      </c>
      <c r="Q21" s="7">
        <f>42771.5+4469.6</f>
        <v>47241.1</v>
      </c>
      <c r="R21" s="7">
        <f>12464.67+967.2</f>
        <v>13431.87</v>
      </c>
      <c r="S21" s="80">
        <f>SUM(N21:R21)</f>
        <v>661030.65</v>
      </c>
    </row>
    <row r="22" spans="1:20" ht="16.149999999999999" customHeight="1" x14ac:dyDescent="0.2">
      <c r="A22" s="79">
        <v>19</v>
      </c>
      <c r="B22" s="7">
        <v>415003</v>
      </c>
      <c r="C22" s="7">
        <v>158750.10999999999</v>
      </c>
      <c r="D22" s="7">
        <v>44581.53</v>
      </c>
      <c r="E22" s="7">
        <v>47373.03</v>
      </c>
      <c r="F22" s="7">
        <v>14287.32</v>
      </c>
      <c r="G22" s="80">
        <f t="shared" si="0"/>
        <v>679994.99</v>
      </c>
      <c r="H22" s="7">
        <v>418658.36</v>
      </c>
      <c r="I22" s="7">
        <v>161149</v>
      </c>
      <c r="J22" s="7">
        <v>43996.5</v>
      </c>
      <c r="K22" s="7">
        <v>45767.85</v>
      </c>
      <c r="L22" s="7">
        <v>14287.32</v>
      </c>
      <c r="M22" s="80">
        <f t="shared" si="1"/>
        <v>683859.02999999991</v>
      </c>
      <c r="N22" s="7">
        <f>395857.86+22800.5</f>
        <v>418658.36</v>
      </c>
      <c r="O22" s="8">
        <f>139755.3+17020.95</f>
        <v>156776.25</v>
      </c>
      <c r="P22" s="7">
        <f>42945.76+1050.8</f>
        <v>43996.560000000005</v>
      </c>
      <c r="Q22" s="7">
        <f>41425.25+4342.6</f>
        <v>45767.85</v>
      </c>
      <c r="R22" s="7">
        <f>13181.98+1105.35</f>
        <v>14287.33</v>
      </c>
      <c r="S22" s="80">
        <f t="shared" si="2"/>
        <v>679486.35</v>
      </c>
    </row>
    <row r="23" spans="1:20" ht="16.149999999999999" customHeight="1" x14ac:dyDescent="0.2">
      <c r="A23" s="79">
        <v>20</v>
      </c>
      <c r="B23" s="7">
        <v>399763.1</v>
      </c>
      <c r="C23" s="7">
        <v>146996.76999999999</v>
      </c>
      <c r="D23" s="7">
        <v>44239.48</v>
      </c>
      <c r="E23" s="7">
        <v>37175.839999999997</v>
      </c>
      <c r="F23" s="7">
        <v>13427.62</v>
      </c>
      <c r="G23" s="80">
        <f t="shared" si="0"/>
        <v>641602.80999999994</v>
      </c>
      <c r="H23" s="7">
        <v>399890.25</v>
      </c>
      <c r="I23" s="7">
        <v>134541.24</v>
      </c>
      <c r="J23" s="7">
        <v>45247.43</v>
      </c>
      <c r="K23" s="7">
        <v>38781.019999999997</v>
      </c>
      <c r="L23" s="7">
        <v>13431.87</v>
      </c>
      <c r="M23" s="80">
        <f t="shared" si="1"/>
        <v>631891.81000000006</v>
      </c>
      <c r="N23" s="9">
        <f>384515.04+20608.1</f>
        <v>405123.13999999996</v>
      </c>
      <c r="O23" s="67">
        <f>134302.86+15328.25</f>
        <v>149631.10999999999</v>
      </c>
      <c r="P23" s="9">
        <f>44806.12+1049.1</f>
        <v>45855.22</v>
      </c>
      <c r="Q23" s="9">
        <f>35698.37+3571.85</f>
        <v>39270.22</v>
      </c>
      <c r="R23" s="9">
        <f>12579.95+1015</f>
        <v>13594.95</v>
      </c>
      <c r="S23" s="80">
        <f t="shared" si="2"/>
        <v>653474.6399999999</v>
      </c>
    </row>
    <row r="24" spans="1:20" ht="16.149999999999999" customHeight="1" x14ac:dyDescent="0.2">
      <c r="A24" s="79">
        <v>21</v>
      </c>
      <c r="B24" s="7">
        <v>158072.12</v>
      </c>
      <c r="C24" s="7">
        <v>53632.66</v>
      </c>
      <c r="D24" s="7">
        <v>16615.439999999999</v>
      </c>
      <c r="E24" s="7">
        <v>10766.58</v>
      </c>
      <c r="F24" s="7">
        <v>4885.87</v>
      </c>
      <c r="G24" s="80">
        <f t="shared" si="0"/>
        <v>243972.66999999998</v>
      </c>
      <c r="H24" s="7">
        <v>160991.67000000001</v>
      </c>
      <c r="I24" s="7">
        <v>53632.66</v>
      </c>
      <c r="J24" s="7">
        <v>16542.759999999998</v>
      </c>
      <c r="K24" s="7">
        <v>10766.53</v>
      </c>
      <c r="L24" s="7">
        <v>4885.87</v>
      </c>
      <c r="M24" s="80">
        <f t="shared" si="1"/>
        <v>246819.49000000002</v>
      </c>
      <c r="N24" s="7">
        <f>153235.22+7756.5</f>
        <v>160991.72</v>
      </c>
      <c r="O24" s="67">
        <f>48408.52+5224.15</f>
        <v>53632.67</v>
      </c>
      <c r="P24" s="9">
        <f>16189.96+352.8</f>
        <v>16542.759999999998</v>
      </c>
      <c r="Q24" s="7">
        <f>9722.93+1043.65</f>
        <v>10766.58</v>
      </c>
      <c r="R24" s="9">
        <f>4529.06+356.8</f>
        <v>4885.8600000000006</v>
      </c>
      <c r="S24" s="80">
        <f t="shared" si="2"/>
        <v>246819.59000000003</v>
      </c>
    </row>
    <row r="25" spans="1:20" ht="16.149999999999999" customHeight="1" x14ac:dyDescent="0.2">
      <c r="A25" s="79">
        <v>22</v>
      </c>
      <c r="B25" s="7">
        <v>317409.55</v>
      </c>
      <c r="C25" s="7">
        <v>105269.32</v>
      </c>
      <c r="D25" s="7">
        <v>34007.339999999997</v>
      </c>
      <c r="E25" s="7">
        <v>23482.01</v>
      </c>
      <c r="F25" s="7">
        <v>10171.790000000001</v>
      </c>
      <c r="G25" s="80">
        <f t="shared" si="0"/>
        <v>490340.00999999995</v>
      </c>
      <c r="H25" s="7">
        <v>316413.65000000002</v>
      </c>
      <c r="I25" s="7">
        <v>105313.60000000001</v>
      </c>
      <c r="J25" s="7">
        <v>33401.5</v>
      </c>
      <c r="K25" s="7">
        <v>22764.18</v>
      </c>
      <c r="L25" s="7">
        <v>10171.790000000001</v>
      </c>
      <c r="M25" s="80">
        <f t="shared" si="1"/>
        <v>488064.72</v>
      </c>
      <c r="N25" s="7">
        <f>300613.36+15978.85</f>
        <v>316592.20999999996</v>
      </c>
      <c r="O25" s="8">
        <f>94198.81+11214.55</f>
        <v>105413.36</v>
      </c>
      <c r="P25" s="7">
        <f>32682.1+719.4</f>
        <v>33401.5</v>
      </c>
      <c r="Q25" s="7">
        <f>20024.98+2739.25</f>
        <v>22764.23</v>
      </c>
      <c r="R25" s="7">
        <f>9433.94+737.85</f>
        <v>10171.790000000001</v>
      </c>
      <c r="S25" s="80">
        <f t="shared" si="2"/>
        <v>488343.08999999991</v>
      </c>
    </row>
    <row r="26" spans="1:20" ht="16.149999999999999" customHeight="1" x14ac:dyDescent="0.2">
      <c r="A26" s="79">
        <v>23</v>
      </c>
      <c r="B26" s="7">
        <v>169670.95</v>
      </c>
      <c r="C26" s="7">
        <v>51743.25</v>
      </c>
      <c r="D26" s="7">
        <v>18320.18</v>
      </c>
      <c r="E26" s="7">
        <v>9347.0400000000009</v>
      </c>
      <c r="F26" s="7">
        <v>5149.74</v>
      </c>
      <c r="G26" s="80">
        <f t="shared" si="0"/>
        <v>254231.16</v>
      </c>
      <c r="H26" s="7">
        <v>175422.55</v>
      </c>
      <c r="I26" s="7">
        <v>51743.199999999997</v>
      </c>
      <c r="J26" s="7">
        <v>18232.28</v>
      </c>
      <c r="K26" s="7">
        <v>9347.0400000000009</v>
      </c>
      <c r="L26" s="7">
        <v>5149.74</v>
      </c>
      <c r="M26" s="80">
        <f t="shared" si="1"/>
        <v>259894.81</v>
      </c>
      <c r="N26" s="7">
        <f>163829.47+7386.4</f>
        <v>171215.87</v>
      </c>
      <c r="O26" s="8">
        <f>46486.4+5256.85</f>
        <v>51743.25</v>
      </c>
      <c r="P26" s="7">
        <f>17937.18+295.15</f>
        <v>18232.330000000002</v>
      </c>
      <c r="Q26" s="7">
        <f>8371.79+975.25</f>
        <v>9347.0400000000009</v>
      </c>
      <c r="R26" s="7">
        <f>4838.13+311.6</f>
        <v>5149.7300000000005</v>
      </c>
      <c r="S26" s="80">
        <f t="shared" si="2"/>
        <v>255688.22000000003</v>
      </c>
    </row>
    <row r="27" spans="1:20" ht="16.149999999999999" customHeight="1" x14ac:dyDescent="0.2">
      <c r="A27" s="79">
        <v>24</v>
      </c>
      <c r="B27" s="7">
        <v>113571.64</v>
      </c>
      <c r="C27" s="7">
        <v>39485.599999999999</v>
      </c>
      <c r="D27" s="7">
        <v>12587.85</v>
      </c>
      <c r="E27" s="7">
        <v>7491.58</v>
      </c>
      <c r="F27" s="7">
        <v>3281.36</v>
      </c>
      <c r="G27" s="80">
        <f t="shared" si="0"/>
        <v>176418.02999999997</v>
      </c>
      <c r="H27" s="7">
        <v>117142.69</v>
      </c>
      <c r="I27" s="7">
        <v>39485.550000000003</v>
      </c>
      <c r="J27" s="7">
        <v>12892.27</v>
      </c>
      <c r="K27" s="7">
        <v>8660.01</v>
      </c>
      <c r="L27" s="7">
        <v>3281.36</v>
      </c>
      <c r="M27" s="80">
        <f t="shared" si="1"/>
        <v>181461.87999999998</v>
      </c>
      <c r="N27" s="7">
        <f>107640.8+5228.6</f>
        <v>112869.40000000001</v>
      </c>
      <c r="O27" s="8">
        <f>34678+4807.6</f>
        <v>39485.599999999999</v>
      </c>
      <c r="P27" s="7">
        <f>12290.71+234.35</f>
        <v>12525.06</v>
      </c>
      <c r="Q27" s="7">
        <f>7292.25+917.1</f>
        <v>8209.35</v>
      </c>
      <c r="R27" s="7">
        <f>3072.61+208.75</f>
        <v>3281.36</v>
      </c>
      <c r="S27" s="80">
        <f t="shared" si="2"/>
        <v>176370.77</v>
      </c>
      <c r="T27" s="3"/>
    </row>
    <row r="28" spans="1:20" ht="16.149999999999999" customHeight="1" x14ac:dyDescent="0.2">
      <c r="A28" s="79">
        <v>25</v>
      </c>
      <c r="B28" s="7">
        <v>397985.78</v>
      </c>
      <c r="C28" s="7">
        <v>152870.07</v>
      </c>
      <c r="D28" s="7">
        <v>43834.82</v>
      </c>
      <c r="E28" s="7">
        <v>45315.48</v>
      </c>
      <c r="F28" s="7">
        <v>13487.2</v>
      </c>
      <c r="G28" s="80">
        <f t="shared" si="0"/>
        <v>653493.35</v>
      </c>
      <c r="H28" s="7">
        <v>398618.91</v>
      </c>
      <c r="I28" s="7">
        <v>152026.62</v>
      </c>
      <c r="J28" s="7">
        <v>43013.99</v>
      </c>
      <c r="K28" s="7">
        <v>45315.48</v>
      </c>
      <c r="L28" s="7">
        <v>12477.39</v>
      </c>
      <c r="M28" s="80">
        <f t="shared" si="1"/>
        <v>651452.39</v>
      </c>
      <c r="N28" s="9">
        <f>375513.04+22009.7</f>
        <v>397522.74</v>
      </c>
      <c r="O28" s="67">
        <f>134915.12+17111.55</f>
        <v>152026.66999999998</v>
      </c>
      <c r="P28" s="9">
        <f>41718.88+1106.9</f>
        <v>42825.78</v>
      </c>
      <c r="Q28" s="7">
        <f>40613.52+4701.95</f>
        <v>45315.469999999994</v>
      </c>
      <c r="R28" s="9">
        <f>12431.35+1055.85</f>
        <v>13487.2</v>
      </c>
      <c r="S28" s="80">
        <f t="shared" si="2"/>
        <v>651177.85999999987</v>
      </c>
      <c r="T28" s="3"/>
    </row>
    <row r="29" spans="1:20" ht="16.149999999999999" customHeight="1" x14ac:dyDescent="0.2">
      <c r="A29" s="79">
        <v>26</v>
      </c>
      <c r="B29" s="7">
        <v>408152.12</v>
      </c>
      <c r="C29" s="7">
        <v>154668.57999999999</v>
      </c>
      <c r="D29" s="7">
        <v>45507.19</v>
      </c>
      <c r="E29" s="7">
        <v>47509.22</v>
      </c>
      <c r="F29" s="7">
        <v>13951.1</v>
      </c>
      <c r="G29" s="80">
        <f t="shared" si="0"/>
        <v>669788.20999999985</v>
      </c>
      <c r="H29" s="7">
        <v>407193.04</v>
      </c>
      <c r="I29" s="7">
        <v>155529.88</v>
      </c>
      <c r="J29" s="7">
        <v>44964.38</v>
      </c>
      <c r="K29" s="7">
        <v>43036.9</v>
      </c>
      <c r="L29" s="7">
        <v>13951.1</v>
      </c>
      <c r="M29" s="80">
        <f t="shared" si="1"/>
        <v>664675.29999999993</v>
      </c>
      <c r="N29" s="9">
        <f>383604.54+22795.5</f>
        <v>406400.04</v>
      </c>
      <c r="O29" s="67">
        <f>137491.48+17081.7</f>
        <v>154573.18000000002</v>
      </c>
      <c r="P29" s="9">
        <f>44911.49+1213.05</f>
        <v>46124.54</v>
      </c>
      <c r="Q29" s="7">
        <f>42833.02+4676.2</f>
        <v>47509.219999999994</v>
      </c>
      <c r="R29" s="9">
        <f>12809.55+1141.55</f>
        <v>13951.099999999999</v>
      </c>
      <c r="S29" s="80">
        <f t="shared" si="2"/>
        <v>668558.07999999996</v>
      </c>
      <c r="T29" s="3"/>
    </row>
    <row r="30" spans="1:20" ht="16.149999999999999" customHeight="1" x14ac:dyDescent="0.2">
      <c r="A30" s="79">
        <v>27</v>
      </c>
      <c r="B30" s="7">
        <v>405649.6</v>
      </c>
      <c r="C30" s="7">
        <v>154815.39000000001</v>
      </c>
      <c r="D30" s="7">
        <v>45002.49</v>
      </c>
      <c r="E30" s="7">
        <v>46978.89</v>
      </c>
      <c r="F30" s="7">
        <v>13904.29</v>
      </c>
      <c r="G30" s="80">
        <f t="shared" si="0"/>
        <v>666350.66</v>
      </c>
      <c r="H30" s="7">
        <v>341977.08</v>
      </c>
      <c r="I30" s="7">
        <v>151563.57999999999</v>
      </c>
      <c r="J30" s="7">
        <v>39237.17</v>
      </c>
      <c r="K30" s="7">
        <v>43504.25</v>
      </c>
      <c r="L30" s="7">
        <v>13189.28</v>
      </c>
      <c r="M30" s="80">
        <f t="shared" si="1"/>
        <v>589471.3600000001</v>
      </c>
      <c r="N30" s="67">
        <f>323782.53+18194.6</f>
        <v>341977.13</v>
      </c>
      <c r="O30" s="8">
        <f>135487.23+16076.4</f>
        <v>151563.63</v>
      </c>
      <c r="P30" s="7">
        <f>38149.7+1078.05</f>
        <v>39227.75</v>
      </c>
      <c r="Q30" s="7">
        <f>39470.39+4033.9</f>
        <v>43504.29</v>
      </c>
      <c r="R30" s="7">
        <f>12166.43+1022.85</f>
        <v>13189.28</v>
      </c>
      <c r="S30" s="80">
        <f t="shared" si="2"/>
        <v>589462.08000000007</v>
      </c>
      <c r="T30" s="3"/>
    </row>
    <row r="31" spans="1:20" ht="16.149999999999999" customHeight="1" x14ac:dyDescent="0.2">
      <c r="A31" s="79">
        <v>28</v>
      </c>
      <c r="B31" s="7">
        <v>410378.47</v>
      </c>
      <c r="C31" s="7">
        <v>153673.78</v>
      </c>
      <c r="D31" s="7">
        <v>45889.08</v>
      </c>
      <c r="E31" s="7">
        <v>46995.39</v>
      </c>
      <c r="F31" s="7">
        <v>13857.47</v>
      </c>
      <c r="G31" s="80">
        <f t="shared" si="0"/>
        <v>670794.18999999994</v>
      </c>
      <c r="H31" s="7">
        <v>473622.91</v>
      </c>
      <c r="I31" s="7">
        <v>155500.93</v>
      </c>
      <c r="J31" s="7">
        <v>51292.35</v>
      </c>
      <c r="K31" s="7">
        <v>51403.63</v>
      </c>
      <c r="L31" s="7">
        <v>14048.99</v>
      </c>
      <c r="M31" s="80">
        <f t="shared" si="1"/>
        <v>745868.80999999994</v>
      </c>
      <c r="N31" s="7">
        <f>445419.81+26958.25</f>
        <v>472378.06</v>
      </c>
      <c r="O31" s="7">
        <f>138249.45+16832</f>
        <v>155081.45000000001</v>
      </c>
      <c r="P31" s="7">
        <f>49910.8+1381.55</f>
        <v>51292.350000000006</v>
      </c>
      <c r="Q31" s="7">
        <f>46362.38+5041.25</f>
        <v>51403.63</v>
      </c>
      <c r="R31" s="7">
        <f>12863.49+1185.5</f>
        <v>14048.99</v>
      </c>
      <c r="S31" s="80">
        <f t="shared" si="2"/>
        <v>744204.48</v>
      </c>
    </row>
    <row r="32" spans="1:20" ht="16.149999999999999" customHeight="1" x14ac:dyDescent="0.2">
      <c r="A32" s="79">
        <v>29</v>
      </c>
      <c r="B32" s="7">
        <v>409363.21</v>
      </c>
      <c r="C32" s="7">
        <v>152808.38</v>
      </c>
      <c r="D32" s="7">
        <v>45057.49</v>
      </c>
      <c r="E32" s="7">
        <v>44835.27</v>
      </c>
      <c r="F32" s="7">
        <v>13521.25</v>
      </c>
      <c r="G32" s="80">
        <f t="shared" si="0"/>
        <v>665585.60000000009</v>
      </c>
      <c r="H32" s="7">
        <v>365243.47</v>
      </c>
      <c r="I32" s="7">
        <v>150367.07</v>
      </c>
      <c r="J32" s="7">
        <v>39134.120000000003</v>
      </c>
      <c r="K32" s="7">
        <v>40210.83</v>
      </c>
      <c r="L32" s="7">
        <v>12597.7</v>
      </c>
      <c r="M32" s="80">
        <f t="shared" si="1"/>
        <v>607553.18999999994</v>
      </c>
      <c r="N32" s="9">
        <f>345301.04+20100.95</f>
        <v>365401.99</v>
      </c>
      <c r="O32" s="9">
        <f>133592.03+17068.85</f>
        <v>150660.88</v>
      </c>
      <c r="P32" s="9">
        <f>38268.67+865.45</f>
        <v>39134.119999999995</v>
      </c>
      <c r="Q32" s="9">
        <f>36620.68+3590.15</f>
        <v>40210.83</v>
      </c>
      <c r="R32" s="9">
        <f>11575.85+1021.85</f>
        <v>12597.7</v>
      </c>
      <c r="S32" s="80">
        <f t="shared" si="2"/>
        <v>608005.5199999999</v>
      </c>
    </row>
    <row r="33" spans="1:20" ht="16.149999999999999" customHeight="1" x14ac:dyDescent="0.2">
      <c r="A33" s="79">
        <v>30</v>
      </c>
      <c r="B33" s="7">
        <v>238162.78</v>
      </c>
      <c r="C33" s="7">
        <v>68396.320000000007</v>
      </c>
      <c r="D33" s="7">
        <v>26303.439999999999</v>
      </c>
      <c r="E33" s="7">
        <v>14947.05</v>
      </c>
      <c r="F33" s="7">
        <v>7596.92</v>
      </c>
      <c r="G33" s="80">
        <f t="shared" si="0"/>
        <v>355406.50999999995</v>
      </c>
      <c r="H33" s="7">
        <v>282266.01</v>
      </c>
      <c r="I33" s="7">
        <v>71063.72</v>
      </c>
      <c r="J33" s="7">
        <v>31942.66</v>
      </c>
      <c r="K33" s="7">
        <v>18181.36</v>
      </c>
      <c r="L33" s="7">
        <v>9043.9599999999991</v>
      </c>
      <c r="M33" s="80">
        <f t="shared" si="1"/>
        <v>412497.70999999996</v>
      </c>
      <c r="N33" s="9">
        <f>269411.96+12849.8</f>
        <v>282261.76000000001</v>
      </c>
      <c r="O33" s="9">
        <f>63830.12+6935.35</f>
        <v>70765.47</v>
      </c>
      <c r="P33" s="9">
        <f>31207.25+735.45</f>
        <v>31942.7</v>
      </c>
      <c r="Q33" s="9">
        <f>15957.55+2223.8</f>
        <v>18181.349999999999</v>
      </c>
      <c r="R33" s="9">
        <f>8421.31+622.65</f>
        <v>9043.9599999999991</v>
      </c>
      <c r="S33" s="80">
        <f t="shared" si="2"/>
        <v>412195.24</v>
      </c>
    </row>
    <row r="34" spans="1:20" ht="16.149999999999999" customHeight="1" thickBot="1" x14ac:dyDescent="0.25">
      <c r="A34" s="39" t="s">
        <v>10</v>
      </c>
      <c r="B34" s="68">
        <f>SUM(B4:B33)</f>
        <v>9693175.5499999989</v>
      </c>
      <c r="C34" s="69">
        <f>SUM(C4:C33)</f>
        <v>3484559.6099999994</v>
      </c>
      <c r="D34" s="70">
        <f>SUM(D4:D33)</f>
        <v>1053250.69</v>
      </c>
      <c r="E34" s="70">
        <f>SUM(E4:E33)</f>
        <v>986066.49000000011</v>
      </c>
      <c r="F34" s="70">
        <f>SUM(F4:F33)</f>
        <v>323241.2699999999</v>
      </c>
      <c r="G34" s="71">
        <f t="shared" si="0"/>
        <v>15540293.609999998</v>
      </c>
      <c r="H34" s="68">
        <f t="shared" ref="H34:S34" si="3">SUM(H4:H33)</f>
        <v>9662282.4800000023</v>
      </c>
      <c r="I34" s="70">
        <f t="shared" si="3"/>
        <v>3472208.0200000005</v>
      </c>
      <c r="J34" s="70">
        <f t="shared" si="3"/>
        <v>1048469.0800000002</v>
      </c>
      <c r="K34" s="70">
        <f t="shared" si="3"/>
        <v>980099.83000000007</v>
      </c>
      <c r="L34" s="70">
        <f t="shared" si="3"/>
        <v>321048.40000000008</v>
      </c>
      <c r="M34" s="72">
        <f t="shared" si="3"/>
        <v>15484107.810000002</v>
      </c>
      <c r="N34" s="68">
        <f t="shared" si="3"/>
        <v>9665796.5600000024</v>
      </c>
      <c r="O34" s="70">
        <f t="shared" si="3"/>
        <v>3473766.0399999996</v>
      </c>
      <c r="P34" s="70">
        <f t="shared" si="3"/>
        <v>1049087.1700000002</v>
      </c>
      <c r="Q34" s="70">
        <f t="shared" si="3"/>
        <v>985867.1</v>
      </c>
      <c r="R34" s="70">
        <f t="shared" si="3"/>
        <v>322221.6100000001</v>
      </c>
      <c r="S34" s="73">
        <f t="shared" si="3"/>
        <v>15496738.48</v>
      </c>
      <c r="T34" s="17"/>
    </row>
  </sheetData>
  <mergeCells count="5">
    <mergeCell ref="A2:A3"/>
    <mergeCell ref="B2:G2"/>
    <mergeCell ref="H2:M2"/>
    <mergeCell ref="N2:S2"/>
    <mergeCell ref="B1:S1"/>
  </mergeCells>
  <printOptions horizontalCentered="1" verticalCentered="1"/>
  <pageMargins left="0" right="0" top="0" bottom="0" header="0" footer="0"/>
  <pageSetup paperSize="9" scale="65" orientation="landscape" verticalDpi="0" r:id="rId1"/>
  <ignoredErrors>
    <ignoredError sqref="G4:G33" formulaRange="1"/>
    <ignoredError sqref="G34" formula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T35"/>
  <sheetViews>
    <sheetView workbookViewId="0">
      <pane xSplit="1" ySplit="3" topLeftCell="B17" activePane="bottomRight" state="frozen"/>
      <selection pane="topRight" activeCell="B1" sqref="B1"/>
      <selection pane="bottomLeft" activeCell="A2" sqref="A2"/>
      <selection pane="bottomRight" activeCell="L34" sqref="L34"/>
    </sheetView>
  </sheetViews>
  <sheetFormatPr defaultColWidth="9.140625" defaultRowHeight="12.75" x14ac:dyDescent="0.2"/>
  <cols>
    <col min="1" max="1" width="6.85546875" style="1" customWidth="1"/>
    <col min="2" max="6" width="11.7109375" style="1" customWidth="1"/>
    <col min="7" max="7" width="12.42578125" style="2" bestFit="1" customWidth="1"/>
    <col min="8" max="8" width="11.7109375" style="4" customWidth="1"/>
    <col min="9" max="12" width="11.7109375" style="1" customWidth="1"/>
    <col min="13" max="13" width="12.42578125" style="2" bestFit="1" customWidth="1"/>
    <col min="14" max="18" width="11.7109375" style="13" customWidth="1"/>
    <col min="19" max="19" width="12.5703125" style="1" bestFit="1" customWidth="1"/>
    <col min="20" max="20" width="10.7109375" style="1" customWidth="1"/>
    <col min="21" max="16384" width="9.140625" style="1"/>
  </cols>
  <sheetData>
    <row r="1" spans="1:19" ht="24" customHeight="1" x14ac:dyDescent="0.2">
      <c r="A1" s="60"/>
      <c r="B1" s="141" t="s">
        <v>14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2"/>
    </row>
    <row r="2" spans="1:19" ht="18.75" x14ac:dyDescent="0.2">
      <c r="A2" s="139" t="s">
        <v>0</v>
      </c>
      <c r="B2" s="127" t="s">
        <v>1</v>
      </c>
      <c r="C2" s="127"/>
      <c r="D2" s="127"/>
      <c r="E2" s="127"/>
      <c r="F2" s="127"/>
      <c r="G2" s="127"/>
      <c r="H2" s="127" t="s">
        <v>2</v>
      </c>
      <c r="I2" s="127"/>
      <c r="J2" s="127"/>
      <c r="K2" s="127"/>
      <c r="L2" s="127"/>
      <c r="M2" s="127"/>
      <c r="N2" s="127" t="s">
        <v>3</v>
      </c>
      <c r="O2" s="127"/>
      <c r="P2" s="127"/>
      <c r="Q2" s="127"/>
      <c r="R2" s="127"/>
      <c r="S2" s="140"/>
    </row>
    <row r="3" spans="1:19" ht="16.149999999999999" customHeight="1" x14ac:dyDescent="0.2">
      <c r="A3" s="139"/>
      <c r="B3" s="54" t="s">
        <v>4</v>
      </c>
      <c r="C3" s="54" t="s">
        <v>5</v>
      </c>
      <c r="D3" s="54" t="s">
        <v>6</v>
      </c>
      <c r="E3" s="54" t="s">
        <v>7</v>
      </c>
      <c r="F3" s="54" t="s">
        <v>8</v>
      </c>
      <c r="G3" s="55" t="s">
        <v>9</v>
      </c>
      <c r="H3" s="56" t="s">
        <v>4</v>
      </c>
      <c r="I3" s="54" t="s">
        <v>5</v>
      </c>
      <c r="J3" s="54" t="s">
        <v>6</v>
      </c>
      <c r="K3" s="54" t="s">
        <v>7</v>
      </c>
      <c r="L3" s="54" t="s">
        <v>8</v>
      </c>
      <c r="M3" s="57" t="s">
        <v>9</v>
      </c>
      <c r="N3" s="54" t="s">
        <v>4</v>
      </c>
      <c r="O3" s="54" t="s">
        <v>5</v>
      </c>
      <c r="P3" s="54" t="s">
        <v>6</v>
      </c>
      <c r="Q3" s="54" t="s">
        <v>7</v>
      </c>
      <c r="R3" s="54" t="s">
        <v>8</v>
      </c>
      <c r="S3" s="53" t="s">
        <v>9</v>
      </c>
    </row>
    <row r="4" spans="1:19" ht="16.149999999999999" customHeight="1" x14ac:dyDescent="0.25">
      <c r="A4" s="61">
        <v>1</v>
      </c>
      <c r="B4" s="7">
        <v>113584.55</v>
      </c>
      <c r="C4" s="7">
        <v>40821.83</v>
      </c>
      <c r="D4" s="7">
        <v>12007.89</v>
      </c>
      <c r="E4" s="7">
        <v>9688.91</v>
      </c>
      <c r="F4" s="7">
        <v>3469.68</v>
      </c>
      <c r="G4" s="58">
        <f t="shared" ref="G4:G35" si="0">SUM(B4:F4)</f>
        <v>179572.86000000002</v>
      </c>
      <c r="H4" s="7">
        <v>112495.26</v>
      </c>
      <c r="I4" s="7">
        <v>41444.449999999997</v>
      </c>
      <c r="J4" s="7">
        <v>12011.71</v>
      </c>
      <c r="K4" s="7">
        <v>9650.75</v>
      </c>
      <c r="L4" s="7">
        <v>3463.94</v>
      </c>
      <c r="M4" s="58">
        <f t="shared" ref="M4:M34" si="1">SUM(H4:L4)</f>
        <v>179066.11</v>
      </c>
      <c r="N4" s="7">
        <f>108665.21+3830.05</f>
        <v>112495.26000000001</v>
      </c>
      <c r="O4" s="7">
        <f>36894.1+3652</f>
        <v>40546.1</v>
      </c>
      <c r="P4" s="7">
        <f>11858.96+152.75</f>
        <v>12011.71</v>
      </c>
      <c r="Q4" s="7">
        <f>8635.39+1015.4</f>
        <v>9650.7899999999991</v>
      </c>
      <c r="R4" s="7">
        <f>3273.09+190.85</f>
        <v>3463.94</v>
      </c>
      <c r="S4" s="52">
        <f t="shared" ref="S4:S34" si="2">SUM(N4:R4)</f>
        <v>178167.80000000002</v>
      </c>
    </row>
    <row r="5" spans="1:19" ht="16.149999999999999" customHeight="1" x14ac:dyDescent="0.25">
      <c r="A5" s="61">
        <v>2</v>
      </c>
      <c r="B5" s="7">
        <v>258369.55</v>
      </c>
      <c r="C5" s="7">
        <v>86755.520000000004</v>
      </c>
      <c r="D5" s="7">
        <v>29063.27</v>
      </c>
      <c r="E5" s="7">
        <v>21726.83</v>
      </c>
      <c r="F5" s="7">
        <v>8202.09</v>
      </c>
      <c r="G5" s="58">
        <f t="shared" si="0"/>
        <v>404117.26000000007</v>
      </c>
      <c r="H5" s="7">
        <v>259233.22</v>
      </c>
      <c r="I5" s="7">
        <v>95878.67</v>
      </c>
      <c r="J5" s="7">
        <v>29090.01</v>
      </c>
      <c r="K5" s="7">
        <v>22596.05</v>
      </c>
      <c r="L5" s="7">
        <v>8184.06</v>
      </c>
      <c r="M5" s="58">
        <f t="shared" si="1"/>
        <v>414982.01</v>
      </c>
      <c r="N5" s="8">
        <f>249512.57+9720.65</f>
        <v>259233.22</v>
      </c>
      <c r="O5" s="8">
        <f>86806.99+8382.35</f>
        <v>95189.340000000011</v>
      </c>
      <c r="P5" s="8">
        <f>28418.21+671.85</f>
        <v>29090.059999999998</v>
      </c>
      <c r="Q5" s="7">
        <f>20352.8+2243.25</f>
        <v>22596.05</v>
      </c>
      <c r="R5" s="7">
        <f>7660.26+523.85</f>
        <v>8184.1100000000006</v>
      </c>
      <c r="S5" s="52">
        <f t="shared" si="2"/>
        <v>414292.77999999997</v>
      </c>
    </row>
    <row r="6" spans="1:19" ht="16.149999999999999" customHeight="1" x14ac:dyDescent="0.25">
      <c r="A6" s="61">
        <v>3</v>
      </c>
      <c r="B6" s="7">
        <v>341985.93</v>
      </c>
      <c r="C6" s="7">
        <v>123745.44</v>
      </c>
      <c r="D6" s="7">
        <v>39990.339999999997</v>
      </c>
      <c r="E6" s="7">
        <v>30284.31</v>
      </c>
      <c r="F6" s="7">
        <v>11353.04</v>
      </c>
      <c r="G6" s="58">
        <f t="shared" si="0"/>
        <v>547359.06000000006</v>
      </c>
      <c r="H6" s="7">
        <v>343220.3</v>
      </c>
      <c r="I6" s="7">
        <v>127563.63</v>
      </c>
      <c r="J6" s="7">
        <v>39998.129999999997</v>
      </c>
      <c r="K6" s="7">
        <v>30288.57</v>
      </c>
      <c r="L6" s="7">
        <v>11326.26</v>
      </c>
      <c r="M6" s="58">
        <f t="shared" si="1"/>
        <v>552396.89</v>
      </c>
      <c r="N6" s="7">
        <f>329703.7+13491.55</f>
        <v>343195.25</v>
      </c>
      <c r="O6" s="7">
        <f>116136.9+11073.1</f>
        <v>127210</v>
      </c>
      <c r="P6" s="7">
        <f>39190.63+807.55</f>
        <v>39998.18</v>
      </c>
      <c r="Q6" s="7">
        <f>26990.21+3298.35</f>
        <v>30288.559999999998</v>
      </c>
      <c r="R6" s="7">
        <f>10631.51+694.75</f>
        <v>11326.26</v>
      </c>
      <c r="S6" s="52">
        <f t="shared" si="2"/>
        <v>552018.25</v>
      </c>
    </row>
    <row r="7" spans="1:19" ht="16.149999999999999" customHeight="1" x14ac:dyDescent="0.25">
      <c r="A7" s="61">
        <v>4</v>
      </c>
      <c r="B7" s="7">
        <v>345601.26</v>
      </c>
      <c r="C7" s="7">
        <v>123112.11</v>
      </c>
      <c r="D7" s="7">
        <v>40092.769999999997</v>
      </c>
      <c r="E7" s="7">
        <v>28555.43</v>
      </c>
      <c r="F7" s="7">
        <v>11470.63</v>
      </c>
      <c r="G7" s="58">
        <f t="shared" si="0"/>
        <v>548832.20000000007</v>
      </c>
      <c r="H7" s="7">
        <v>346246.74</v>
      </c>
      <c r="I7" s="7">
        <v>126912.22</v>
      </c>
      <c r="J7" s="7">
        <v>40142.5</v>
      </c>
      <c r="K7" s="7">
        <v>28652.880000000001</v>
      </c>
      <c r="L7" s="7">
        <v>11454.18</v>
      </c>
      <c r="M7" s="58">
        <f t="shared" si="1"/>
        <v>553408.52</v>
      </c>
      <c r="N7" s="6">
        <f>333348.24+12898.5</f>
        <v>346246.74</v>
      </c>
      <c r="O7" s="5">
        <f>114507.41+10834.5</f>
        <v>125341.91</v>
      </c>
      <c r="P7" s="6">
        <f>39245.7+896.8</f>
        <v>40142.5</v>
      </c>
      <c r="Q7" s="7">
        <f>25829.73+2823.2</f>
        <v>28652.93</v>
      </c>
      <c r="R7" s="6">
        <f>10793.43+660.75</f>
        <v>11454.18</v>
      </c>
      <c r="S7" s="52">
        <f t="shared" si="2"/>
        <v>551838.26000000013</v>
      </c>
    </row>
    <row r="8" spans="1:19" ht="16.149999999999999" customHeight="1" x14ac:dyDescent="0.25">
      <c r="A8" s="61">
        <v>5</v>
      </c>
      <c r="B8" s="7">
        <v>243728.26</v>
      </c>
      <c r="C8" s="7">
        <v>67981.77</v>
      </c>
      <c r="D8" s="7">
        <v>26319.08</v>
      </c>
      <c r="E8" s="7">
        <v>15635.37</v>
      </c>
      <c r="F8" s="7">
        <v>7670.33</v>
      </c>
      <c r="G8" s="58">
        <f t="shared" si="0"/>
        <v>361334.81000000006</v>
      </c>
      <c r="H8" s="7">
        <v>240133.15</v>
      </c>
      <c r="I8" s="7">
        <v>68072.58</v>
      </c>
      <c r="J8" s="7">
        <v>26326.73</v>
      </c>
      <c r="K8" s="7">
        <v>15675.68</v>
      </c>
      <c r="L8" s="7">
        <v>7655.79</v>
      </c>
      <c r="M8" s="58">
        <f t="shared" si="1"/>
        <v>357863.92999999993</v>
      </c>
      <c r="N8" s="10">
        <f>233436+6697.15</f>
        <v>240133.15</v>
      </c>
      <c r="O8" s="10">
        <f>61996.12+5605.05</f>
        <v>67601.17</v>
      </c>
      <c r="P8" s="10">
        <f>25898.78+427.95</f>
        <v>26326.73</v>
      </c>
      <c r="Q8" s="10">
        <f>14062.18+1613.5</f>
        <v>15675.68</v>
      </c>
      <c r="R8" s="10">
        <f>7346.69+309.1</f>
        <v>7655.79</v>
      </c>
      <c r="S8" s="52">
        <f t="shared" si="2"/>
        <v>357392.51999999996</v>
      </c>
    </row>
    <row r="9" spans="1:19" ht="16.149999999999999" customHeight="1" x14ac:dyDescent="0.25">
      <c r="A9" s="61">
        <v>6</v>
      </c>
      <c r="B9" s="8">
        <v>109902.94</v>
      </c>
      <c r="C9" s="7">
        <v>36003.82</v>
      </c>
      <c r="D9" s="7">
        <v>12696.78</v>
      </c>
      <c r="E9" s="7">
        <v>8518.1299999999992</v>
      </c>
      <c r="F9" s="7">
        <v>3112.56</v>
      </c>
      <c r="G9" s="58">
        <f t="shared" si="0"/>
        <v>170234.23</v>
      </c>
      <c r="H9" s="7">
        <v>111548.47</v>
      </c>
      <c r="I9" s="7">
        <v>35976.800000000003</v>
      </c>
      <c r="J9" s="7">
        <v>12715.91</v>
      </c>
      <c r="K9" s="7">
        <v>8501.39</v>
      </c>
      <c r="L9" s="7">
        <v>3107.2</v>
      </c>
      <c r="M9" s="58">
        <f>SUM(H9:L9)</f>
        <v>171849.77000000002</v>
      </c>
      <c r="N9" s="10">
        <f>104618.34+3087.55</f>
        <v>107705.89</v>
      </c>
      <c r="O9" s="10">
        <f>32728.31+3248.5</f>
        <v>35976.81</v>
      </c>
      <c r="P9" s="10">
        <f>12510.41+205.5</f>
        <v>12715.91</v>
      </c>
      <c r="Q9" s="10">
        <f>7689.99+811.45</f>
        <v>8501.44</v>
      </c>
      <c r="R9" s="10">
        <f>2974.85+132.35</f>
        <v>3107.2</v>
      </c>
      <c r="S9" s="52">
        <f t="shared" si="2"/>
        <v>168007.25000000003</v>
      </c>
    </row>
    <row r="10" spans="1:19" ht="16.149999999999999" customHeight="1" x14ac:dyDescent="0.25">
      <c r="A10" s="61">
        <v>7</v>
      </c>
      <c r="B10" s="8">
        <v>370163.38</v>
      </c>
      <c r="C10" s="7">
        <v>136567.23000000001</v>
      </c>
      <c r="D10" s="7">
        <v>41891.949999999997</v>
      </c>
      <c r="E10" s="7">
        <v>44815.61</v>
      </c>
      <c r="F10" s="7">
        <v>11828.47</v>
      </c>
      <c r="G10" s="58">
        <f t="shared" si="0"/>
        <v>605266.6399999999</v>
      </c>
      <c r="H10" s="30">
        <v>364152.03</v>
      </c>
      <c r="I10" s="7">
        <v>140913.78</v>
      </c>
      <c r="J10" s="7">
        <v>42289.81</v>
      </c>
      <c r="K10" s="7">
        <v>39119.68</v>
      </c>
      <c r="L10" s="7">
        <v>11809.72</v>
      </c>
      <c r="M10" s="58">
        <f t="shared" si="1"/>
        <v>598285.02000000014</v>
      </c>
      <c r="N10" s="10">
        <f>356991.99+14855.95</f>
        <v>371847.94</v>
      </c>
      <c r="O10" s="10">
        <f>129126.78+11787</f>
        <v>140913.78</v>
      </c>
      <c r="P10" s="10">
        <f>41020.8+901.75</f>
        <v>41922.550000000003</v>
      </c>
      <c r="Q10" s="10">
        <f>35363.22+3305.8</f>
        <v>38669.020000000004</v>
      </c>
      <c r="R10" s="10">
        <f>11104.42+705.3</f>
        <v>11809.72</v>
      </c>
      <c r="S10" s="52">
        <f t="shared" si="2"/>
        <v>605163.01</v>
      </c>
    </row>
    <row r="11" spans="1:19" ht="16.149999999999999" customHeight="1" x14ac:dyDescent="0.25">
      <c r="A11" s="61">
        <v>8</v>
      </c>
      <c r="B11" s="59">
        <v>358423.29</v>
      </c>
      <c r="C11" s="7">
        <v>143186.76</v>
      </c>
      <c r="D11" s="7">
        <v>42767.72</v>
      </c>
      <c r="E11" s="7">
        <v>40228.53</v>
      </c>
      <c r="F11" s="7">
        <v>11188.78</v>
      </c>
      <c r="G11" s="58">
        <f t="shared" si="0"/>
        <v>595795.08000000007</v>
      </c>
      <c r="H11" s="7">
        <v>373237.73</v>
      </c>
      <c r="I11" s="7">
        <v>143377.79999999999</v>
      </c>
      <c r="J11" s="7">
        <v>43720.58</v>
      </c>
      <c r="K11" s="7">
        <v>41674.89</v>
      </c>
      <c r="L11" s="7">
        <v>12180.28</v>
      </c>
      <c r="M11" s="58">
        <f t="shared" si="1"/>
        <v>614191.28</v>
      </c>
      <c r="N11" s="10">
        <f>358332.54+14517.85</f>
        <v>372850.38999999996</v>
      </c>
      <c r="O11" s="10">
        <f>130184.32+12504.15</f>
        <v>142688.47</v>
      </c>
      <c r="P11" s="10">
        <f>42591.76+940.6</f>
        <v>43532.36</v>
      </c>
      <c r="Q11" s="10">
        <f>38122.05+3552.85</f>
        <v>41674.9</v>
      </c>
      <c r="R11" s="10">
        <f>11441.63+738.65</f>
        <v>12180.279999999999</v>
      </c>
      <c r="S11" s="52">
        <f t="shared" si="2"/>
        <v>612926.4</v>
      </c>
    </row>
    <row r="12" spans="1:19" ht="16.149999999999999" customHeight="1" x14ac:dyDescent="0.25">
      <c r="A12" s="61">
        <v>9</v>
      </c>
      <c r="B12" s="59">
        <v>373332.6</v>
      </c>
      <c r="C12" s="7">
        <v>142359.57</v>
      </c>
      <c r="D12" s="7">
        <v>42531.97</v>
      </c>
      <c r="E12" s="7">
        <v>46895.16</v>
      </c>
      <c r="F12" s="7">
        <v>12066.13</v>
      </c>
      <c r="G12" s="58">
        <f t="shared" si="0"/>
        <v>617185.43000000005</v>
      </c>
      <c r="H12" s="7">
        <v>369393.67</v>
      </c>
      <c r="I12" s="7">
        <v>136632.64000000001</v>
      </c>
      <c r="J12" s="7">
        <v>42727.03</v>
      </c>
      <c r="K12" s="7">
        <v>37623.72</v>
      </c>
      <c r="L12" s="7">
        <v>12677.37</v>
      </c>
      <c r="M12" s="58">
        <f t="shared" si="1"/>
        <v>599054.42999999993</v>
      </c>
      <c r="N12" s="10">
        <f>367389.26+15039.45</f>
        <v>382428.71</v>
      </c>
      <c r="O12" s="10">
        <f>133115.94+11941.25</f>
        <v>145057.19</v>
      </c>
      <c r="P12" s="10">
        <f>41887.42+839.65</f>
        <v>42727.07</v>
      </c>
      <c r="Q12" s="10">
        <f>37399.33+3311.75</f>
        <v>40711.08</v>
      </c>
      <c r="R12" s="10">
        <f>11922.52+754.85</f>
        <v>12677.37</v>
      </c>
      <c r="S12" s="52">
        <f t="shared" si="2"/>
        <v>623601.41999999993</v>
      </c>
    </row>
    <row r="13" spans="1:19" ht="16.149999999999999" customHeight="1" x14ac:dyDescent="0.25">
      <c r="A13" s="61">
        <v>10</v>
      </c>
      <c r="B13" s="7">
        <v>374498.5</v>
      </c>
      <c r="C13" s="7">
        <v>143575.57999999999</v>
      </c>
      <c r="D13" s="7">
        <v>42623.78</v>
      </c>
      <c r="E13" s="7">
        <v>46948.24</v>
      </c>
      <c r="F13" s="7">
        <v>12749.15</v>
      </c>
      <c r="G13" s="58">
        <f t="shared" si="0"/>
        <v>620395.25</v>
      </c>
      <c r="H13" s="7">
        <v>369941.4</v>
      </c>
      <c r="I13" s="7">
        <v>133296.67000000001</v>
      </c>
      <c r="J13" s="7">
        <v>42674.52</v>
      </c>
      <c r="K13" s="7">
        <v>37740.26</v>
      </c>
      <c r="L13" s="7">
        <v>12127.34</v>
      </c>
      <c r="M13" s="58">
        <f t="shared" si="1"/>
        <v>595780.19000000006</v>
      </c>
      <c r="N13" s="10">
        <f>355170.76+14456.9</f>
        <v>369627.66000000003</v>
      </c>
      <c r="O13" s="10">
        <f>132745.78+12635.05</f>
        <v>145380.82999999999</v>
      </c>
      <c r="P13" s="10">
        <f>41847.52+827.05</f>
        <v>42674.57</v>
      </c>
      <c r="Q13" s="10">
        <f>37591.13+3420.5</f>
        <v>41011.629999999997</v>
      </c>
      <c r="R13" s="10">
        <f>11499.09+628.25</f>
        <v>12127.34</v>
      </c>
      <c r="S13" s="52">
        <f t="shared" si="2"/>
        <v>610822.02999999991</v>
      </c>
    </row>
    <row r="14" spans="1:19" ht="16.149999999999999" customHeight="1" x14ac:dyDescent="0.25">
      <c r="A14" s="61">
        <v>11</v>
      </c>
      <c r="B14" s="59">
        <v>371087.03</v>
      </c>
      <c r="C14" s="7">
        <v>138023.97</v>
      </c>
      <c r="D14" s="7">
        <v>42427.15</v>
      </c>
      <c r="E14" s="7">
        <v>37421.06</v>
      </c>
      <c r="F14" s="7">
        <v>12047.68</v>
      </c>
      <c r="G14" s="58">
        <f t="shared" si="0"/>
        <v>601006.89</v>
      </c>
      <c r="H14" s="7">
        <v>372317.34</v>
      </c>
      <c r="I14" s="7">
        <v>128668.51</v>
      </c>
      <c r="J14" s="7">
        <v>42431.07</v>
      </c>
      <c r="K14" s="7">
        <v>37481.46</v>
      </c>
      <c r="L14" s="7">
        <v>11917.99</v>
      </c>
      <c r="M14" s="58">
        <f t="shared" si="1"/>
        <v>592816.37</v>
      </c>
      <c r="N14" s="10">
        <f>357544.34+14773</f>
        <v>372317.34</v>
      </c>
      <c r="O14" s="10">
        <f>128149.77+11897.8</f>
        <v>140047.57</v>
      </c>
      <c r="P14" s="10">
        <f>41700.57+730.5</f>
        <v>42431.07</v>
      </c>
      <c r="Q14" s="10">
        <f>34432.21+3049.25</f>
        <v>37481.46</v>
      </c>
      <c r="R14" s="10">
        <f>11884.25+773.85</f>
        <v>12658.1</v>
      </c>
      <c r="S14" s="52">
        <f t="shared" si="2"/>
        <v>604935.53999999992</v>
      </c>
    </row>
    <row r="15" spans="1:19" ht="16.149999999999999" customHeight="1" x14ac:dyDescent="0.25">
      <c r="A15" s="61">
        <v>12</v>
      </c>
      <c r="B15" s="59">
        <v>246951.52</v>
      </c>
      <c r="C15" s="7">
        <v>68402.45</v>
      </c>
      <c r="D15" s="7">
        <v>26178.58</v>
      </c>
      <c r="E15" s="7">
        <v>16972.7</v>
      </c>
      <c r="F15" s="7">
        <v>7695.96</v>
      </c>
      <c r="G15" s="58">
        <f t="shared" si="0"/>
        <v>366201.21</v>
      </c>
      <c r="H15" s="7">
        <v>249005.96</v>
      </c>
      <c r="I15" s="7">
        <v>70267.520000000004</v>
      </c>
      <c r="J15" s="7">
        <v>26186.23</v>
      </c>
      <c r="K15" s="7">
        <v>16953.34</v>
      </c>
      <c r="L15" s="7">
        <v>7691.37</v>
      </c>
      <c r="M15" s="58">
        <f t="shared" si="1"/>
        <v>370104.42</v>
      </c>
      <c r="N15" s="7">
        <f>242071.36+6934.65</f>
        <v>249006.00999999998</v>
      </c>
      <c r="O15" s="10">
        <f>63721.94+5730.3</f>
        <v>69452.240000000005</v>
      </c>
      <c r="P15" s="10">
        <f>25807.24+379</f>
        <v>26186.240000000002</v>
      </c>
      <c r="Q15" s="10">
        <f>15043.64+1909.7</f>
        <v>16953.34</v>
      </c>
      <c r="R15" s="10">
        <f>7334.97+356.4</f>
        <v>7691.37</v>
      </c>
      <c r="S15" s="52">
        <f t="shared" si="2"/>
        <v>369289.2</v>
      </c>
    </row>
    <row r="16" spans="1:19" ht="16.149999999999999" customHeight="1" x14ac:dyDescent="0.25">
      <c r="A16" s="61">
        <v>13</v>
      </c>
      <c r="B16" s="59">
        <v>109727.72</v>
      </c>
      <c r="C16" s="7">
        <v>34197.089999999997</v>
      </c>
      <c r="D16" s="7">
        <v>12150.01</v>
      </c>
      <c r="E16" s="7">
        <v>8653.89</v>
      </c>
      <c r="F16" s="7">
        <v>3303.26</v>
      </c>
      <c r="G16" s="58">
        <f t="shared" si="0"/>
        <v>168031.97000000003</v>
      </c>
      <c r="H16" s="7">
        <v>108628.77</v>
      </c>
      <c r="I16" s="7">
        <v>36735.129999999997</v>
      </c>
      <c r="J16" s="7">
        <v>12150.01</v>
      </c>
      <c r="K16" s="7">
        <v>8645.14</v>
      </c>
      <c r="L16" s="7">
        <v>2874.17</v>
      </c>
      <c r="M16" s="58">
        <f t="shared" si="1"/>
        <v>169033.22</v>
      </c>
      <c r="N16" s="7">
        <f>105443.32+3185.5</f>
        <v>108628.82</v>
      </c>
      <c r="O16" s="10">
        <f>32901.53+3535.35</f>
        <v>36436.879999999997</v>
      </c>
      <c r="P16" s="10">
        <f>11970.21+179.8</f>
        <v>12150.009999999998</v>
      </c>
      <c r="Q16" s="10">
        <f>7747.44+897.75</f>
        <v>8645.1899999999987</v>
      </c>
      <c r="R16" s="10">
        <f>2679.02+195.2</f>
        <v>2874.22</v>
      </c>
      <c r="S16" s="52">
        <f t="shared" si="2"/>
        <v>168735.12000000002</v>
      </c>
    </row>
    <row r="17" spans="1:20" ht="16.149999999999999" customHeight="1" x14ac:dyDescent="0.25">
      <c r="A17" s="61">
        <v>14</v>
      </c>
      <c r="B17" s="59">
        <v>365861.97</v>
      </c>
      <c r="C17" s="7">
        <v>139263.70000000001</v>
      </c>
      <c r="D17" s="7">
        <v>41549.839999999997</v>
      </c>
      <c r="E17" s="7">
        <v>41326.9</v>
      </c>
      <c r="F17" s="7">
        <v>12158.19</v>
      </c>
      <c r="G17" s="58">
        <f t="shared" si="0"/>
        <v>600160.6</v>
      </c>
      <c r="H17" s="7">
        <v>368486.77</v>
      </c>
      <c r="I17" s="7">
        <v>143745.76999999999</v>
      </c>
      <c r="J17" s="7">
        <v>41565.14</v>
      </c>
      <c r="K17" s="7">
        <v>41255.839999999997</v>
      </c>
      <c r="L17" s="7">
        <v>12652.89</v>
      </c>
      <c r="M17" s="58">
        <f t="shared" si="1"/>
        <v>607706.41</v>
      </c>
      <c r="N17" s="7">
        <f>353979.1+14507.75</f>
        <v>368486.85</v>
      </c>
      <c r="O17" s="10">
        <f>131151.18+12594.6</f>
        <v>143745.78</v>
      </c>
      <c r="P17" s="10">
        <f>40724.84+840.3</f>
        <v>41565.14</v>
      </c>
      <c r="Q17" s="10">
        <f>37741.69+3514.15</f>
        <v>41255.840000000004</v>
      </c>
      <c r="R17" s="10">
        <f>11892.94+759.95</f>
        <v>12652.890000000001</v>
      </c>
      <c r="S17" s="52">
        <f t="shared" si="2"/>
        <v>607706.5</v>
      </c>
    </row>
    <row r="18" spans="1:20" ht="16.149999999999999" customHeight="1" x14ac:dyDescent="0.25">
      <c r="A18" s="61">
        <v>15</v>
      </c>
      <c r="B18" s="59">
        <v>372552.28</v>
      </c>
      <c r="C18" s="7">
        <v>144057.89000000001</v>
      </c>
      <c r="D18" s="7">
        <v>42592.800000000003</v>
      </c>
      <c r="E18" s="7">
        <v>41706.879999999997</v>
      </c>
      <c r="F18" s="7">
        <v>12459.6</v>
      </c>
      <c r="G18" s="58">
        <f t="shared" si="0"/>
        <v>613369.45000000007</v>
      </c>
      <c r="H18" s="7">
        <v>372786.84</v>
      </c>
      <c r="I18" s="7">
        <v>123578.79</v>
      </c>
      <c r="J18" s="7">
        <v>42592.75</v>
      </c>
      <c r="K18" s="7">
        <v>42128.7</v>
      </c>
      <c r="L18" s="7">
        <v>11688.55</v>
      </c>
      <c r="M18" s="58">
        <f t="shared" si="1"/>
        <v>592775.63</v>
      </c>
      <c r="N18" s="10">
        <f>357766.23+15020.6</f>
        <v>372786.82999999996</v>
      </c>
      <c r="O18" s="11">
        <f>111820.54+11758.25</f>
        <v>123578.79</v>
      </c>
      <c r="P18" s="10">
        <f>41770.14+822.65</f>
        <v>42592.79</v>
      </c>
      <c r="Q18" s="7">
        <f>38516.65+3612.05</f>
        <v>42128.700000000004</v>
      </c>
      <c r="R18" s="10">
        <f>11653.92+794.2</f>
        <v>12448.12</v>
      </c>
      <c r="S18" s="52">
        <f t="shared" si="2"/>
        <v>593535.22999999986</v>
      </c>
    </row>
    <row r="19" spans="1:20" ht="16.149999999999999" customHeight="1" x14ac:dyDescent="0.25">
      <c r="A19" s="61">
        <v>16</v>
      </c>
      <c r="B19" s="7">
        <v>379717.39</v>
      </c>
      <c r="C19" s="7">
        <v>136416.4</v>
      </c>
      <c r="D19" s="7">
        <v>43902.11</v>
      </c>
      <c r="E19" s="7">
        <v>42281.34</v>
      </c>
      <c r="F19" s="7">
        <v>12951.57</v>
      </c>
      <c r="G19" s="58">
        <f t="shared" si="0"/>
        <v>615268.80999999994</v>
      </c>
      <c r="H19" s="7">
        <v>365468.65</v>
      </c>
      <c r="I19" s="7">
        <v>148896.32000000001</v>
      </c>
      <c r="J19" s="7">
        <v>43905.89</v>
      </c>
      <c r="K19" s="7">
        <v>42113.97</v>
      </c>
      <c r="L19" s="7">
        <v>12507.03</v>
      </c>
      <c r="M19" s="58">
        <f t="shared" si="1"/>
        <v>612891.86</v>
      </c>
      <c r="N19" s="10">
        <f>364793.41+15487.41</f>
        <v>380280.81999999995</v>
      </c>
      <c r="O19" s="10">
        <f>147538.61+13839.35</f>
        <v>161377.96</v>
      </c>
      <c r="P19" s="10">
        <f>42988.65+913.45</f>
        <v>43902.1</v>
      </c>
      <c r="Q19" s="10">
        <f>38773.53+3340.45</f>
        <v>42113.979999999996</v>
      </c>
      <c r="R19" s="10">
        <f>11814.48+692.55</f>
        <v>12507.029999999999</v>
      </c>
      <c r="S19" s="52">
        <f t="shared" si="2"/>
        <v>640181.8899999999</v>
      </c>
    </row>
    <row r="20" spans="1:20" ht="16.149999999999999" customHeight="1" x14ac:dyDescent="0.25">
      <c r="A20" s="61">
        <v>17</v>
      </c>
      <c r="B20" s="7">
        <v>378918.65</v>
      </c>
      <c r="C20" s="7">
        <v>144216.18</v>
      </c>
      <c r="D20" s="7">
        <v>42456.51</v>
      </c>
      <c r="E20" s="7">
        <v>42836.63</v>
      </c>
      <c r="F20" s="7">
        <v>12523.34</v>
      </c>
      <c r="G20" s="58">
        <f t="shared" si="0"/>
        <v>620951.30999999994</v>
      </c>
      <c r="H20" s="7">
        <v>379515.68</v>
      </c>
      <c r="I20" s="7">
        <v>147727.94</v>
      </c>
      <c r="J20" s="7">
        <v>42502.75</v>
      </c>
      <c r="K20" s="7">
        <v>44036.53</v>
      </c>
      <c r="L20" s="7">
        <v>12675.36</v>
      </c>
      <c r="M20" s="58">
        <f t="shared" si="1"/>
        <v>626458.26</v>
      </c>
      <c r="N20" s="10">
        <f>364020.78+15494.9</f>
        <v>379515.68000000005</v>
      </c>
      <c r="O20" s="10">
        <f>134220.32+13036.2</f>
        <v>147256.52000000002</v>
      </c>
      <c r="P20" s="10">
        <f>41613.85+888.95</f>
        <v>42502.799999999996</v>
      </c>
      <c r="Q20" s="10">
        <f>40227.58+3808.95</f>
        <v>44036.53</v>
      </c>
      <c r="R20" s="10">
        <f>11910.16+765.2</f>
        <v>12675.36</v>
      </c>
      <c r="S20" s="52">
        <f t="shared" si="2"/>
        <v>625986.89000000013</v>
      </c>
    </row>
    <row r="21" spans="1:20" ht="16.149999999999999" customHeight="1" x14ac:dyDescent="0.25">
      <c r="A21" s="61">
        <v>18</v>
      </c>
      <c r="B21" s="7">
        <v>377332.27</v>
      </c>
      <c r="C21" s="7">
        <v>139337.76999999999</v>
      </c>
      <c r="D21" s="7">
        <v>42442.45</v>
      </c>
      <c r="E21" s="7">
        <v>40761.19</v>
      </c>
      <c r="F21" s="7">
        <v>12976.82</v>
      </c>
      <c r="G21" s="58">
        <f t="shared" si="0"/>
        <v>612850.49999999988</v>
      </c>
      <c r="H21" s="7">
        <v>381224.96000000002</v>
      </c>
      <c r="I21" s="30">
        <v>150348.09</v>
      </c>
      <c r="J21" s="7">
        <v>41486.53</v>
      </c>
      <c r="K21" s="7">
        <v>41009.089999999997</v>
      </c>
      <c r="L21" s="7">
        <v>12968.35</v>
      </c>
      <c r="M21" s="58">
        <f t="shared" si="1"/>
        <v>627037.02</v>
      </c>
      <c r="N21" s="10">
        <f>365136.14+15012.05</f>
        <v>380148.19</v>
      </c>
      <c r="O21" s="10">
        <f>135482.75+13395.4</f>
        <v>148878.15</v>
      </c>
      <c r="P21" s="10">
        <f>40742.63+743.9</f>
        <v>41486.53</v>
      </c>
      <c r="Q21" s="10">
        <f>37565.64+3443.5</f>
        <v>41009.14</v>
      </c>
      <c r="R21" s="10">
        <f>12239.15+729.25</f>
        <v>12968.4</v>
      </c>
      <c r="S21" s="52">
        <f>SUM(N21:R21)</f>
        <v>624490.41</v>
      </c>
    </row>
    <row r="22" spans="1:20" ht="16.149999999999999" customHeight="1" x14ac:dyDescent="0.25">
      <c r="A22" s="61">
        <v>19</v>
      </c>
      <c r="B22" s="7">
        <v>248169.45</v>
      </c>
      <c r="C22" s="7">
        <v>67796.039999999994</v>
      </c>
      <c r="D22" s="7">
        <v>25486.43</v>
      </c>
      <c r="E22" s="7">
        <v>17777.75</v>
      </c>
      <c r="F22" s="7">
        <v>7868.64</v>
      </c>
      <c r="G22" s="58">
        <f t="shared" si="0"/>
        <v>367098.31</v>
      </c>
      <c r="H22" s="7">
        <v>138169.48000000001</v>
      </c>
      <c r="I22" s="7">
        <v>69985.77</v>
      </c>
      <c r="J22" s="7">
        <v>14898.13</v>
      </c>
      <c r="K22" s="7">
        <v>14137.65</v>
      </c>
      <c r="L22" s="7">
        <v>6277.09</v>
      </c>
      <c r="M22" s="58">
        <f t="shared" si="1"/>
        <v>243468.12</v>
      </c>
      <c r="N22" s="10">
        <f>134272.33+3897.2</f>
        <v>138169.53</v>
      </c>
      <c r="O22" s="10">
        <f>62928.47+6125</f>
        <v>69053.47</v>
      </c>
      <c r="P22" s="10">
        <f>14692.43+205.7</f>
        <v>14898.130000000001</v>
      </c>
      <c r="Q22" s="10">
        <f>12831.84+1305.85</f>
        <v>14137.69</v>
      </c>
      <c r="R22" s="10">
        <f>6038.59+238.55</f>
        <v>6277.14</v>
      </c>
      <c r="S22" s="52">
        <f t="shared" si="2"/>
        <v>242535.96000000002</v>
      </c>
    </row>
    <row r="23" spans="1:20" ht="16.149999999999999" customHeight="1" x14ac:dyDescent="0.25">
      <c r="A23" s="61">
        <v>20</v>
      </c>
      <c r="B23" s="7">
        <v>109253.83</v>
      </c>
      <c r="C23" s="7">
        <v>38431.980000000003</v>
      </c>
      <c r="D23" s="7">
        <v>11756.64</v>
      </c>
      <c r="E23" s="7">
        <v>8963.2900000000009</v>
      </c>
      <c r="F23" s="7">
        <v>3263.76</v>
      </c>
      <c r="G23" s="58">
        <f t="shared" si="0"/>
        <v>171669.50000000003</v>
      </c>
      <c r="H23" s="7">
        <v>217075.83</v>
      </c>
      <c r="I23" s="7">
        <v>37680.199999999997</v>
      </c>
      <c r="J23" s="7">
        <v>23347.25</v>
      </c>
      <c r="K23" s="7">
        <v>12469.59</v>
      </c>
      <c r="L23" s="7">
        <v>4822.3599999999997</v>
      </c>
      <c r="M23" s="58">
        <f t="shared" si="1"/>
        <v>295395.23</v>
      </c>
      <c r="N23" s="10">
        <f>209991.07+7084.75</f>
        <v>217075.82</v>
      </c>
      <c r="O23" s="10">
        <f>33907.55+3772.65</f>
        <v>37680.200000000004</v>
      </c>
      <c r="P23" s="10">
        <f>23017.56+329.7</f>
        <v>23347.260000000002</v>
      </c>
      <c r="Q23" s="10">
        <f>10894.24+1575.35</f>
        <v>12469.59</v>
      </c>
      <c r="R23" s="10">
        <f>4478.66+343.7</f>
        <v>4822.3599999999997</v>
      </c>
      <c r="S23" s="52">
        <f t="shared" si="2"/>
        <v>295395.23000000004</v>
      </c>
    </row>
    <row r="24" spans="1:20" ht="16.149999999999999" customHeight="1" x14ac:dyDescent="0.25">
      <c r="A24" s="61">
        <v>21</v>
      </c>
      <c r="B24" s="7">
        <v>366595.29</v>
      </c>
      <c r="C24" s="7">
        <v>144984.79</v>
      </c>
      <c r="D24" s="7">
        <v>40578.9</v>
      </c>
      <c r="E24" s="7">
        <v>41890.46</v>
      </c>
      <c r="F24" s="7">
        <v>12527.79</v>
      </c>
      <c r="G24" s="58">
        <f t="shared" si="0"/>
        <v>606577.23</v>
      </c>
      <c r="H24" s="7">
        <v>367640.26</v>
      </c>
      <c r="I24" s="7">
        <v>142791</v>
      </c>
      <c r="J24" s="7">
        <v>40578.9</v>
      </c>
      <c r="K24" s="7">
        <v>41272.58</v>
      </c>
      <c r="L24" s="7">
        <v>12431</v>
      </c>
      <c r="M24" s="58">
        <f t="shared" si="1"/>
        <v>604713.74</v>
      </c>
      <c r="N24" s="10">
        <f>352689.11+14934.6</f>
        <v>367623.70999999996</v>
      </c>
      <c r="O24" s="10">
        <f>129207.51+12938.2</f>
        <v>142145.71</v>
      </c>
      <c r="P24" s="10">
        <f>39795.11+783.8</f>
        <v>40578.910000000003</v>
      </c>
      <c r="Q24" s="10">
        <f>37787.58+3485</f>
        <v>41272.58</v>
      </c>
      <c r="R24" s="10">
        <f>11691.8+739.2</f>
        <v>12431</v>
      </c>
      <c r="S24" s="52">
        <f t="shared" si="2"/>
        <v>604051.90999999992</v>
      </c>
    </row>
    <row r="25" spans="1:20" ht="16.149999999999999" customHeight="1" x14ac:dyDescent="0.25">
      <c r="A25" s="61">
        <v>22</v>
      </c>
      <c r="B25" s="7">
        <v>379181.85</v>
      </c>
      <c r="C25" s="7">
        <v>153532.66</v>
      </c>
      <c r="D25" s="7">
        <v>42154.96</v>
      </c>
      <c r="E25" s="7">
        <v>45409.73</v>
      </c>
      <c r="F25" s="7">
        <v>13090.25</v>
      </c>
      <c r="G25" s="58">
        <f t="shared" si="0"/>
        <v>633369.44999999995</v>
      </c>
      <c r="H25" s="7">
        <v>380866.02</v>
      </c>
      <c r="I25" s="7">
        <v>146673.22</v>
      </c>
      <c r="J25" s="7">
        <v>42154.96</v>
      </c>
      <c r="K25" s="7">
        <v>44778.36</v>
      </c>
      <c r="L25" s="7">
        <v>12986.91</v>
      </c>
      <c r="M25" s="58">
        <f t="shared" si="1"/>
        <v>627459.47</v>
      </c>
      <c r="N25" s="10">
        <f>360914.41+15202.65</f>
        <v>376117.06</v>
      </c>
      <c r="O25" s="10">
        <f>132862.37+13750.35</f>
        <v>146612.72</v>
      </c>
      <c r="P25" s="10">
        <f>41136.16+1018.8</f>
        <v>42154.960000000006</v>
      </c>
      <c r="Q25" s="10">
        <f>40969.06+3809.3</f>
        <v>44778.36</v>
      </c>
      <c r="R25" s="10">
        <f>12197.21+789.75</f>
        <v>12986.96</v>
      </c>
      <c r="S25" s="52">
        <f t="shared" si="2"/>
        <v>622650.05999999994</v>
      </c>
    </row>
    <row r="26" spans="1:20" ht="16.149999999999999" customHeight="1" x14ac:dyDescent="0.25">
      <c r="A26" s="61">
        <v>23</v>
      </c>
      <c r="B26" s="7">
        <v>383804.99</v>
      </c>
      <c r="C26" s="7">
        <v>151825.34</v>
      </c>
      <c r="D26" s="7">
        <v>42028.81</v>
      </c>
      <c r="E26" s="7">
        <v>44511.48</v>
      </c>
      <c r="F26" s="7">
        <v>13080.87</v>
      </c>
      <c r="G26" s="58">
        <f t="shared" si="0"/>
        <v>635251.48999999987</v>
      </c>
      <c r="H26" s="7">
        <v>382011.6</v>
      </c>
      <c r="I26" s="7">
        <v>150952.25</v>
      </c>
      <c r="J26" s="7">
        <v>41486.15</v>
      </c>
      <c r="K26" s="7">
        <v>44348.41</v>
      </c>
      <c r="L26" s="7">
        <v>12230.97</v>
      </c>
      <c r="M26" s="58">
        <f t="shared" si="1"/>
        <v>631029.38</v>
      </c>
      <c r="N26" s="10">
        <f>360796.79+15632.3</f>
        <v>376429.08999999997</v>
      </c>
      <c r="O26" s="10">
        <f>137460.95+13491.3</f>
        <v>150952.25</v>
      </c>
      <c r="P26" s="10">
        <f>41080.45+948.35</f>
        <v>42028.799999999996</v>
      </c>
      <c r="Q26" s="10">
        <f>39920.01+3977.75</f>
        <v>43897.760000000002</v>
      </c>
      <c r="R26" s="10">
        <f>12196.43+792.25</f>
        <v>12988.68</v>
      </c>
      <c r="S26" s="52">
        <f t="shared" si="2"/>
        <v>626296.58000000007</v>
      </c>
    </row>
    <row r="27" spans="1:20" ht="16.149999999999999" customHeight="1" x14ac:dyDescent="0.25">
      <c r="A27" s="61">
        <v>24</v>
      </c>
      <c r="B27" s="7">
        <v>382041.87</v>
      </c>
      <c r="C27" s="7">
        <v>148688.88</v>
      </c>
      <c r="D27" s="7">
        <v>42234.239999999998</v>
      </c>
      <c r="E27" s="7">
        <v>45234.32</v>
      </c>
      <c r="F27" s="7">
        <v>13062.8</v>
      </c>
      <c r="G27" s="58">
        <f t="shared" si="0"/>
        <v>631262.11</v>
      </c>
      <c r="H27" s="7">
        <v>383979.68</v>
      </c>
      <c r="I27" s="7">
        <v>145205.81</v>
      </c>
      <c r="J27" s="7">
        <v>41508.089999999997</v>
      </c>
      <c r="K27" s="7">
        <v>40652.26</v>
      </c>
      <c r="L27" s="7">
        <v>12961.8</v>
      </c>
      <c r="M27" s="58">
        <f t="shared" si="1"/>
        <v>624307.64</v>
      </c>
      <c r="N27" s="10">
        <f>367675.56+15908.65</f>
        <v>383584.21</v>
      </c>
      <c r="O27" s="10">
        <f>131030.4+13418.7</f>
        <v>144449.1</v>
      </c>
      <c r="P27" s="10">
        <f>41278.59+955.65</f>
        <v>42234.239999999998</v>
      </c>
      <c r="Q27" s="10">
        <f>40481.59+3914.45</f>
        <v>44396.039999999994</v>
      </c>
      <c r="R27" s="10">
        <f>12082.7+879.1</f>
        <v>12961.800000000001</v>
      </c>
      <c r="S27" s="52">
        <f t="shared" si="2"/>
        <v>627625.39000000013</v>
      </c>
      <c r="T27" s="3"/>
    </row>
    <row r="28" spans="1:20" ht="16.149999999999999" customHeight="1" x14ac:dyDescent="0.25">
      <c r="A28" s="61">
        <v>25</v>
      </c>
      <c r="B28" s="7">
        <v>378480.09</v>
      </c>
      <c r="C28" s="7">
        <v>146216.97</v>
      </c>
      <c r="D28" s="7">
        <v>41557.78</v>
      </c>
      <c r="E28" s="7">
        <v>42649.27</v>
      </c>
      <c r="F28" s="7">
        <v>12550.26</v>
      </c>
      <c r="G28" s="58">
        <f t="shared" si="0"/>
        <v>621454.37000000011</v>
      </c>
      <c r="H28" s="7">
        <v>376190.47</v>
      </c>
      <c r="I28" s="7">
        <v>144297.32999999999</v>
      </c>
      <c r="J28" s="7">
        <v>41557.78</v>
      </c>
      <c r="K28" s="7">
        <v>42076.53</v>
      </c>
      <c r="L28" s="7">
        <v>12459.21</v>
      </c>
      <c r="M28" s="58">
        <f t="shared" si="1"/>
        <v>616581.31999999995</v>
      </c>
      <c r="N28" s="10">
        <f>359922.22+15361.25</f>
        <v>375283.47</v>
      </c>
      <c r="O28" s="10">
        <f>131012.77+13284.55</f>
        <v>144297.32</v>
      </c>
      <c r="P28" s="10">
        <f>40833.83+723.95</f>
        <v>41557.78</v>
      </c>
      <c r="Q28" s="10">
        <f>38091.34+3985.2</f>
        <v>42076.539999999994</v>
      </c>
      <c r="R28" s="10">
        <f>11742.91+716.3</f>
        <v>12459.21</v>
      </c>
      <c r="S28" s="52">
        <f t="shared" si="2"/>
        <v>615674.31999999995</v>
      </c>
      <c r="T28" s="3"/>
    </row>
    <row r="29" spans="1:20" ht="16.149999999999999" customHeight="1" x14ac:dyDescent="0.25">
      <c r="A29" s="61">
        <v>26</v>
      </c>
      <c r="B29" s="7">
        <v>244018.91</v>
      </c>
      <c r="C29" s="7">
        <v>67645.17</v>
      </c>
      <c r="D29" s="7">
        <v>24519.8</v>
      </c>
      <c r="E29" s="7">
        <v>17602.16</v>
      </c>
      <c r="F29" s="7">
        <v>7653.35</v>
      </c>
      <c r="G29" s="58">
        <f t="shared" si="0"/>
        <v>361439.38999999996</v>
      </c>
      <c r="H29" s="7">
        <v>243398.11</v>
      </c>
      <c r="I29" s="7">
        <v>67561.72</v>
      </c>
      <c r="J29" s="7">
        <v>24003.34</v>
      </c>
      <c r="K29" s="7">
        <v>17388.599999999999</v>
      </c>
      <c r="L29" s="7">
        <v>7604.34</v>
      </c>
      <c r="M29" s="58">
        <f t="shared" si="1"/>
        <v>359956.11</v>
      </c>
      <c r="N29" s="10">
        <f>235646.06+7752.05</f>
        <v>243398.11</v>
      </c>
      <c r="O29" s="10">
        <f>61408.92+6152.8</f>
        <v>67561.72</v>
      </c>
      <c r="P29" s="10">
        <f>23645.95+357.4</f>
        <v>24003.350000000002</v>
      </c>
      <c r="Q29" s="10">
        <f>15782.19+1606.4</f>
        <v>17388.59</v>
      </c>
      <c r="R29" s="10">
        <f>7196.68+407.7</f>
        <v>7604.38</v>
      </c>
      <c r="S29" s="52">
        <f t="shared" si="2"/>
        <v>359956.14999999997</v>
      </c>
      <c r="T29" s="3"/>
    </row>
    <row r="30" spans="1:20" ht="16.149999999999999" customHeight="1" x14ac:dyDescent="0.25">
      <c r="A30" s="61">
        <v>27</v>
      </c>
      <c r="B30" s="7">
        <v>106039.8</v>
      </c>
      <c r="C30" s="7">
        <v>36287.919999999998</v>
      </c>
      <c r="D30" s="7">
        <v>11441.13</v>
      </c>
      <c r="E30" s="7">
        <v>9213.77</v>
      </c>
      <c r="F30" s="7">
        <v>3099.31</v>
      </c>
      <c r="G30" s="58">
        <f t="shared" si="0"/>
        <v>166081.93</v>
      </c>
      <c r="H30" s="7">
        <v>105842.44</v>
      </c>
      <c r="I30" s="7">
        <v>36020.559999999998</v>
      </c>
      <c r="J30" s="7">
        <v>11498.46</v>
      </c>
      <c r="K30" s="7">
        <v>9109.7099999999991</v>
      </c>
      <c r="L30" s="7">
        <v>3079.37</v>
      </c>
      <c r="M30" s="58">
        <f t="shared" si="1"/>
        <v>165550.53999999998</v>
      </c>
      <c r="N30" s="10">
        <f>102188.05+3654.4</f>
        <v>105842.45</v>
      </c>
      <c r="O30" s="10">
        <f>32026.33+3574.75</f>
        <v>35601.08</v>
      </c>
      <c r="P30" s="10">
        <f>11322.36+176.15</f>
        <v>11498.51</v>
      </c>
      <c r="Q30" s="10">
        <f>8260.21+849.5</f>
        <v>9109.7099999999991</v>
      </c>
      <c r="R30" s="10">
        <f>2913.57+165.85</f>
        <v>3079.42</v>
      </c>
      <c r="S30" s="52">
        <f t="shared" si="2"/>
        <v>165131.17000000001</v>
      </c>
      <c r="T30" s="3"/>
    </row>
    <row r="31" spans="1:20" ht="16.149999999999999" customHeight="1" x14ac:dyDescent="0.25">
      <c r="A31" s="61">
        <v>28</v>
      </c>
      <c r="B31" s="7">
        <v>368149.3</v>
      </c>
      <c r="C31" s="7">
        <v>147445.18</v>
      </c>
      <c r="D31" s="7">
        <v>40662.68</v>
      </c>
      <c r="E31" s="7">
        <v>43315.79</v>
      </c>
      <c r="F31" s="7">
        <v>12331.49</v>
      </c>
      <c r="G31" s="58">
        <f t="shared" si="0"/>
        <v>611904.44000000006</v>
      </c>
      <c r="H31" s="7">
        <v>367350.47</v>
      </c>
      <c r="I31" s="7">
        <v>143668.29999999999</v>
      </c>
      <c r="J31" s="7">
        <v>40119.4</v>
      </c>
      <c r="K31" s="7">
        <v>42739.94</v>
      </c>
      <c r="L31" s="7">
        <v>12238.14</v>
      </c>
      <c r="M31" s="58">
        <f t="shared" si="1"/>
        <v>606116.24999999988</v>
      </c>
      <c r="N31" s="10">
        <f>350837.55+15452.65</f>
        <v>366290.2</v>
      </c>
      <c r="O31" s="10">
        <f>130074.79+13672.8</f>
        <v>143747.59</v>
      </c>
      <c r="P31" s="10">
        <f>39271.63+851.65</f>
        <v>40123.279999999999</v>
      </c>
      <c r="Q31" s="10">
        <f>38811.83+3928.1</f>
        <v>42739.93</v>
      </c>
      <c r="R31" s="10">
        <f>11426.54+811.6</f>
        <v>12238.140000000001</v>
      </c>
      <c r="S31" s="52">
        <f t="shared" si="2"/>
        <v>605139.14000000013</v>
      </c>
    </row>
    <row r="32" spans="1:20" ht="16.149999999999999" customHeight="1" x14ac:dyDescent="0.25">
      <c r="A32" s="61">
        <v>29</v>
      </c>
      <c r="B32" s="7">
        <v>374582.09</v>
      </c>
      <c r="C32" s="7">
        <v>152499.65</v>
      </c>
      <c r="D32" s="7">
        <v>39669.94</v>
      </c>
      <c r="E32" s="7">
        <v>43501.279999999999</v>
      </c>
      <c r="F32" s="7">
        <v>12432.72</v>
      </c>
      <c r="G32" s="58">
        <f t="shared" si="0"/>
        <v>622685.67999999993</v>
      </c>
      <c r="H32" s="7">
        <v>374447.05</v>
      </c>
      <c r="I32" s="7">
        <v>146987.39000000001</v>
      </c>
      <c r="J32" s="7">
        <v>40672.25</v>
      </c>
      <c r="K32" s="7">
        <v>42956.18</v>
      </c>
      <c r="L32" s="7">
        <v>11819.77</v>
      </c>
      <c r="M32" s="58">
        <f t="shared" si="1"/>
        <v>616882.64</v>
      </c>
      <c r="N32" s="10">
        <f>357895.19+16550.85</f>
        <v>374446.04</v>
      </c>
      <c r="O32" s="10">
        <f>132449.49+13843.85</f>
        <v>146293.34</v>
      </c>
      <c r="P32" s="10">
        <f>39703.5+968.75</f>
        <v>40672.25</v>
      </c>
      <c r="Q32" s="10">
        <f>38997.83+3958.35</f>
        <v>42956.18</v>
      </c>
      <c r="R32" s="10">
        <f>11096.72+723.05</f>
        <v>11819.769999999999</v>
      </c>
      <c r="S32" s="52">
        <f t="shared" si="2"/>
        <v>616187.58000000007</v>
      </c>
    </row>
    <row r="33" spans="1:20" ht="16.149999999999999" customHeight="1" x14ac:dyDescent="0.25">
      <c r="A33" s="61">
        <v>30</v>
      </c>
      <c r="B33" s="7">
        <v>382222.73</v>
      </c>
      <c r="C33" s="7">
        <v>148641.92000000001</v>
      </c>
      <c r="D33" s="7">
        <v>42036.65</v>
      </c>
      <c r="E33" s="7">
        <v>43756.73</v>
      </c>
      <c r="F33" s="7">
        <v>12915.94</v>
      </c>
      <c r="G33" s="58">
        <f t="shared" si="0"/>
        <v>629573.97</v>
      </c>
      <c r="H33" s="7">
        <v>378771.89</v>
      </c>
      <c r="I33" s="7">
        <v>146745.9</v>
      </c>
      <c r="J33" s="7">
        <v>42036.6</v>
      </c>
      <c r="K33" s="7">
        <v>41943.64</v>
      </c>
      <c r="L33" s="7">
        <v>13351.77</v>
      </c>
      <c r="M33" s="58">
        <f t="shared" si="1"/>
        <v>622849.80000000005</v>
      </c>
      <c r="N33" s="7">
        <f>362083.59+16688.3</f>
        <v>378771.89</v>
      </c>
      <c r="O33" s="7">
        <f>133230.85+13515.1</f>
        <v>146745.95000000001</v>
      </c>
      <c r="P33" s="10">
        <f>41087.5+949.15</f>
        <v>42036.65</v>
      </c>
      <c r="Q33" s="10">
        <f>38351.34+3592.3</f>
        <v>41943.64</v>
      </c>
      <c r="R33" s="10">
        <f>12410.07+941.7</f>
        <v>13351.77</v>
      </c>
      <c r="S33" s="52">
        <f t="shared" si="2"/>
        <v>622849.90000000014</v>
      </c>
    </row>
    <row r="34" spans="1:20" ht="16.149999999999999" customHeight="1" x14ac:dyDescent="0.25">
      <c r="A34" s="61">
        <v>31</v>
      </c>
      <c r="B34" s="10">
        <v>401245.19</v>
      </c>
      <c r="C34" s="10">
        <v>152025.71</v>
      </c>
      <c r="D34" s="7">
        <v>43047.56</v>
      </c>
      <c r="E34" s="7">
        <v>45369.13</v>
      </c>
      <c r="F34" s="7">
        <v>13955.36</v>
      </c>
      <c r="G34" s="58">
        <f t="shared" si="0"/>
        <v>655642.94999999995</v>
      </c>
      <c r="H34" s="7">
        <v>396410.49</v>
      </c>
      <c r="I34" s="7">
        <v>151986.78</v>
      </c>
      <c r="J34" s="7">
        <v>42029.91</v>
      </c>
      <c r="K34" s="7">
        <v>44466.720000000001</v>
      </c>
      <c r="L34" s="7">
        <v>12957.93</v>
      </c>
      <c r="M34" s="58">
        <f t="shared" si="1"/>
        <v>647851.83000000007</v>
      </c>
      <c r="N34" s="10">
        <f>376194.04+20216.5</f>
        <v>396410.54</v>
      </c>
      <c r="O34" s="10">
        <f>132291.38+15695.4</f>
        <v>147986.78</v>
      </c>
      <c r="P34" s="10">
        <f>41048.21+981.75</f>
        <v>42029.96</v>
      </c>
      <c r="Q34" s="10">
        <f>40398.17+4068.55</f>
        <v>44466.720000000001</v>
      </c>
      <c r="R34" s="10">
        <f>12912.46+1042.9</f>
        <v>13955.359999999999</v>
      </c>
      <c r="S34" s="52">
        <f t="shared" si="2"/>
        <v>644849.35999999987</v>
      </c>
    </row>
    <row r="35" spans="1:20" ht="16.149999999999999" customHeight="1" thickBot="1" x14ac:dyDescent="0.25">
      <c r="A35" s="62" t="s">
        <v>10</v>
      </c>
      <c r="B35" s="63">
        <f>SUM(B4:B34)</f>
        <v>9615524.4800000004</v>
      </c>
      <c r="C35" s="63">
        <f>SUM(C4:C34)</f>
        <v>3544047.2899999996</v>
      </c>
      <c r="D35" s="63">
        <f>SUM(D4:D34)</f>
        <v>1070860.52</v>
      </c>
      <c r="E35" s="63">
        <f>SUM(E4:E34)</f>
        <v>1014452.2700000001</v>
      </c>
      <c r="F35" s="63">
        <f>SUM(F4:F34)</f>
        <v>317059.82</v>
      </c>
      <c r="G35" s="64">
        <f t="shared" si="0"/>
        <v>15561944.379999999</v>
      </c>
      <c r="H35" s="65">
        <f t="shared" ref="H35:S35" si="3">SUM(H4:H34)</f>
        <v>9599190.7300000004</v>
      </c>
      <c r="I35" s="63">
        <f t="shared" si="3"/>
        <v>3530593.5400000005</v>
      </c>
      <c r="J35" s="63">
        <f t="shared" si="3"/>
        <v>1070408.52</v>
      </c>
      <c r="K35" s="63">
        <f t="shared" si="3"/>
        <v>983488.1100000001</v>
      </c>
      <c r="L35" s="63">
        <f t="shared" si="3"/>
        <v>314182.51</v>
      </c>
      <c r="M35" s="66">
        <f t="shared" si="3"/>
        <v>15497863.410000002</v>
      </c>
      <c r="N35" s="63">
        <f t="shared" si="3"/>
        <v>9616376.8699999992</v>
      </c>
      <c r="O35" s="63">
        <f t="shared" si="3"/>
        <v>3559806.72</v>
      </c>
      <c r="P35" s="63">
        <f t="shared" si="3"/>
        <v>1071122.4000000001</v>
      </c>
      <c r="Q35" s="63">
        <f t="shared" si="3"/>
        <v>992689.59</v>
      </c>
      <c r="R35" s="63">
        <f t="shared" si="3"/>
        <v>317437.67</v>
      </c>
      <c r="S35" s="46">
        <f t="shared" si="3"/>
        <v>15557433.250000004</v>
      </c>
      <c r="T35" s="17"/>
    </row>
  </sheetData>
  <mergeCells count="5">
    <mergeCell ref="A2:A3"/>
    <mergeCell ref="B2:G2"/>
    <mergeCell ref="H2:M2"/>
    <mergeCell ref="N2:S2"/>
    <mergeCell ref="B1:S1"/>
  </mergeCells>
  <conditionalFormatting sqref="P18 N18 R18">
    <cfRule type="duplicateValues" dxfId="1" priority="1"/>
  </conditionalFormatting>
  <printOptions horizontalCentered="1" verticalCentered="1"/>
  <pageMargins left="0" right="0" top="0" bottom="0" header="0" footer="0"/>
  <pageSetup paperSize="9" scale="65" orientation="landscape" verticalDpi="0" r:id="rId1"/>
  <ignoredErrors>
    <ignoredError sqref="G4:G32 G33:G34" formulaRange="1"/>
    <ignoredError sqref="G3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OUT.2022 </vt:lpstr>
      <vt:lpstr>SET.2022</vt:lpstr>
      <vt:lpstr>AGO.2022</vt:lpstr>
      <vt:lpstr>JAN</vt:lpstr>
      <vt:lpstr>JUL.2022  </vt:lpstr>
      <vt:lpstr>JUN.2022 </vt:lpstr>
      <vt:lpstr>MAI.2022</vt:lpstr>
      <vt:lpstr>ABR.2022</vt:lpstr>
      <vt:lpstr>MAR.2022</vt:lpstr>
      <vt:lpstr>FEV.2022</vt:lpstr>
      <vt:lpstr>JAN.2022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Ceinf8</dc:creator>
  <cp:lastModifiedBy>Marcelo Francisco da Silva Filho</cp:lastModifiedBy>
  <cp:revision/>
  <cp:lastPrinted>2022-01-28T09:49:57Z</cp:lastPrinted>
  <dcterms:created xsi:type="dcterms:W3CDTF">2015-10-14T17:04:44Z</dcterms:created>
  <dcterms:modified xsi:type="dcterms:W3CDTF">2022-10-05T10:15:35Z</dcterms:modified>
</cp:coreProperties>
</file>