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27900" windowHeight="13305" activeTab="1"/>
  </bookViews>
  <sheets>
    <sheet name="Arkusz1" sheetId="1" r:id="rId1"/>
    <sheet name="Arkusz2" sheetId="2" r:id="rId2"/>
    <sheet name="Arkusz3" sheetId="3" r:id="rId3"/>
    <sheet name="Arkusz4" sheetId="4" r:id="rId4"/>
    <sheet name="Arkusz5" sheetId="5" r:id="rId5"/>
  </sheets>
  <calcPr calcId="124519"/>
</workbook>
</file>

<file path=xl/calcChain.xml><?xml version="1.0" encoding="utf-8"?>
<calcChain xmlns="http://schemas.openxmlformats.org/spreadsheetml/2006/main">
  <c r="A34" i="5"/>
  <c r="B31"/>
  <c r="C30" i="4"/>
  <c r="A35" i="3"/>
  <c r="B37" i="2"/>
  <c r="B33" i="4"/>
  <c r="B32"/>
  <c r="B32" i="3"/>
  <c r="B31"/>
  <c r="C34" i="2"/>
  <c r="C33"/>
  <c r="C62" i="1"/>
  <c r="D62"/>
  <c r="E62"/>
  <c r="F62"/>
  <c r="G62"/>
  <c r="H62"/>
  <c r="I62"/>
  <c r="B62"/>
  <c r="C61"/>
  <c r="D61"/>
  <c r="E61"/>
  <c r="F61"/>
  <c r="G61"/>
  <c r="H61"/>
  <c r="I61"/>
  <c r="B61"/>
  <c r="O59"/>
  <c r="C49"/>
  <c r="D49"/>
  <c r="E49"/>
  <c r="F49"/>
  <c r="G49"/>
  <c r="H49"/>
  <c r="I49"/>
  <c r="B49"/>
  <c r="C48"/>
  <c r="D48"/>
  <c r="E48"/>
  <c r="F48"/>
  <c r="G48"/>
  <c r="H48"/>
  <c r="I48"/>
  <c r="B48"/>
  <c r="C36"/>
  <c r="D36"/>
  <c r="E36"/>
  <c r="F36"/>
  <c r="G36"/>
  <c r="H36"/>
  <c r="I36"/>
  <c r="B36"/>
  <c r="C35"/>
  <c r="D35"/>
  <c r="E35"/>
  <c r="F35"/>
  <c r="G35"/>
  <c r="H35"/>
  <c r="I35"/>
  <c r="B35"/>
  <c r="C10"/>
  <c r="D10"/>
  <c r="E10"/>
  <c r="F10"/>
  <c r="G10"/>
  <c r="H10"/>
  <c r="I10"/>
  <c r="J10"/>
  <c r="K10"/>
  <c r="L10"/>
  <c r="B10"/>
  <c r="C9"/>
  <c r="D9"/>
  <c r="E9"/>
  <c r="F9"/>
  <c r="G9"/>
  <c r="H9"/>
  <c r="I9"/>
  <c r="J9"/>
  <c r="K9"/>
  <c r="L9"/>
  <c r="B9"/>
  <c r="C23"/>
  <c r="D23"/>
  <c r="E23"/>
  <c r="F23"/>
  <c r="G23"/>
  <c r="H23"/>
  <c r="I23"/>
  <c r="B23"/>
  <c r="O19"/>
  <c r="O5"/>
  <c r="A20" i="5" a="1"/>
  <c r="B24" s="1"/>
  <c r="A21" i="4" a="1"/>
  <c r="B24" s="1"/>
  <c r="A22" i="3" a="1"/>
  <c r="B26" s="1"/>
  <c r="B23" i="2" a="1"/>
  <c r="C27" s="1"/>
  <c r="A23" i="5" l="1"/>
  <c r="A20"/>
  <c r="B20"/>
  <c r="A21"/>
  <c r="B21"/>
  <c r="A22"/>
  <c r="B22"/>
  <c r="B23"/>
  <c r="A24"/>
  <c r="B21" i="4"/>
  <c r="B23"/>
  <c r="A25"/>
  <c r="A24"/>
  <c r="B25"/>
  <c r="A21"/>
  <c r="A22"/>
  <c r="B22"/>
  <c r="A23"/>
  <c r="A22" i="3"/>
  <c r="B23"/>
  <c r="A26"/>
  <c r="B22"/>
  <c r="A23"/>
  <c r="A24"/>
  <c r="B24"/>
  <c r="A25"/>
  <c r="B25"/>
  <c r="B23" i="2"/>
  <c r="C23"/>
  <c r="B25"/>
  <c r="C25"/>
  <c r="B26"/>
  <c r="B27"/>
  <c r="B24"/>
  <c r="C24"/>
  <c r="C26"/>
  <c r="B18" i="4"/>
  <c r="B18" i="5"/>
  <c r="B17" i="4"/>
  <c r="B11"/>
  <c r="B10"/>
  <c r="B9"/>
  <c r="B8"/>
  <c r="B7"/>
  <c r="B6"/>
  <c r="B5"/>
  <c r="B4"/>
  <c r="A11"/>
  <c r="A10"/>
  <c r="A9"/>
  <c r="A8"/>
  <c r="A7"/>
  <c r="A6"/>
  <c r="A5"/>
  <c r="A4"/>
  <c r="C20" i="2"/>
  <c r="B11" i="3"/>
  <c r="B10"/>
  <c r="B9"/>
  <c r="B8"/>
  <c r="B7"/>
  <c r="B6"/>
  <c r="B5"/>
  <c r="B4"/>
  <c r="A11"/>
  <c r="A10"/>
  <c r="A9"/>
  <c r="A8"/>
  <c r="A7"/>
  <c r="A6"/>
  <c r="A5"/>
  <c r="A4"/>
  <c r="C11" i="2"/>
  <c r="C10"/>
  <c r="C9"/>
  <c r="C8"/>
  <c r="C7"/>
  <c r="C6"/>
  <c r="C5"/>
  <c r="C4"/>
  <c r="B11"/>
  <c r="B10"/>
  <c r="B9"/>
  <c r="B8"/>
  <c r="B7"/>
  <c r="B6"/>
  <c r="B5"/>
  <c r="B4"/>
  <c r="B19" i="3"/>
  <c r="A11" i="5"/>
  <c r="A10"/>
  <c r="A9"/>
  <c r="A8"/>
  <c r="A7"/>
  <c r="A6"/>
  <c r="A5"/>
  <c r="A4"/>
  <c r="H60" i="1"/>
  <c r="H63" s="1"/>
  <c r="D63"/>
  <c r="E63"/>
  <c r="C60"/>
  <c r="C63" s="1"/>
  <c r="D60"/>
  <c r="E60"/>
  <c r="F60"/>
  <c r="F63" s="1"/>
  <c r="G60"/>
  <c r="G63" s="1"/>
  <c r="I60"/>
  <c r="I63" s="1"/>
  <c r="B60"/>
  <c r="B63" s="1"/>
  <c r="C47"/>
  <c r="D47"/>
  <c r="E47"/>
  <c r="F47"/>
  <c r="G47"/>
  <c r="H47"/>
  <c r="I47"/>
  <c r="B47"/>
  <c r="C34"/>
  <c r="D34"/>
  <c r="E34"/>
  <c r="F34"/>
  <c r="G34"/>
  <c r="H34"/>
  <c r="I34"/>
  <c r="B34"/>
  <c r="W3"/>
  <c r="C8"/>
  <c r="D8"/>
  <c r="E8"/>
  <c r="F8"/>
  <c r="G8"/>
  <c r="H8"/>
  <c r="I8"/>
  <c r="J8"/>
  <c r="K8"/>
  <c r="L8"/>
  <c r="B8"/>
  <c r="S3" s="1"/>
  <c r="C22"/>
  <c r="D22"/>
  <c r="E22"/>
  <c r="F22"/>
  <c r="G22"/>
  <c r="H22"/>
  <c r="I22"/>
  <c r="B22"/>
  <c r="E5" i="2"/>
  <c r="X3" i="1" l="1"/>
  <c r="Q5"/>
  <c r="T3"/>
  <c r="R5"/>
  <c r="U3"/>
  <c r="V3"/>
  <c r="Q3"/>
  <c r="R3"/>
</calcChain>
</file>

<file path=xl/sharedStrings.xml><?xml version="1.0" encoding="utf-8"?>
<sst xmlns="http://schemas.openxmlformats.org/spreadsheetml/2006/main" count="122" uniqueCount="64">
  <si>
    <t>m1</t>
  </si>
  <si>
    <t>m2</t>
  </si>
  <si>
    <t>m3</t>
  </si>
  <si>
    <t>m4</t>
  </si>
  <si>
    <t>m5</t>
  </si>
  <si>
    <t>m6</t>
  </si>
  <si>
    <t>m7</t>
  </si>
  <si>
    <t>m8</t>
  </si>
  <si>
    <t>mass measurement [g]</t>
  </si>
  <si>
    <t>m9</t>
  </si>
  <si>
    <t>m10</t>
  </si>
  <si>
    <t>m11</t>
  </si>
  <si>
    <t>delta e [g]</t>
  </si>
  <si>
    <t>delta p [g]</t>
  </si>
  <si>
    <t>Spring 1</t>
  </si>
  <si>
    <t>m1-m11</t>
  </si>
  <si>
    <t>x</t>
  </si>
  <si>
    <t>m1-m10</t>
  </si>
  <si>
    <t>m1-m8</t>
  </si>
  <si>
    <t>m1-m6</t>
  </si>
  <si>
    <t>m1-m5</t>
  </si>
  <si>
    <t>m1-m4</t>
  </si>
  <si>
    <t>m1-m3</t>
  </si>
  <si>
    <t>m1-m2</t>
  </si>
  <si>
    <t>cm</t>
  </si>
  <si>
    <t>Spring 2</t>
  </si>
  <si>
    <t>delta p [cm]</t>
  </si>
  <si>
    <t>delta e [cm]</t>
  </si>
  <si>
    <t>Serial system of springs</t>
  </si>
  <si>
    <t>m1-m1</t>
  </si>
  <si>
    <t>m1-m7</t>
  </si>
  <si>
    <t>Oscillations</t>
  </si>
  <si>
    <t>s</t>
  </si>
  <si>
    <t>m1-m9</t>
  </si>
  <si>
    <t>delta p t [s]</t>
  </si>
  <si>
    <t>delta e p [s]</t>
  </si>
  <si>
    <t>m</t>
  </si>
  <si>
    <t>x(m) for the first spring</t>
  </si>
  <si>
    <t>u(m)</t>
  </si>
  <si>
    <t>u(x)</t>
  </si>
  <si>
    <t>x(m) for the second spring</t>
  </si>
  <si>
    <t>mean</t>
  </si>
  <si>
    <t>x(m) for series of springs</t>
  </si>
  <si>
    <t>period</t>
  </si>
  <si>
    <t>T^2(m) for the oscillations</t>
  </si>
  <si>
    <t>T^2</t>
  </si>
  <si>
    <t>k</t>
  </si>
  <si>
    <t>k [kg/s^2]</t>
  </si>
  <si>
    <t>kz [kg/s^2]</t>
  </si>
  <si>
    <t>m [kg]</t>
  </si>
  <si>
    <t>x [m]</t>
  </si>
  <si>
    <t>u(a)</t>
  </si>
  <si>
    <t>m [Kg]</t>
  </si>
  <si>
    <t>u(k)</t>
  </si>
  <si>
    <t>u(b)</t>
  </si>
  <si>
    <t>ua(m)</t>
  </si>
  <si>
    <t>ua(x)</t>
  </si>
  <si>
    <t>ub(x)</t>
  </si>
  <si>
    <t>measurement number</t>
  </si>
  <si>
    <t>u(t)</t>
  </si>
  <si>
    <t>ub(t)</t>
  </si>
  <si>
    <t>ua(t)</t>
  </si>
  <si>
    <t>ca</t>
  </si>
  <si>
    <t>cg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</si>
</sst>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/>
              <a:t>Function</a:t>
            </a:r>
            <a:r>
              <a:rPr lang="pl-PL" baseline="0"/>
              <a:t> x(m) for the first spring</a:t>
            </a:r>
            <a:endParaRPr lang="pl-PL"/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29026227372684066"/>
                  <c:y val="0.14140932784203578"/>
                </c:manualLayout>
              </c:layout>
              <c:numFmt formatCode="General" sourceLinked="0"/>
            </c:trendlineLbl>
          </c:trendline>
          <c:xVal>
            <c:numRef>
              <c:f>Arkusz2!$B$4:$B$11</c:f>
              <c:numCache>
                <c:formatCode>General</c:formatCode>
                <c:ptCount val="8"/>
                <c:pt idx="0">
                  <c:v>0.69178200000000001</c:v>
                </c:pt>
                <c:pt idx="1">
                  <c:v>0.67191800000000002</c:v>
                </c:pt>
                <c:pt idx="2">
                  <c:v>0.65194799999999997</c:v>
                </c:pt>
                <c:pt idx="3">
                  <c:v>0.52221799999999996</c:v>
                </c:pt>
                <c:pt idx="4">
                  <c:v>0.50239800000000001</c:v>
                </c:pt>
                <c:pt idx="5">
                  <c:v>0.40190599999999999</c:v>
                </c:pt>
                <c:pt idx="6">
                  <c:v>0.30165399999999998</c:v>
                </c:pt>
                <c:pt idx="7">
                  <c:v>0.200768</c:v>
                </c:pt>
              </c:numCache>
            </c:numRef>
          </c:xVal>
          <c:yVal>
            <c:numRef>
              <c:f>Arkusz2!$C$4:$C$11</c:f>
              <c:numCache>
                <c:formatCode>General</c:formatCode>
                <c:ptCount val="8"/>
                <c:pt idx="0">
                  <c:v>0.28220000000000001</c:v>
                </c:pt>
                <c:pt idx="1">
                  <c:v>0.2722</c:v>
                </c:pt>
                <c:pt idx="2">
                  <c:v>0.26739999999999997</c:v>
                </c:pt>
                <c:pt idx="3">
                  <c:v>0.22699999999999998</c:v>
                </c:pt>
                <c:pt idx="4">
                  <c:v>0.20760000000000001</c:v>
                </c:pt>
                <c:pt idx="5">
                  <c:v>0.16800000000000001</c:v>
                </c:pt>
                <c:pt idx="6">
                  <c:v>0.12659999999999999</c:v>
                </c:pt>
                <c:pt idx="7">
                  <c:v>8.4199999999999997E-2</c:v>
                </c:pt>
              </c:numCache>
            </c:numRef>
          </c:yVal>
        </c:ser>
        <c:axId val="101191680"/>
        <c:axId val="67047808"/>
      </c:scatterChart>
      <c:valAx>
        <c:axId val="10119168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m</a:t>
                </a:r>
                <a:r>
                  <a:rPr lang="pl-PL" baseline="0"/>
                  <a:t> [kg]</a:t>
                </a:r>
                <a:endParaRPr lang="pl-PL"/>
              </a:p>
            </c:rich>
          </c:tx>
          <c:layout/>
        </c:title>
        <c:numFmt formatCode="General" sourceLinked="1"/>
        <c:tickLblPos val="nextTo"/>
        <c:crossAx val="67047808"/>
        <c:crosses val="autoZero"/>
        <c:crossBetween val="midCat"/>
      </c:valAx>
      <c:valAx>
        <c:axId val="67047808"/>
        <c:scaling>
          <c:orientation val="minMax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pl-PL"/>
                  <a:t>x</a:t>
                </a:r>
                <a:r>
                  <a:rPr lang="pl-PL" baseline="0"/>
                  <a:t> [m]</a:t>
                </a:r>
                <a:endParaRPr lang="pl-PL"/>
              </a:p>
            </c:rich>
          </c:tx>
          <c:layout/>
        </c:title>
        <c:numFmt formatCode="General" sourceLinked="1"/>
        <c:tickLblPos val="nextTo"/>
        <c:crossAx val="101191680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/>
              <a:t>Function</a:t>
            </a:r>
            <a:r>
              <a:rPr lang="pl-PL" baseline="0"/>
              <a:t> x(m) for the second spring</a:t>
            </a:r>
            <a:endParaRPr lang="pl-PL"/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8.6403447420075358E-2"/>
                  <c:y val="2.4401652763701568E-4"/>
                </c:manualLayout>
              </c:layout>
              <c:numFmt formatCode="General" sourceLinked="0"/>
            </c:trendlineLbl>
          </c:trendline>
          <c:xVal>
            <c:numRef>
              <c:f>Arkusz3!$A$4:$A$11</c:f>
              <c:numCache>
                <c:formatCode>General</c:formatCode>
                <c:ptCount val="8"/>
                <c:pt idx="0">
                  <c:v>0.69178200000000001</c:v>
                </c:pt>
                <c:pt idx="1">
                  <c:v>0.67191800000000002</c:v>
                </c:pt>
                <c:pt idx="2">
                  <c:v>0.65194799999999997</c:v>
                </c:pt>
                <c:pt idx="3">
                  <c:v>0.52221799999999996</c:v>
                </c:pt>
                <c:pt idx="4">
                  <c:v>0.50239800000000001</c:v>
                </c:pt>
                <c:pt idx="5">
                  <c:v>0.40190599999999999</c:v>
                </c:pt>
                <c:pt idx="6">
                  <c:v>0.30165399999999998</c:v>
                </c:pt>
                <c:pt idx="7">
                  <c:v>0.200768</c:v>
                </c:pt>
              </c:numCache>
            </c:numRef>
          </c:xVal>
          <c:yVal>
            <c:numRef>
              <c:f>Arkusz3!$B$4:$B$11</c:f>
              <c:numCache>
                <c:formatCode>General</c:formatCode>
                <c:ptCount val="8"/>
                <c:pt idx="0">
                  <c:v>0.26500000000000001</c:v>
                </c:pt>
                <c:pt idx="1">
                  <c:v>0.25700000000000001</c:v>
                </c:pt>
                <c:pt idx="2">
                  <c:v>0.24879999999999999</c:v>
                </c:pt>
                <c:pt idx="3">
                  <c:v>0.2084</c:v>
                </c:pt>
                <c:pt idx="4">
                  <c:v>0.18920000000000001</c:v>
                </c:pt>
                <c:pt idx="5">
                  <c:v>0.15079999999999999</c:v>
                </c:pt>
                <c:pt idx="6">
                  <c:v>0.1096</c:v>
                </c:pt>
                <c:pt idx="7">
                  <c:v>7.3200000000000001E-2</c:v>
                </c:pt>
              </c:numCache>
            </c:numRef>
          </c:yVal>
        </c:ser>
        <c:axId val="117312896"/>
        <c:axId val="117091328"/>
      </c:scatterChart>
      <c:valAx>
        <c:axId val="11731289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m</a:t>
                </a:r>
                <a:r>
                  <a:rPr lang="pl-PL" baseline="0"/>
                  <a:t> [kg]</a:t>
                </a:r>
              </a:p>
            </c:rich>
          </c:tx>
          <c:layout/>
        </c:title>
        <c:numFmt formatCode="General" sourceLinked="1"/>
        <c:tickLblPos val="nextTo"/>
        <c:crossAx val="117091328"/>
        <c:crosses val="autoZero"/>
        <c:crossBetween val="midCat"/>
      </c:valAx>
      <c:valAx>
        <c:axId val="117091328"/>
        <c:scaling>
          <c:orientation val="minMax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pl-PL"/>
                  <a:t>x</a:t>
                </a:r>
                <a:r>
                  <a:rPr lang="pl-PL" baseline="0"/>
                  <a:t> [m]</a:t>
                </a:r>
                <a:endParaRPr lang="pl-PL"/>
              </a:p>
            </c:rich>
          </c:tx>
          <c:layout/>
        </c:title>
        <c:numFmt formatCode="General" sourceLinked="1"/>
        <c:tickLblPos val="nextTo"/>
        <c:crossAx val="117312896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/>
              <a:t>x(m)</a:t>
            </a:r>
            <a:r>
              <a:rPr lang="pl-PL" baseline="0"/>
              <a:t> for the springs connected in a series</a:t>
            </a:r>
            <a:endParaRPr lang="pl-PL"/>
          </a:p>
        </c:rich>
      </c:tx>
      <c:layout>
        <c:manualLayout>
          <c:xMode val="edge"/>
          <c:yMode val="edge"/>
          <c:x val="0.20609293460220993"/>
          <c:y val="1.7467248908296942E-2"/>
        </c:manualLayout>
      </c:layout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15179062851824096"/>
                  <c:y val="1.7534871459844812E-2"/>
                </c:manualLayout>
              </c:layout>
              <c:numFmt formatCode="General" sourceLinked="0"/>
            </c:trendlineLbl>
          </c:trendline>
          <c:xVal>
            <c:numRef>
              <c:f>Arkusz4!$A$4:$A$11</c:f>
              <c:numCache>
                <c:formatCode>General</c:formatCode>
                <c:ptCount val="8"/>
                <c:pt idx="0">
                  <c:v>9.9876000000000006E-2</c:v>
                </c:pt>
                <c:pt idx="1">
                  <c:v>0.200768</c:v>
                </c:pt>
                <c:pt idx="2">
                  <c:v>0.30165399999999998</c:v>
                </c:pt>
                <c:pt idx="3">
                  <c:v>0.40190599999999999</c:v>
                </c:pt>
                <c:pt idx="4">
                  <c:v>0.50239800000000001</c:v>
                </c:pt>
                <c:pt idx="5">
                  <c:v>0.55221799999999999</c:v>
                </c:pt>
                <c:pt idx="6">
                  <c:v>0.60197199999999995</c:v>
                </c:pt>
                <c:pt idx="7">
                  <c:v>0.65194799999999997</c:v>
                </c:pt>
              </c:numCache>
            </c:numRef>
          </c:xVal>
          <c:yVal>
            <c:numRef>
              <c:f>Arkusz4!$B$4:$B$11</c:f>
              <c:numCache>
                <c:formatCode>General</c:formatCode>
                <c:ptCount val="8"/>
                <c:pt idx="0">
                  <c:v>0.25800000000000001</c:v>
                </c:pt>
                <c:pt idx="1">
                  <c:v>0.34060000000000001</c:v>
                </c:pt>
                <c:pt idx="2">
                  <c:v>0.42200000000000004</c:v>
                </c:pt>
                <c:pt idx="3">
                  <c:v>0.50380000000000003</c:v>
                </c:pt>
                <c:pt idx="4">
                  <c:v>0.58399999999999996</c:v>
                </c:pt>
                <c:pt idx="5">
                  <c:v>0.59499999999999997</c:v>
                </c:pt>
                <c:pt idx="6">
                  <c:v>0.63060000000000005</c:v>
                </c:pt>
                <c:pt idx="7">
                  <c:v>0.66799999999999993</c:v>
                </c:pt>
              </c:numCache>
            </c:numRef>
          </c:yVal>
        </c:ser>
        <c:axId val="133502080"/>
        <c:axId val="132901120"/>
      </c:scatterChart>
      <c:valAx>
        <c:axId val="13350208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m</a:t>
                </a:r>
                <a:r>
                  <a:rPr lang="pl-PL" baseline="0"/>
                  <a:t> [g]</a:t>
                </a:r>
                <a:endParaRPr lang="pl-PL"/>
              </a:p>
            </c:rich>
          </c:tx>
          <c:layout/>
        </c:title>
        <c:numFmt formatCode="General" sourceLinked="1"/>
        <c:tickLblPos val="nextTo"/>
        <c:crossAx val="132901120"/>
        <c:crosses val="autoZero"/>
        <c:crossBetween val="midCat"/>
      </c:valAx>
      <c:valAx>
        <c:axId val="132901120"/>
        <c:scaling>
          <c:orientation val="minMax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pl-PL"/>
                  <a:t>x</a:t>
                </a:r>
                <a:r>
                  <a:rPr lang="pl-PL" baseline="0"/>
                  <a:t> [cm]</a:t>
                </a:r>
                <a:endParaRPr lang="pl-PL"/>
              </a:p>
            </c:rich>
          </c:tx>
          <c:layout>
            <c:manualLayout>
              <c:xMode val="edge"/>
              <c:yMode val="edge"/>
              <c:x val="1.912212081703607E-2"/>
              <c:y val="0.46097032630746482"/>
            </c:manualLayout>
          </c:layout>
        </c:title>
        <c:numFmt formatCode="General" sourceLinked="1"/>
        <c:tickLblPos val="nextTo"/>
        <c:crossAx val="133502080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/>
              <a:t>Function</a:t>
            </a:r>
            <a:r>
              <a:rPr lang="pl-PL" baseline="0"/>
              <a:t> T^2(m)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14313185116566313"/>
                  <c:y val="-3.3593279006063105E-2"/>
                </c:manualLayout>
              </c:layout>
              <c:numFmt formatCode="General" sourceLinked="0"/>
            </c:trendlineLbl>
          </c:trendline>
          <c:xVal>
            <c:numRef>
              <c:f>Arkusz5!$A$4:$A$11</c:f>
              <c:numCache>
                <c:formatCode>General</c:formatCode>
                <c:ptCount val="8"/>
                <c:pt idx="0">
                  <c:v>0.30165399999999998</c:v>
                </c:pt>
                <c:pt idx="1">
                  <c:v>0.40190599999999999</c:v>
                </c:pt>
                <c:pt idx="2">
                  <c:v>0.50239800000000001</c:v>
                </c:pt>
                <c:pt idx="3">
                  <c:v>0.55221799999999999</c:v>
                </c:pt>
                <c:pt idx="4">
                  <c:v>0.60197199999999995</c:v>
                </c:pt>
                <c:pt idx="5">
                  <c:v>0.65194799999999997</c:v>
                </c:pt>
                <c:pt idx="6">
                  <c:v>0.66192999999999991</c:v>
                </c:pt>
                <c:pt idx="7">
                  <c:v>0.67191800000000002</c:v>
                </c:pt>
              </c:numCache>
            </c:numRef>
          </c:xVal>
          <c:yVal>
            <c:numRef>
              <c:f>Arkusz5!$B$4:$B$11</c:f>
              <c:numCache>
                <c:formatCode>General</c:formatCode>
                <c:ptCount val="8"/>
                <c:pt idx="0">
                  <c:v>0.47775699999999999</c:v>
                </c:pt>
                <c:pt idx="1">
                  <c:v>0.62842600000000004</c:v>
                </c:pt>
                <c:pt idx="2">
                  <c:v>0.783107</c:v>
                </c:pt>
                <c:pt idx="3">
                  <c:v>0.86365999999999998</c:v>
                </c:pt>
                <c:pt idx="4">
                  <c:v>0.92762599999999995</c:v>
                </c:pt>
                <c:pt idx="5">
                  <c:v>1.000934</c:v>
                </c:pt>
                <c:pt idx="6">
                  <c:v>1.0206390000000001</c:v>
                </c:pt>
                <c:pt idx="7">
                  <c:v>1.0370029999999999</c:v>
                </c:pt>
              </c:numCache>
            </c:numRef>
          </c:yVal>
        </c:ser>
        <c:axId val="178657920"/>
        <c:axId val="178655232"/>
      </c:scatterChart>
      <c:valAx>
        <c:axId val="17865792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m</a:t>
                </a:r>
                <a:r>
                  <a:rPr lang="pl-PL" baseline="0"/>
                  <a:t> [kg]</a:t>
                </a:r>
                <a:endParaRPr lang="pl-PL"/>
              </a:p>
            </c:rich>
          </c:tx>
          <c:layout/>
        </c:title>
        <c:numFmt formatCode="General" sourceLinked="1"/>
        <c:tickLblPos val="nextTo"/>
        <c:crossAx val="178655232"/>
        <c:crosses val="autoZero"/>
        <c:crossBetween val="midCat"/>
      </c:valAx>
      <c:valAx>
        <c:axId val="178655232"/>
        <c:scaling>
          <c:orientation val="minMax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pl-PL"/>
                  <a:t>T^2</a:t>
                </a:r>
                <a:r>
                  <a:rPr lang="pl-PL" baseline="0"/>
                  <a:t> [s^2]</a:t>
                </a:r>
                <a:endParaRPr lang="pl-PL"/>
              </a:p>
            </c:rich>
          </c:tx>
          <c:layout/>
        </c:title>
        <c:numFmt formatCode="General" sourceLinked="1"/>
        <c:tickLblPos val="nextTo"/>
        <c:crossAx val="178657920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4</xdr:row>
      <xdr:rowOff>57150</xdr:rowOff>
    </xdr:from>
    <xdr:to>
      <xdr:col>19</xdr:col>
      <xdr:colOff>533400</xdr:colOff>
      <xdr:row>30</xdr:row>
      <xdr:rowOff>104775</xdr:rowOff>
    </xdr:to>
    <xdr:graphicFrame macro="">
      <xdr:nvGraphicFramePr>
        <xdr:cNvPr id="5" name="Wykres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2</xdr:row>
      <xdr:rowOff>152400</xdr:rowOff>
    </xdr:from>
    <xdr:to>
      <xdr:col>13</xdr:col>
      <xdr:colOff>676275</xdr:colOff>
      <xdr:row>24</xdr:row>
      <xdr:rowOff>19050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647699</xdr:colOff>
      <xdr:row>1</xdr:row>
      <xdr:rowOff>152400</xdr:rowOff>
    </xdr:from>
    <xdr:to>
      <xdr:col>17</xdr:col>
      <xdr:colOff>409574</xdr:colOff>
      <xdr:row>25</xdr:row>
      <xdr:rowOff>171450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161926</xdr:colOff>
      <xdr:row>1</xdr:row>
      <xdr:rowOff>66675</xdr:rowOff>
    </xdr:from>
    <xdr:to>
      <xdr:col>18</xdr:col>
      <xdr:colOff>628650</xdr:colOff>
      <xdr:row>31</xdr:row>
      <xdr:rowOff>85725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3"/>
  <sheetViews>
    <sheetView topLeftCell="A34" workbookViewId="0">
      <selection activeCell="J31" sqref="J31"/>
    </sheetView>
  </sheetViews>
  <sheetFormatPr defaultRowHeight="14.25"/>
  <cols>
    <col min="1" max="1" width="19.75" customWidth="1"/>
    <col min="2" max="2" width="9.25" bestFit="1" customWidth="1"/>
    <col min="14" max="14" width="10.875" customWidth="1"/>
    <col min="15" max="15" width="10.375" customWidth="1"/>
  </cols>
  <sheetData>
    <row r="1" spans="1:24">
      <c r="A1" t="s">
        <v>8</v>
      </c>
    </row>
    <row r="2" spans="1:24">
      <c r="A2" s="2" t="s">
        <v>58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9</v>
      </c>
      <c r="K2" t="s">
        <v>10</v>
      </c>
      <c r="L2" t="s">
        <v>11</v>
      </c>
      <c r="N2" t="s">
        <v>13</v>
      </c>
      <c r="O2" t="s">
        <v>12</v>
      </c>
      <c r="Q2" t="s">
        <v>23</v>
      </c>
      <c r="R2" t="s">
        <v>22</v>
      </c>
      <c r="S2" t="s">
        <v>21</v>
      </c>
      <c r="T2" t="s">
        <v>20</v>
      </c>
      <c r="U2" t="s">
        <v>19</v>
      </c>
      <c r="V2" t="s">
        <v>30</v>
      </c>
      <c r="W2" t="s">
        <v>18</v>
      </c>
      <c r="X2" t="s">
        <v>33</v>
      </c>
    </row>
    <row r="3" spans="1:24">
      <c r="A3" s="1">
        <v>1</v>
      </c>
      <c r="B3">
        <v>99.88</v>
      </c>
      <c r="C3">
        <v>100.89</v>
      </c>
      <c r="D3">
        <v>100.88</v>
      </c>
      <c r="E3">
        <v>100.25</v>
      </c>
      <c r="F3">
        <v>100.49</v>
      </c>
      <c r="G3">
        <v>49.86</v>
      </c>
      <c r="H3">
        <v>49.75</v>
      </c>
      <c r="I3">
        <v>49.97</v>
      </c>
      <c r="J3">
        <v>9.98</v>
      </c>
      <c r="K3">
        <v>9.99</v>
      </c>
      <c r="L3">
        <v>19.86</v>
      </c>
      <c r="N3">
        <v>0.01</v>
      </c>
      <c r="O3">
        <v>0.02</v>
      </c>
      <c r="Q3">
        <f>SUM($B$8:C8)</f>
        <v>200.768</v>
      </c>
      <c r="R3">
        <f>SUM($B$8:D8)</f>
        <v>301.654</v>
      </c>
      <c r="S3">
        <f>SUM($B$8:E8)</f>
        <v>401.90600000000001</v>
      </c>
      <c r="T3">
        <f>SUM($B$8:F8)</f>
        <v>502.39800000000002</v>
      </c>
      <c r="U3">
        <f>SUM($B$8:G8)</f>
        <v>552.21800000000007</v>
      </c>
      <c r="V3">
        <f>SUM($B$8:H8)</f>
        <v>601.97200000000009</v>
      </c>
      <c r="W3">
        <f>SUM($B$8:I8)</f>
        <v>651.94800000000009</v>
      </c>
      <c r="X3">
        <f>SUM($B$8:J8)</f>
        <v>661.93000000000006</v>
      </c>
    </row>
    <row r="4" spans="1:24">
      <c r="A4">
        <v>2</v>
      </c>
      <c r="B4">
        <v>99.87</v>
      </c>
      <c r="C4">
        <v>100.9</v>
      </c>
      <c r="D4">
        <v>100.88</v>
      </c>
      <c r="E4">
        <v>100.26</v>
      </c>
      <c r="F4">
        <v>100.5</v>
      </c>
      <c r="G4">
        <v>49.86</v>
      </c>
      <c r="H4">
        <v>49.75</v>
      </c>
      <c r="I4">
        <v>49.98</v>
      </c>
      <c r="J4">
        <v>9.98</v>
      </c>
      <c r="K4">
        <v>9.99</v>
      </c>
      <c r="L4">
        <v>19.87</v>
      </c>
      <c r="Q4" t="s">
        <v>17</v>
      </c>
      <c r="R4" t="s">
        <v>15</v>
      </c>
    </row>
    <row r="5" spans="1:24">
      <c r="A5">
        <v>3</v>
      </c>
      <c r="B5">
        <v>99.87</v>
      </c>
      <c r="C5">
        <v>100.89</v>
      </c>
      <c r="D5">
        <v>100.88</v>
      </c>
      <c r="E5">
        <v>100.25</v>
      </c>
      <c r="F5">
        <v>100.5</v>
      </c>
      <c r="G5">
        <v>49.87</v>
      </c>
      <c r="H5">
        <v>49.76</v>
      </c>
      <c r="I5">
        <v>49.98</v>
      </c>
      <c r="J5">
        <v>9.99</v>
      </c>
      <c r="K5">
        <v>9.99</v>
      </c>
      <c r="L5">
        <v>19.86</v>
      </c>
      <c r="N5" t="s">
        <v>54</v>
      </c>
      <c r="O5">
        <f>SQRT(N3^2/3+O3^2/3)</f>
        <v>1.2909944487358056E-2</v>
      </c>
      <c r="Q5">
        <f>SUM($B$8:K8)</f>
        <v>671.91800000000012</v>
      </c>
      <c r="R5">
        <f>SUM($B$8:L8)</f>
        <v>691.78200000000015</v>
      </c>
    </row>
    <row r="6" spans="1:24">
      <c r="A6">
        <v>4</v>
      </c>
      <c r="B6">
        <v>99.88</v>
      </c>
      <c r="C6">
        <v>100.89</v>
      </c>
      <c r="D6">
        <v>100.9</v>
      </c>
      <c r="E6">
        <v>100.25</v>
      </c>
      <c r="F6">
        <v>100.49</v>
      </c>
      <c r="G6">
        <v>49.75</v>
      </c>
      <c r="H6">
        <v>49.75</v>
      </c>
      <c r="I6">
        <v>49.98</v>
      </c>
      <c r="J6">
        <v>9.98</v>
      </c>
      <c r="K6">
        <v>9.99</v>
      </c>
      <c r="L6">
        <v>19.86</v>
      </c>
    </row>
    <row r="7" spans="1:24">
      <c r="A7">
        <v>5</v>
      </c>
      <c r="B7">
        <v>99.88</v>
      </c>
      <c r="C7">
        <v>100.89</v>
      </c>
      <c r="D7">
        <v>100.89</v>
      </c>
      <c r="E7">
        <v>100.25</v>
      </c>
      <c r="F7">
        <v>100.48</v>
      </c>
      <c r="G7">
        <v>49.76</v>
      </c>
      <c r="H7">
        <v>49.76</v>
      </c>
      <c r="I7">
        <v>49.97</v>
      </c>
      <c r="J7">
        <v>9.98</v>
      </c>
      <c r="K7">
        <v>9.98</v>
      </c>
      <c r="L7">
        <v>19.87</v>
      </c>
    </row>
    <row r="8" spans="1:24">
      <c r="A8" t="s">
        <v>41</v>
      </c>
      <c r="B8">
        <f>AVERAGE(B3:B7)</f>
        <v>99.876000000000005</v>
      </c>
      <c r="C8">
        <f t="shared" ref="C8:L8" si="0">AVERAGE(C3:C7)</f>
        <v>100.892</v>
      </c>
      <c r="D8">
        <f t="shared" si="0"/>
        <v>100.886</v>
      </c>
      <c r="E8">
        <f t="shared" si="0"/>
        <v>100.252</v>
      </c>
      <c r="F8">
        <f t="shared" si="0"/>
        <v>100.492</v>
      </c>
      <c r="G8">
        <f t="shared" si="0"/>
        <v>49.82</v>
      </c>
      <c r="H8">
        <f t="shared" si="0"/>
        <v>49.753999999999998</v>
      </c>
      <c r="I8">
        <f t="shared" si="0"/>
        <v>49.975999999999992</v>
      </c>
      <c r="J8">
        <f t="shared" si="0"/>
        <v>9.9820000000000029</v>
      </c>
      <c r="K8">
        <f t="shared" si="0"/>
        <v>9.9879999999999995</v>
      </c>
      <c r="L8">
        <f t="shared" si="0"/>
        <v>19.864000000000001</v>
      </c>
    </row>
    <row r="9" spans="1:24">
      <c r="A9" t="s">
        <v>55</v>
      </c>
      <c r="B9">
        <f>STDEVP(B3:B7)/SQRT(5)</f>
        <v>2.1908902300186717E-3</v>
      </c>
      <c r="C9">
        <f t="shared" ref="C9:L9" si="1">STDEVP(C3:C7)/SQRT(5)</f>
        <v>1.7888543820007467E-3</v>
      </c>
      <c r="D9">
        <f t="shared" si="1"/>
        <v>3.5777087640014933E-3</v>
      </c>
      <c r="E9">
        <f t="shared" si="1"/>
        <v>1.7888543820007467E-3</v>
      </c>
      <c r="F9">
        <f t="shared" si="1"/>
        <v>3.346640106135976E-3</v>
      </c>
      <c r="G9">
        <f t="shared" si="1"/>
        <v>2.383275057562588E-2</v>
      </c>
      <c r="H9">
        <f t="shared" si="1"/>
        <v>2.1908902300202286E-3</v>
      </c>
      <c r="I9">
        <f t="shared" si="1"/>
        <v>2.1908902300202286E-3</v>
      </c>
      <c r="J9">
        <f t="shared" si="1"/>
        <v>1.7888543819997932E-3</v>
      </c>
      <c r="K9">
        <f t="shared" si="1"/>
        <v>1.7888543819997937E-3</v>
      </c>
      <c r="L9">
        <f t="shared" si="1"/>
        <v>2.190890230021007E-3</v>
      </c>
    </row>
    <row r="10" spans="1:24">
      <c r="A10" t="s">
        <v>38</v>
      </c>
      <c r="B10">
        <f>SQRT(B9^2+$O$3^2)</f>
        <v>2.0119642143934649E-2</v>
      </c>
      <c r="C10">
        <f t="shared" ref="C10:L10" si="2">SQRT(C9^2+$O$3^2)</f>
        <v>2.0079840636817895E-2</v>
      </c>
      <c r="D10">
        <f t="shared" si="2"/>
        <v>2.0317480158720792E-2</v>
      </c>
      <c r="E10">
        <f t="shared" si="2"/>
        <v>2.0079840636817895E-2</v>
      </c>
      <c r="F10">
        <f t="shared" si="2"/>
        <v>2.0278066969018467E-2</v>
      </c>
      <c r="G10">
        <f t="shared" si="2"/>
        <v>3.1112698372208022E-2</v>
      </c>
      <c r="H10">
        <f t="shared" si="2"/>
        <v>2.0119642143934819E-2</v>
      </c>
      <c r="I10">
        <f t="shared" si="2"/>
        <v>2.0119642143934819E-2</v>
      </c>
      <c r="J10">
        <f t="shared" si="2"/>
        <v>2.0079840636817812E-2</v>
      </c>
      <c r="K10">
        <f t="shared" si="2"/>
        <v>2.0079840636817812E-2</v>
      </c>
      <c r="L10">
        <f t="shared" si="2"/>
        <v>2.0119642143934906E-2</v>
      </c>
    </row>
    <row r="14" spans="1:24">
      <c r="A14" t="s">
        <v>14</v>
      </c>
    </row>
    <row r="15" spans="1:24">
      <c r="B15" t="s">
        <v>24</v>
      </c>
    </row>
    <row r="16" spans="1:24">
      <c r="A16" t="s">
        <v>58</v>
      </c>
      <c r="B16" t="s">
        <v>15</v>
      </c>
      <c r="C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22</v>
      </c>
      <c r="I16" t="s">
        <v>23</v>
      </c>
    </row>
    <row r="17" spans="1:15">
      <c r="A17">
        <v>1</v>
      </c>
      <c r="B17">
        <v>28.4</v>
      </c>
      <c r="C17">
        <v>27.4</v>
      </c>
      <c r="D17">
        <v>26.6</v>
      </c>
      <c r="E17">
        <v>22.7</v>
      </c>
      <c r="F17">
        <v>20.7</v>
      </c>
      <c r="G17">
        <v>16.8</v>
      </c>
      <c r="H17">
        <v>12.7</v>
      </c>
      <c r="I17">
        <v>8.3000000000000007</v>
      </c>
    </row>
    <row r="18" spans="1:15">
      <c r="A18">
        <v>2</v>
      </c>
      <c r="B18">
        <v>28.4</v>
      </c>
      <c r="C18">
        <v>27.2</v>
      </c>
      <c r="D18">
        <v>26.7</v>
      </c>
      <c r="E18">
        <v>22.6</v>
      </c>
      <c r="F18">
        <v>20.8</v>
      </c>
      <c r="G18">
        <v>16.899999999999999</v>
      </c>
      <c r="H18">
        <v>12.5</v>
      </c>
      <c r="I18">
        <v>8.5</v>
      </c>
    </row>
    <row r="19" spans="1:15">
      <c r="A19">
        <v>3</v>
      </c>
      <c r="B19">
        <v>28.2</v>
      </c>
      <c r="C19">
        <v>27.2</v>
      </c>
      <c r="D19">
        <v>26.8</v>
      </c>
      <c r="E19">
        <v>22.7</v>
      </c>
      <c r="F19">
        <v>20.9</v>
      </c>
      <c r="G19">
        <v>16.899999999999999</v>
      </c>
      <c r="H19">
        <v>12.6</v>
      </c>
      <c r="I19">
        <v>8.5</v>
      </c>
      <c r="N19" t="s">
        <v>57</v>
      </c>
      <c r="O19">
        <f>SQRT(N31^2/3 + O31^2/3)</f>
        <v>1.2909944487358056E-2</v>
      </c>
    </row>
    <row r="20" spans="1:15">
      <c r="A20">
        <v>4</v>
      </c>
      <c r="B20">
        <v>28.1</v>
      </c>
      <c r="C20">
        <v>27.2</v>
      </c>
      <c r="D20">
        <v>26.7</v>
      </c>
      <c r="E20">
        <v>22.7</v>
      </c>
      <c r="F20">
        <v>20.6</v>
      </c>
      <c r="G20">
        <v>16.7</v>
      </c>
      <c r="H20">
        <v>12.7</v>
      </c>
      <c r="I20">
        <v>8.4</v>
      </c>
    </row>
    <row r="21" spans="1:15">
      <c r="A21">
        <v>5</v>
      </c>
      <c r="B21">
        <v>28</v>
      </c>
      <c r="C21">
        <v>27.1</v>
      </c>
      <c r="D21">
        <v>26.9</v>
      </c>
      <c r="E21">
        <v>22.8</v>
      </c>
      <c r="F21">
        <v>20.8</v>
      </c>
      <c r="G21">
        <v>16.7</v>
      </c>
      <c r="H21">
        <v>12.8</v>
      </c>
      <c r="I21">
        <v>8.4</v>
      </c>
    </row>
    <row r="22" spans="1:15">
      <c r="A22" t="s">
        <v>56</v>
      </c>
      <c r="B22">
        <f>STDEVP(B17:B21)/SQRT(5)</f>
        <v>7.1554175279992902E-2</v>
      </c>
      <c r="C22">
        <f t="shared" ref="C22:I22" si="3">STDEVP(C17:C21)/SQRT(5)</f>
        <v>4.3817804600412943E-2</v>
      </c>
      <c r="D22">
        <f t="shared" si="3"/>
        <v>4.5607017003965231E-2</v>
      </c>
      <c r="E22">
        <f t="shared" si="3"/>
        <v>2.8284271247461797E-2</v>
      </c>
      <c r="F22">
        <f t="shared" si="3"/>
        <v>4.5607017003965231E-2</v>
      </c>
      <c r="G22">
        <f t="shared" si="3"/>
        <v>3.9999999999999855E-2</v>
      </c>
      <c r="H22">
        <f t="shared" si="3"/>
        <v>4.5607017003965571E-2</v>
      </c>
      <c r="I22">
        <f t="shared" si="3"/>
        <v>3.3466401061362908E-2</v>
      </c>
    </row>
    <row r="23" spans="1:15">
      <c r="A23" t="s">
        <v>39</v>
      </c>
      <c r="B23">
        <f>SQRT(B22^2+$O$5^2)</f>
        <v>7.2709467517419038E-2</v>
      </c>
      <c r="C23">
        <f t="shared" ref="C23:I23" si="4">SQRT(C22^2+$O$5^2)</f>
        <v>4.5680046701668732E-2</v>
      </c>
      <c r="D23">
        <f t="shared" si="4"/>
        <v>4.7399015460942225E-2</v>
      </c>
      <c r="E23">
        <f t="shared" si="4"/>
        <v>3.1091263510295956E-2</v>
      </c>
      <c r="F23">
        <f t="shared" si="4"/>
        <v>4.7399015460942225E-2</v>
      </c>
      <c r="G23">
        <f t="shared" si="4"/>
        <v>4.20317340430615E-2</v>
      </c>
      <c r="H23">
        <f t="shared" si="4"/>
        <v>4.7399015460942551E-2</v>
      </c>
      <c r="I23">
        <f t="shared" si="4"/>
        <v>3.5870136139505508E-2</v>
      </c>
    </row>
    <row r="27" spans="1:15">
      <c r="A27" t="s">
        <v>25</v>
      </c>
      <c r="B27" t="s">
        <v>24</v>
      </c>
    </row>
    <row r="28" spans="1:15">
      <c r="A28" t="s">
        <v>58</v>
      </c>
      <c r="B28" t="s">
        <v>15</v>
      </c>
      <c r="C28" t="s">
        <v>17</v>
      </c>
      <c r="D28" t="s">
        <v>18</v>
      </c>
      <c r="E28" t="s">
        <v>19</v>
      </c>
      <c r="F28" t="s">
        <v>20</v>
      </c>
      <c r="G28" t="s">
        <v>21</v>
      </c>
      <c r="H28" t="s">
        <v>22</v>
      </c>
      <c r="I28" t="s">
        <v>23</v>
      </c>
    </row>
    <row r="29" spans="1:15">
      <c r="A29">
        <v>1</v>
      </c>
      <c r="B29">
        <v>26.5</v>
      </c>
      <c r="C29">
        <v>25.8</v>
      </c>
      <c r="D29">
        <v>25.1</v>
      </c>
      <c r="E29">
        <v>20.8</v>
      </c>
      <c r="F29">
        <v>18.8</v>
      </c>
      <c r="G29">
        <v>15.1</v>
      </c>
      <c r="H29">
        <v>10.9</v>
      </c>
      <c r="I29">
        <v>7.9</v>
      </c>
    </row>
    <row r="30" spans="1:15">
      <c r="A30">
        <v>2</v>
      </c>
      <c r="B30">
        <v>26.6</v>
      </c>
      <c r="C30">
        <v>25.7</v>
      </c>
      <c r="D30">
        <v>24.7</v>
      </c>
      <c r="E30">
        <v>20.7</v>
      </c>
      <c r="F30">
        <v>19</v>
      </c>
      <c r="G30">
        <v>15</v>
      </c>
      <c r="H30">
        <v>11</v>
      </c>
      <c r="I30">
        <v>7.2</v>
      </c>
      <c r="N30" t="s">
        <v>26</v>
      </c>
      <c r="O30" t="s">
        <v>27</v>
      </c>
    </row>
    <row r="31" spans="1:15">
      <c r="A31">
        <v>3</v>
      </c>
      <c r="B31">
        <v>26.5</v>
      </c>
      <c r="C31">
        <v>25.7</v>
      </c>
      <c r="D31">
        <v>24.8</v>
      </c>
      <c r="E31">
        <v>20.8</v>
      </c>
      <c r="F31">
        <v>18.899999999999999</v>
      </c>
      <c r="G31">
        <v>15</v>
      </c>
      <c r="H31">
        <v>11</v>
      </c>
      <c r="I31">
        <v>7.2</v>
      </c>
      <c r="N31">
        <v>0.01</v>
      </c>
      <c r="O31">
        <v>0.02</v>
      </c>
    </row>
    <row r="32" spans="1:15">
      <c r="A32">
        <v>4</v>
      </c>
      <c r="B32">
        <v>26.5</v>
      </c>
      <c r="C32">
        <v>25.7</v>
      </c>
      <c r="D32">
        <v>24.9</v>
      </c>
      <c r="E32">
        <v>20.9</v>
      </c>
      <c r="F32">
        <v>19</v>
      </c>
      <c r="G32">
        <v>15.1</v>
      </c>
      <c r="H32">
        <v>11</v>
      </c>
      <c r="I32">
        <v>7.1</v>
      </c>
    </row>
    <row r="33" spans="1:9">
      <c r="A33">
        <v>5</v>
      </c>
      <c r="B33">
        <v>26.4</v>
      </c>
      <c r="C33">
        <v>25.6</v>
      </c>
      <c r="D33">
        <v>24.9</v>
      </c>
      <c r="E33">
        <v>21</v>
      </c>
      <c r="F33">
        <v>18.899999999999999</v>
      </c>
      <c r="G33">
        <v>15.2</v>
      </c>
      <c r="H33">
        <v>10.9</v>
      </c>
      <c r="I33">
        <v>7.2</v>
      </c>
    </row>
    <row r="34" spans="1:9">
      <c r="A34" t="s">
        <v>41</v>
      </c>
      <c r="B34">
        <f>AVERAGE(B29:B33)</f>
        <v>26.5</v>
      </c>
      <c r="C34">
        <f t="shared" ref="C34:I34" si="5">AVERAGE(C29:C33)</f>
        <v>25.7</v>
      </c>
      <c r="D34">
        <f t="shared" si="5"/>
        <v>24.880000000000003</v>
      </c>
      <c r="E34">
        <f t="shared" si="5"/>
        <v>20.839999999999996</v>
      </c>
      <c r="F34">
        <f t="shared" si="5"/>
        <v>18.919999999999998</v>
      </c>
      <c r="G34">
        <f t="shared" si="5"/>
        <v>15.080000000000002</v>
      </c>
      <c r="H34">
        <f t="shared" si="5"/>
        <v>10.959999999999999</v>
      </c>
      <c r="I34">
        <f t="shared" si="5"/>
        <v>7.32</v>
      </c>
    </row>
    <row r="35" spans="1:9">
      <c r="A35" t="s">
        <v>56</v>
      </c>
      <c r="B35">
        <f>STDEVP(B29:B33)/SQRT(5)</f>
        <v>2.82842712474623E-2</v>
      </c>
      <c r="C35">
        <f t="shared" ref="C35:I35" si="6">STDEVP(C29:C33)/SQRT(5)</f>
        <v>2.8284271247461797E-2</v>
      </c>
      <c r="D35">
        <f t="shared" si="6"/>
        <v>5.9329587896765526E-2</v>
      </c>
      <c r="E35">
        <f t="shared" si="6"/>
        <v>4.560701700396548E-2</v>
      </c>
      <c r="F35">
        <f t="shared" si="6"/>
        <v>3.3466401061362984E-2</v>
      </c>
      <c r="G35">
        <f t="shared" si="6"/>
        <v>3.3466401061362908E-2</v>
      </c>
      <c r="H35">
        <f t="shared" si="6"/>
        <v>2.1908902300206565E-2</v>
      </c>
      <c r="I35">
        <f t="shared" si="6"/>
        <v>0.13084341787037207</v>
      </c>
    </row>
    <row r="36" spans="1:9">
      <c r="A36" t="s">
        <v>39</v>
      </c>
      <c r="B36">
        <f>SQRT(B35^2+$O$5^2)</f>
        <v>3.1091263510296414E-2</v>
      </c>
      <c r="C36">
        <f t="shared" ref="C36:I36" si="7">SQRT(C35^2+$O$5^2)</f>
        <v>3.1091263510295956E-2</v>
      </c>
      <c r="D36">
        <f t="shared" si="7"/>
        <v>6.0717927061673414E-2</v>
      </c>
      <c r="E36">
        <f t="shared" si="7"/>
        <v>4.7399015460942467E-2</v>
      </c>
      <c r="F36">
        <f t="shared" si="7"/>
        <v>3.5870136139505578E-2</v>
      </c>
      <c r="G36">
        <f t="shared" si="7"/>
        <v>3.5870136139505508E-2</v>
      </c>
      <c r="H36">
        <f t="shared" si="7"/>
        <v>2.5429641497014134E-2</v>
      </c>
      <c r="I36">
        <f t="shared" si="7"/>
        <v>0.13147876888177598</v>
      </c>
    </row>
    <row r="40" spans="1:9">
      <c r="A40" t="s">
        <v>28</v>
      </c>
      <c r="B40" t="s">
        <v>24</v>
      </c>
    </row>
    <row r="41" spans="1:9">
      <c r="A41" t="s">
        <v>58</v>
      </c>
      <c r="B41" t="s">
        <v>29</v>
      </c>
      <c r="C41" t="s">
        <v>23</v>
      </c>
      <c r="D41" t="s">
        <v>22</v>
      </c>
      <c r="E41" t="s">
        <v>21</v>
      </c>
      <c r="F41" t="s">
        <v>20</v>
      </c>
      <c r="G41" t="s">
        <v>19</v>
      </c>
      <c r="H41" t="s">
        <v>30</v>
      </c>
      <c r="I41" t="s">
        <v>18</v>
      </c>
    </row>
    <row r="42" spans="1:9">
      <c r="A42">
        <v>1</v>
      </c>
      <c r="B42">
        <v>25.7</v>
      </c>
      <c r="C42">
        <v>33.9</v>
      </c>
      <c r="D42">
        <v>42.1</v>
      </c>
      <c r="E42">
        <v>50.4</v>
      </c>
      <c r="F42">
        <v>58.3</v>
      </c>
      <c r="G42">
        <v>59.4</v>
      </c>
      <c r="H42">
        <v>62.8</v>
      </c>
      <c r="I42">
        <v>66.8</v>
      </c>
    </row>
    <row r="43" spans="1:9">
      <c r="A43">
        <v>2</v>
      </c>
      <c r="B43">
        <v>25.9</v>
      </c>
      <c r="C43">
        <v>34.200000000000003</v>
      </c>
      <c r="D43">
        <v>42.2</v>
      </c>
      <c r="E43">
        <v>50.4</v>
      </c>
      <c r="F43">
        <v>58.5</v>
      </c>
      <c r="G43">
        <v>59.6</v>
      </c>
      <c r="H43">
        <v>63</v>
      </c>
      <c r="I43">
        <v>66.900000000000006</v>
      </c>
    </row>
    <row r="44" spans="1:9">
      <c r="A44">
        <v>3</v>
      </c>
      <c r="B44">
        <v>25.7</v>
      </c>
      <c r="C44">
        <v>34</v>
      </c>
      <c r="D44">
        <v>42.3</v>
      </c>
      <c r="E44">
        <v>50.4</v>
      </c>
      <c r="F44">
        <v>58.4</v>
      </c>
      <c r="G44">
        <v>59.5</v>
      </c>
      <c r="H44">
        <v>63.2</v>
      </c>
      <c r="I44">
        <v>66.8</v>
      </c>
    </row>
    <row r="45" spans="1:9">
      <c r="A45">
        <v>4</v>
      </c>
      <c r="B45">
        <v>25.8</v>
      </c>
      <c r="C45">
        <v>34</v>
      </c>
      <c r="D45">
        <v>42.1</v>
      </c>
      <c r="E45">
        <v>50.3</v>
      </c>
      <c r="F45">
        <v>58.3</v>
      </c>
      <c r="G45">
        <v>59.4</v>
      </c>
      <c r="H45">
        <v>63.1</v>
      </c>
      <c r="I45">
        <v>66.8</v>
      </c>
    </row>
    <row r="46" spans="1:9">
      <c r="A46">
        <v>5</v>
      </c>
      <c r="B46">
        <v>25.9</v>
      </c>
      <c r="C46">
        <v>34.200000000000003</v>
      </c>
      <c r="D46">
        <v>42.3</v>
      </c>
      <c r="E46">
        <v>50.4</v>
      </c>
      <c r="F46">
        <v>58.5</v>
      </c>
      <c r="G46">
        <v>59.6</v>
      </c>
      <c r="H46">
        <v>63.2</v>
      </c>
      <c r="I46">
        <v>66.7</v>
      </c>
    </row>
    <row r="47" spans="1:9">
      <c r="A47" t="s">
        <v>41</v>
      </c>
      <c r="B47">
        <f>AVERAGE(B42:B46)</f>
        <v>25.8</v>
      </c>
      <c r="C47">
        <f t="shared" ref="C47:I47" si="8">AVERAGE(C42:C46)</f>
        <v>34.06</v>
      </c>
      <c r="D47">
        <f t="shared" si="8"/>
        <v>42.2</v>
      </c>
      <c r="E47">
        <f t="shared" si="8"/>
        <v>50.38</v>
      </c>
      <c r="F47">
        <f t="shared" si="8"/>
        <v>58.4</v>
      </c>
      <c r="G47">
        <f t="shared" si="8"/>
        <v>59.5</v>
      </c>
      <c r="H47">
        <f t="shared" si="8"/>
        <v>63.06</v>
      </c>
      <c r="I47">
        <f t="shared" si="8"/>
        <v>66.8</v>
      </c>
    </row>
    <row r="48" spans="1:9">
      <c r="A48" t="s">
        <v>56</v>
      </c>
      <c r="B48">
        <f>STDEVP(B42:B46)/SQRT(5)</f>
        <v>3.9999999999999855E-2</v>
      </c>
      <c r="C48">
        <f t="shared" ref="C48:I48" si="9">STDEVP(C42:C46)/SQRT(5)</f>
        <v>5.3665631459995713E-2</v>
      </c>
      <c r="D48">
        <f t="shared" si="9"/>
        <v>3.9999999999999147E-2</v>
      </c>
      <c r="E48">
        <f t="shared" si="9"/>
        <v>1.7888543819998572E-2</v>
      </c>
      <c r="F48">
        <f t="shared" si="9"/>
        <v>4.000000000000057E-2</v>
      </c>
      <c r="G48">
        <f t="shared" si="9"/>
        <v>4.000000000000057E-2</v>
      </c>
      <c r="H48">
        <f t="shared" si="9"/>
        <v>6.6932802122726995E-2</v>
      </c>
      <c r="I48">
        <f t="shared" si="9"/>
        <v>2.82842712474623E-2</v>
      </c>
    </row>
    <row r="49" spans="1:15">
      <c r="A49" t="s">
        <v>39</v>
      </c>
      <c r="B49">
        <f>SQRT(B48^2+$O$5^2)</f>
        <v>4.20317340430615E-2</v>
      </c>
      <c r="C49">
        <f t="shared" ref="C49:I49" si="10">SQRT(C48^2+$O$5^2)</f>
        <v>5.5196618253899835E-2</v>
      </c>
      <c r="D49">
        <f t="shared" si="10"/>
        <v>4.2031734043060827E-2</v>
      </c>
      <c r="E49">
        <f t="shared" si="10"/>
        <v>2.2060522810365937E-2</v>
      </c>
      <c r="F49">
        <f t="shared" si="10"/>
        <v>4.203173404306218E-2</v>
      </c>
      <c r="G49">
        <f t="shared" si="10"/>
        <v>4.203173404306218E-2</v>
      </c>
      <c r="H49">
        <f t="shared" si="10"/>
        <v>6.8166462917381834E-2</v>
      </c>
      <c r="I49">
        <f t="shared" si="10"/>
        <v>3.1091263510296414E-2</v>
      </c>
    </row>
    <row r="53" spans="1:15">
      <c r="A53" t="s">
        <v>31</v>
      </c>
      <c r="B53" t="s">
        <v>32</v>
      </c>
    </row>
    <row r="54" spans="1:15">
      <c r="A54" t="s">
        <v>58</v>
      </c>
      <c r="B54" t="s">
        <v>22</v>
      </c>
      <c r="C54" t="s">
        <v>21</v>
      </c>
      <c r="D54" t="s">
        <v>20</v>
      </c>
      <c r="E54" t="s">
        <v>19</v>
      </c>
      <c r="F54" t="s">
        <v>30</v>
      </c>
      <c r="G54" t="s">
        <v>18</v>
      </c>
      <c r="H54" t="s">
        <v>33</v>
      </c>
      <c r="I54" t="s">
        <v>17</v>
      </c>
    </row>
    <row r="55" spans="1:15">
      <c r="A55">
        <v>1</v>
      </c>
      <c r="B55">
        <v>20.78</v>
      </c>
      <c r="C55">
        <v>23.66</v>
      </c>
      <c r="D55">
        <v>26.49</v>
      </c>
      <c r="E55">
        <v>27.87</v>
      </c>
      <c r="F55">
        <v>28.75</v>
      </c>
      <c r="G55">
        <v>29.99</v>
      </c>
      <c r="H55">
        <v>30.45</v>
      </c>
      <c r="I55">
        <v>30.45</v>
      </c>
    </row>
    <row r="56" spans="1:15">
      <c r="A56">
        <v>2</v>
      </c>
      <c r="B56">
        <v>20.73</v>
      </c>
      <c r="C56">
        <v>23.8</v>
      </c>
      <c r="D56">
        <v>26.56</v>
      </c>
      <c r="E56">
        <v>28.03</v>
      </c>
      <c r="F56">
        <v>28.93</v>
      </c>
      <c r="G56">
        <v>29.99</v>
      </c>
      <c r="H56">
        <v>30.2</v>
      </c>
      <c r="I56">
        <v>30.53</v>
      </c>
      <c r="N56" t="s">
        <v>34</v>
      </c>
      <c r="O56" t="s">
        <v>35</v>
      </c>
    </row>
    <row r="57" spans="1:15">
      <c r="A57">
        <v>3</v>
      </c>
      <c r="B57">
        <v>20.72</v>
      </c>
      <c r="C57">
        <v>23.85</v>
      </c>
      <c r="D57">
        <v>26.65</v>
      </c>
      <c r="E57">
        <v>27.62</v>
      </c>
      <c r="F57">
        <v>28.95</v>
      </c>
      <c r="G57">
        <v>30.04</v>
      </c>
      <c r="H57">
        <v>30.24</v>
      </c>
      <c r="I57">
        <v>30.6</v>
      </c>
      <c r="N57">
        <v>0.01</v>
      </c>
      <c r="O57">
        <v>0.5</v>
      </c>
    </row>
    <row r="58" spans="1:15">
      <c r="A58">
        <v>4</v>
      </c>
      <c r="B58">
        <v>20.7</v>
      </c>
      <c r="C58">
        <v>23.83</v>
      </c>
      <c r="D58">
        <v>26.53</v>
      </c>
      <c r="E58">
        <v>27.97</v>
      </c>
      <c r="F58">
        <v>28.87</v>
      </c>
      <c r="G58">
        <v>30.01</v>
      </c>
      <c r="H58">
        <v>30.3</v>
      </c>
      <c r="I58">
        <v>30.68</v>
      </c>
    </row>
    <row r="59" spans="1:15">
      <c r="A59">
        <v>5</v>
      </c>
      <c r="B59">
        <v>20.75</v>
      </c>
      <c r="C59">
        <v>23.77</v>
      </c>
      <c r="D59">
        <v>26.51</v>
      </c>
      <c r="E59">
        <v>27.91</v>
      </c>
      <c r="F59">
        <v>28.97</v>
      </c>
      <c r="G59">
        <v>30.04</v>
      </c>
      <c r="H59">
        <v>30.35</v>
      </c>
      <c r="I59">
        <v>30.49</v>
      </c>
      <c r="N59" t="s">
        <v>60</v>
      </c>
      <c r="O59">
        <f>SQRT(N57^2/3+O57^2/3)</f>
        <v>0.28873286384938357</v>
      </c>
    </row>
    <row r="60" spans="1:15">
      <c r="A60" t="s">
        <v>41</v>
      </c>
      <c r="B60">
        <f>AVERAGE(B55:B59)</f>
        <v>20.736000000000001</v>
      </c>
      <c r="C60">
        <f t="shared" ref="C60:I60" si="11">AVERAGE(C55:C59)</f>
        <v>23.782</v>
      </c>
      <c r="D60">
        <f t="shared" si="11"/>
        <v>26.547999999999995</v>
      </c>
      <c r="E60">
        <f t="shared" si="11"/>
        <v>27.880000000000003</v>
      </c>
      <c r="F60">
        <f t="shared" si="11"/>
        <v>28.893999999999998</v>
      </c>
      <c r="G60">
        <f t="shared" si="11"/>
        <v>30.013999999999999</v>
      </c>
      <c r="H60">
        <f>AVERAGE(H55:H59)</f>
        <v>30.308</v>
      </c>
      <c r="I60">
        <f t="shared" si="11"/>
        <v>30.550000000000004</v>
      </c>
    </row>
    <row r="61" spans="1:15">
      <c r="A61" t="s">
        <v>61</v>
      </c>
      <c r="B61">
        <f>STDEVP(B55:B59)/SQRT(5)</f>
        <v>1.2198360545581823E-2</v>
      </c>
      <c r="C61">
        <f t="shared" ref="C61:I61" si="12">STDEVP(C55:C59)/SQRT(5)</f>
        <v>2.9852973051272488E-2</v>
      </c>
      <c r="D61">
        <f t="shared" si="12"/>
        <v>2.5043961347997405E-2</v>
      </c>
      <c r="E61">
        <f t="shared" si="12"/>
        <v>6.2992062992094366E-2</v>
      </c>
      <c r="F61">
        <f t="shared" si="12"/>
        <v>3.5507745633875251E-2</v>
      </c>
      <c r="G61">
        <f t="shared" si="12"/>
        <v>1.0039920318409003E-2</v>
      </c>
      <c r="H61">
        <f t="shared" si="12"/>
        <v>3.913055072446605E-2</v>
      </c>
      <c r="I61">
        <f t="shared" si="12"/>
        <v>3.6551333764994323E-2</v>
      </c>
    </row>
    <row r="62" spans="1:15">
      <c r="A62" t="s">
        <v>59</v>
      </c>
      <c r="B62">
        <f>SQRT(B61^2+$O$59^2)</f>
        <v>0.28899042660037488</v>
      </c>
      <c r="C62">
        <f t="shared" ref="C62:I62" si="13">SQRT(C61^2+$O$59^2)</f>
        <v>0.29027205629661745</v>
      </c>
      <c r="D62">
        <f t="shared" si="13"/>
        <v>0.28981695372539312</v>
      </c>
      <c r="E62">
        <f t="shared" si="13"/>
        <v>0.29552439267625041</v>
      </c>
      <c r="F62">
        <f t="shared" si="13"/>
        <v>0.29090800378584752</v>
      </c>
      <c r="G62">
        <f t="shared" si="13"/>
        <v>0.28890736693041713</v>
      </c>
      <c r="H62">
        <f t="shared" si="13"/>
        <v>0.29137238487314937</v>
      </c>
      <c r="I62">
        <f t="shared" si="13"/>
        <v>0.29103722556859746</v>
      </c>
    </row>
    <row r="63" spans="1:15">
      <c r="A63" t="s">
        <v>43</v>
      </c>
      <c r="B63">
        <f>(B60/30)^2</f>
        <v>0.47775744000000003</v>
      </c>
      <c r="C63">
        <f t="shared" ref="C63:I63" si="14">(C60/30)^2</f>
        <v>0.62842613777777767</v>
      </c>
      <c r="D63">
        <f t="shared" si="14"/>
        <v>0.78310700444444403</v>
      </c>
      <c r="E63">
        <f t="shared" si="14"/>
        <v>0.86366044444444467</v>
      </c>
      <c r="F63">
        <f t="shared" si="14"/>
        <v>0.92762581777777764</v>
      </c>
      <c r="G63">
        <f t="shared" si="14"/>
        <v>1.000933551111111</v>
      </c>
      <c r="H63">
        <f t="shared" si="14"/>
        <v>1.0206387377777777</v>
      </c>
      <c r="I63">
        <f t="shared" si="14"/>
        <v>1.0370027777777782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E37"/>
  <sheetViews>
    <sheetView tabSelected="1" topLeftCell="B1" workbookViewId="0">
      <selection activeCell="B37" sqref="B37"/>
    </sheetView>
  </sheetViews>
  <sheetFormatPr defaultRowHeight="14.25"/>
  <cols>
    <col min="1" max="1" width="0" hidden="1" customWidth="1"/>
    <col min="2" max="2" width="9.25" bestFit="1" customWidth="1"/>
    <col min="5" max="5" width="9.25" bestFit="1" customWidth="1"/>
  </cols>
  <sheetData>
    <row r="1" spans="2:5">
      <c r="B1" t="s">
        <v>37</v>
      </c>
    </row>
    <row r="3" spans="2:5">
      <c r="B3" t="s">
        <v>49</v>
      </c>
      <c r="C3" t="s">
        <v>16</v>
      </c>
      <c r="D3" t="s">
        <v>39</v>
      </c>
    </row>
    <row r="4" spans="2:5">
      <c r="B4">
        <f>691.782/1000</f>
        <v>0.69178200000000001</v>
      </c>
      <c r="C4">
        <f>28.22/100</f>
        <v>0.28220000000000001</v>
      </c>
      <c r="E4" t="s">
        <v>38</v>
      </c>
    </row>
    <row r="5" spans="2:5">
      <c r="B5">
        <f>671.918/1000</f>
        <v>0.67191800000000002</v>
      </c>
      <c r="C5">
        <f>27.22/100</f>
        <v>0.2722</v>
      </c>
      <c r="E5">
        <f>SQRT(0.01^2/3 + 0.02^2/3)</f>
        <v>1.2909944487358056E-2</v>
      </c>
    </row>
    <row r="6" spans="2:5">
      <c r="B6">
        <f>651.948/1000</f>
        <v>0.65194799999999997</v>
      </c>
      <c r="C6">
        <f>26.74/100</f>
        <v>0.26739999999999997</v>
      </c>
    </row>
    <row r="7" spans="2:5">
      <c r="B7">
        <f>522.218/1000</f>
        <v>0.52221799999999996</v>
      </c>
      <c r="C7">
        <f>22.7/100</f>
        <v>0.22699999999999998</v>
      </c>
    </row>
    <row r="8" spans="2:5">
      <c r="B8">
        <f>502.398/1000</f>
        <v>0.50239800000000001</v>
      </c>
      <c r="C8">
        <f>20.76/100</f>
        <v>0.20760000000000001</v>
      </c>
    </row>
    <row r="9" spans="2:5">
      <c r="B9">
        <f>401.906/1000</f>
        <v>0.40190599999999999</v>
      </c>
      <c r="C9">
        <f>16.8/100</f>
        <v>0.16800000000000001</v>
      </c>
    </row>
    <row r="10" spans="2:5">
      <c r="B10">
        <f>301.654/1000</f>
        <v>0.30165399999999998</v>
      </c>
      <c r="C10">
        <f>12.66/100</f>
        <v>0.12659999999999999</v>
      </c>
    </row>
    <row r="11" spans="2:5">
      <c r="B11">
        <f>200.768/1000</f>
        <v>0.200768</v>
      </c>
      <c r="C11">
        <f>8.42/100</f>
        <v>8.4199999999999997E-2</v>
      </c>
    </row>
    <row r="20" spans="2:3">
      <c r="B20" t="s">
        <v>47</v>
      </c>
      <c r="C20">
        <f>9.81/0.4</f>
        <v>24.524999999999999</v>
      </c>
    </row>
    <row r="23" spans="2:3">
      <c r="B23">
        <f t="array" ref="B23:C27">LINEST(C4:C11,B4:B11,TRUE,TRUE)</f>
        <v>0.40180449319097394</v>
      </c>
      <c r="C23">
        <v>6.2806513243537088E-3</v>
      </c>
    </row>
    <row r="24" spans="2:3">
      <c r="B24">
        <v>1.0422916724251182E-2</v>
      </c>
      <c r="C24">
        <v>5.4322036616934926E-3</v>
      </c>
    </row>
    <row r="25" spans="2:3">
      <c r="B25">
        <v>0.9959788495332218</v>
      </c>
      <c r="C25">
        <v>4.97734731898258E-3</v>
      </c>
    </row>
    <row r="26" spans="2:3">
      <c r="B26">
        <v>1486.1102927061809</v>
      </c>
      <c r="C26">
        <v>6</v>
      </c>
    </row>
    <row r="27" spans="2:3">
      <c r="B27">
        <v>3.6816876081997296E-2</v>
      </c>
      <c r="C27">
        <v>1.4864391800269847E-4</v>
      </c>
    </row>
    <row r="31" spans="2:3">
      <c r="B31" t="s">
        <v>51</v>
      </c>
      <c r="C31">
        <v>4.9769999999999997E-3</v>
      </c>
    </row>
    <row r="33" spans="2:3">
      <c r="B33" t="s">
        <v>63</v>
      </c>
      <c r="C33">
        <f>1/0.401</f>
        <v>2.4937655860349124</v>
      </c>
    </row>
    <row r="34" spans="2:3">
      <c r="B34" t="s">
        <v>62</v>
      </c>
      <c r="C34">
        <f>-9.81/(0.401)^2</f>
        <v>-61.007083289283017</v>
      </c>
    </row>
    <row r="37" spans="2:3">
      <c r="B37">
        <f>SQRT(C33^2*0.01^2+C34^2*C31^2)</f>
        <v>0.30465461109915581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5"/>
  <sheetViews>
    <sheetView workbookViewId="0">
      <selection activeCell="A36" sqref="A36"/>
    </sheetView>
  </sheetViews>
  <sheetFormatPr defaultRowHeight="14.25"/>
  <sheetData>
    <row r="1" spans="1:2">
      <c r="A1" t="s">
        <v>40</v>
      </c>
    </row>
    <row r="3" spans="1:2">
      <c r="A3" t="s">
        <v>49</v>
      </c>
      <c r="B3" t="s">
        <v>50</v>
      </c>
    </row>
    <row r="4" spans="1:2">
      <c r="A4">
        <f>691.782/1000</f>
        <v>0.69178200000000001</v>
      </c>
      <c r="B4">
        <f>26.5/100</f>
        <v>0.26500000000000001</v>
      </c>
    </row>
    <row r="5" spans="1:2">
      <c r="A5">
        <f>671.918/1000</f>
        <v>0.67191800000000002</v>
      </c>
      <c r="B5">
        <f>25.7/100</f>
        <v>0.25700000000000001</v>
      </c>
    </row>
    <row r="6" spans="1:2">
      <c r="A6">
        <f>651.948/1000</f>
        <v>0.65194799999999997</v>
      </c>
      <c r="B6">
        <f>24.88/100</f>
        <v>0.24879999999999999</v>
      </c>
    </row>
    <row r="7" spans="1:2">
      <c r="A7">
        <f>522.218/1000</f>
        <v>0.52221799999999996</v>
      </c>
      <c r="B7">
        <f>20.84/100</f>
        <v>0.2084</v>
      </c>
    </row>
    <row r="8" spans="1:2">
      <c r="A8">
        <f>502.398/1000</f>
        <v>0.50239800000000001</v>
      </c>
      <c r="B8">
        <f>18.92/100</f>
        <v>0.18920000000000001</v>
      </c>
    </row>
    <row r="9" spans="1:2">
      <c r="A9">
        <f>401.906/1000</f>
        <v>0.40190599999999999</v>
      </c>
      <c r="B9">
        <f>15.08/100</f>
        <v>0.15079999999999999</v>
      </c>
    </row>
    <row r="10" spans="1:2">
      <c r="A10">
        <f>301.654/1000</f>
        <v>0.30165399999999998</v>
      </c>
      <c r="B10">
        <f>10.96/100</f>
        <v>0.1096</v>
      </c>
    </row>
    <row r="11" spans="1:2">
      <c r="A11">
        <f>200.768/1000</f>
        <v>0.200768</v>
      </c>
      <c r="B11">
        <f>7.32/100</f>
        <v>7.3200000000000001E-2</v>
      </c>
    </row>
    <row r="19" spans="1:2">
      <c r="A19" t="s">
        <v>47</v>
      </c>
      <c r="B19">
        <f>9.81/0.394</f>
        <v>24.898477157360407</v>
      </c>
    </row>
    <row r="22" spans="1:2">
      <c r="A22">
        <f t="array" ref="A22:B26">LINEST(B4:B11,A4:A11,TRUE,TRUE)</f>
        <v>0.39405461834799166</v>
      </c>
      <c r="B22">
        <v>-6.5480868873176445E-3</v>
      </c>
    </row>
    <row r="23" spans="1:2">
      <c r="A23">
        <v>8.6691933350108545E-3</v>
      </c>
      <c r="B23">
        <v>4.5182001376642576E-3</v>
      </c>
    </row>
    <row r="24" spans="1:2">
      <c r="A24">
        <v>0.99710441430446062</v>
      </c>
      <c r="B24">
        <v>4.1398763268789274E-3</v>
      </c>
    </row>
    <row r="25" spans="1:2">
      <c r="A25">
        <v>2066.11964378845</v>
      </c>
      <c r="B25">
        <v>6</v>
      </c>
    </row>
    <row r="26" spans="1:2">
      <c r="A26">
        <v>3.541034854398889E-2</v>
      </c>
      <c r="B26">
        <v>1.0283145601111536E-4</v>
      </c>
    </row>
    <row r="29" spans="1:2">
      <c r="A29" t="s">
        <v>51</v>
      </c>
      <c r="B29">
        <v>4.1399999999999996E-3</v>
      </c>
    </row>
    <row r="31" spans="1:2">
      <c r="A31" t="s">
        <v>63</v>
      </c>
      <c r="B31">
        <f>1/0.394</f>
        <v>2.5380710659898478</v>
      </c>
    </row>
    <row r="32" spans="1:2">
      <c r="A32" t="s">
        <v>62</v>
      </c>
      <c r="B32">
        <f>-9.81/0.394^2</f>
        <v>-63.194104460305596</v>
      </c>
    </row>
    <row r="35" spans="1:1">
      <c r="A35">
        <f>SQRT(B31^2*0.01^2+B32^2*B29^2)</f>
        <v>0.26285183014056024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3"/>
  <sheetViews>
    <sheetView workbookViewId="0">
      <selection activeCell="C30" sqref="C30"/>
    </sheetView>
  </sheetViews>
  <sheetFormatPr defaultRowHeight="14.25"/>
  <sheetData>
    <row r="1" spans="1:2">
      <c r="A1" t="s">
        <v>42</v>
      </c>
    </row>
    <row r="3" spans="1:2">
      <c r="A3" t="s">
        <v>52</v>
      </c>
      <c r="B3" t="s">
        <v>50</v>
      </c>
    </row>
    <row r="4" spans="1:2">
      <c r="A4">
        <f>99.876/1000</f>
        <v>9.9876000000000006E-2</v>
      </c>
      <c r="B4">
        <f>25.8/100</f>
        <v>0.25800000000000001</v>
      </c>
    </row>
    <row r="5" spans="1:2">
      <c r="A5">
        <f>200.768/1000</f>
        <v>0.200768</v>
      </c>
      <c r="B5">
        <f>34.06/100</f>
        <v>0.34060000000000001</v>
      </c>
    </row>
    <row r="6" spans="1:2">
      <c r="A6">
        <f>301.654/1000</f>
        <v>0.30165399999999998</v>
      </c>
      <c r="B6">
        <f>42.2/100</f>
        <v>0.42200000000000004</v>
      </c>
    </row>
    <row r="7" spans="1:2">
      <c r="A7">
        <f>401.906/1000</f>
        <v>0.40190599999999999</v>
      </c>
      <c r="B7">
        <f>50.38/100</f>
        <v>0.50380000000000003</v>
      </c>
    </row>
    <row r="8" spans="1:2">
      <c r="A8">
        <f>502.398/1000</f>
        <v>0.50239800000000001</v>
      </c>
      <c r="B8">
        <f>58.4/100</f>
        <v>0.58399999999999996</v>
      </c>
    </row>
    <row r="9" spans="1:2">
      <c r="A9">
        <f>552.218/1000</f>
        <v>0.55221799999999999</v>
      </c>
      <c r="B9">
        <f>59.5/100</f>
        <v>0.59499999999999997</v>
      </c>
    </row>
    <row r="10" spans="1:2">
      <c r="A10">
        <f>601.972/1000</f>
        <v>0.60197199999999995</v>
      </c>
      <c r="B10">
        <f>63.06/100</f>
        <v>0.63060000000000005</v>
      </c>
    </row>
    <row r="11" spans="1:2">
      <c r="A11">
        <f>651.948/1000</f>
        <v>0.65194799999999997</v>
      </c>
      <c r="B11">
        <f>66.8/100</f>
        <v>0.66799999999999993</v>
      </c>
    </row>
    <row r="17" spans="1:3">
      <c r="A17" t="s">
        <v>48</v>
      </c>
      <c r="B17">
        <f>9.81/0.739</f>
        <v>13.27469553450609</v>
      </c>
    </row>
    <row r="18" spans="1:3">
      <c r="B18">
        <f>(24.525*24.89848)/(24.525+24.89848)</f>
        <v>12.355164427919686</v>
      </c>
    </row>
    <row r="21" spans="1:3">
      <c r="A21">
        <f t="array" ref="A21:B25">LINEST(B4:B11,A4:A11,TRUE,TRUE)</f>
        <v>0.73900949264045857</v>
      </c>
      <c r="B21">
        <v>0.194231711668781</v>
      </c>
    </row>
    <row r="22" spans="1:3">
      <c r="A22">
        <v>2.2235949182301859E-2</v>
      </c>
      <c r="B22">
        <v>1.0090937129471985E-2</v>
      </c>
    </row>
    <row r="23" spans="1:3">
      <c r="A23">
        <v>0.99459731255562933</v>
      </c>
      <c r="B23">
        <v>1.1677170948494709E-2</v>
      </c>
    </row>
    <row r="24" spans="1:3">
      <c r="A24">
        <v>1104.5584140818037</v>
      </c>
      <c r="B24">
        <v>6</v>
      </c>
    </row>
    <row r="25" spans="1:3">
      <c r="A25">
        <v>0.15061352207183776</v>
      </c>
      <c r="B25">
        <v>8.1813792816221292E-4</v>
      </c>
    </row>
    <row r="28" spans="1:3">
      <c r="A28" t="s">
        <v>51</v>
      </c>
      <c r="B28">
        <v>1.1677E-2</v>
      </c>
    </row>
    <row r="30" spans="1:3">
      <c r="A30" t="s">
        <v>53</v>
      </c>
      <c r="B30">
        <v>0.30153999999999997</v>
      </c>
      <c r="C30">
        <f>SQRT(B32^2*0.01^2+B33^2*B28^2)</f>
        <v>0.21019059207601937</v>
      </c>
    </row>
    <row r="32" spans="1:3">
      <c r="A32" t="s">
        <v>63</v>
      </c>
      <c r="B32">
        <f>1/0.739</f>
        <v>1.3531799729364005</v>
      </c>
    </row>
    <row r="33" spans="1:2">
      <c r="A33" t="s">
        <v>62</v>
      </c>
      <c r="B33">
        <f>-9.81/0.739^2</f>
        <v>-17.96305214412191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4"/>
  <sheetViews>
    <sheetView workbookViewId="0">
      <selection activeCell="A35" sqref="A35"/>
    </sheetView>
  </sheetViews>
  <sheetFormatPr defaultRowHeight="14.25"/>
  <sheetData>
    <row r="1" spans="1:2">
      <c r="A1" t="s">
        <v>44</v>
      </c>
    </row>
    <row r="3" spans="1:2">
      <c r="A3" t="s">
        <v>36</v>
      </c>
      <c r="B3" t="s">
        <v>45</v>
      </c>
    </row>
    <row r="4" spans="1:2">
      <c r="A4">
        <f>301.654/1000</f>
        <v>0.30165399999999998</v>
      </c>
      <c r="B4">
        <v>0.47775699999999999</v>
      </c>
    </row>
    <row r="5" spans="1:2">
      <c r="A5">
        <f>401.906/1000</f>
        <v>0.40190599999999999</v>
      </c>
      <c r="B5">
        <v>0.62842600000000004</v>
      </c>
    </row>
    <row r="6" spans="1:2">
      <c r="A6">
        <f>502.398/1000</f>
        <v>0.50239800000000001</v>
      </c>
      <c r="B6">
        <v>0.783107</v>
      </c>
    </row>
    <row r="7" spans="1:2">
      <c r="A7">
        <f>552.218/1000</f>
        <v>0.55221799999999999</v>
      </c>
      <c r="B7">
        <v>0.86365999999999998</v>
      </c>
    </row>
    <row r="8" spans="1:2">
      <c r="A8">
        <f>601.972/1000</f>
        <v>0.60197199999999995</v>
      </c>
      <c r="B8">
        <v>0.92762599999999995</v>
      </c>
    </row>
    <row r="9" spans="1:2">
      <c r="A9">
        <f>651.948/1000</f>
        <v>0.65194799999999997</v>
      </c>
      <c r="B9">
        <v>1.000934</v>
      </c>
    </row>
    <row r="10" spans="1:2">
      <c r="A10">
        <f>661.93/1000</f>
        <v>0.66192999999999991</v>
      </c>
      <c r="B10">
        <v>1.0206390000000001</v>
      </c>
    </row>
    <row r="11" spans="1:2">
      <c r="A11">
        <f>671.918/1000</f>
        <v>0.67191800000000002</v>
      </c>
      <c r="B11">
        <v>1.0370029999999999</v>
      </c>
    </row>
    <row r="18" spans="1:2">
      <c r="A18" t="s">
        <v>46</v>
      </c>
      <c r="B18">
        <f>(4*PI()^2)/1.503</f>
        <v>26.266412245081462</v>
      </c>
    </row>
    <row r="20" spans="1:2">
      <c r="A20">
        <f t="array" ref="A20:B24">LINEST(B4:B11,A4:A11,TRUE,TRUE)</f>
        <v>1.5030372835301793</v>
      </c>
      <c r="B20">
        <v>2.5879516983215001E-2</v>
      </c>
    </row>
    <row r="21" spans="1:2">
      <c r="A21">
        <v>1.1716171583957574E-2</v>
      </c>
      <c r="B21">
        <v>6.5323614817323766E-3</v>
      </c>
    </row>
    <row r="22" spans="1:2">
      <c r="A22">
        <v>0.99963556096572803</v>
      </c>
      <c r="B22">
        <v>4.1588281723551525E-3</v>
      </c>
    </row>
    <row r="23" spans="1:2">
      <c r="A23">
        <v>16457.659036927067</v>
      </c>
      <c r="B23">
        <v>6</v>
      </c>
    </row>
    <row r="24" spans="1:2">
      <c r="A24">
        <v>0.28464923113739693</v>
      </c>
      <c r="B24">
        <v>1.0377511060304939E-4</v>
      </c>
    </row>
    <row r="27" spans="1:2">
      <c r="A27" t="s">
        <v>51</v>
      </c>
      <c r="B27">
        <v>4.1590000000000004E-3</v>
      </c>
    </row>
    <row r="29" spans="1:2">
      <c r="A29" t="s">
        <v>53</v>
      </c>
      <c r="B29">
        <v>7.2608000000000006E-2</v>
      </c>
    </row>
    <row r="31" spans="1:2">
      <c r="A31" t="s">
        <v>62</v>
      </c>
      <c r="B31">
        <f>-4*PI()^2/1.503^2</f>
        <v>-17.475989517685601</v>
      </c>
    </row>
    <row r="34" spans="1:1">
      <c r="A34">
        <f>SQRT(B31^2*B27^2)</f>
        <v>7.2682640404054422E-2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Arkusz1</vt:lpstr>
      <vt:lpstr>Arkusz2</vt:lpstr>
      <vt:lpstr>Arkusz3</vt:lpstr>
      <vt:lpstr>Arkusz4</vt:lpstr>
      <vt:lpstr>Arkusz5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</dc:creator>
  <cp:lastModifiedBy>Marcin</cp:lastModifiedBy>
  <dcterms:created xsi:type="dcterms:W3CDTF">2025-01-11T15:55:46Z</dcterms:created>
  <dcterms:modified xsi:type="dcterms:W3CDTF">2025-01-11T23:01:31Z</dcterms:modified>
</cp:coreProperties>
</file>