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drawings/drawing2.xml" ContentType="application/vnd.openxmlformats-officedocument.drawing+xml"/>
  <Override PartName="/xl/tables/table8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customXml/itemProps23.xml" ContentType="application/vnd.openxmlformats-officedocument.customXmlProperties+xml"/>
  <Override PartName="/customXml/itemProps2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RepozytoriaGIT\liszcz\"/>
    </mc:Choice>
  </mc:AlternateContent>
  <bookViews>
    <workbookView xWindow="0" yWindow="0" windowWidth="23040" windowHeight="8328"/>
  </bookViews>
  <sheets>
    <sheet name="INSTRUKCJA" sheetId="11" r:id="rId1"/>
    <sheet name="TRANSAKCJE" sheetId="4" r:id="rId2"/>
    <sheet name="MENU" sheetId="3" r:id="rId3"/>
    <sheet name="PRZEPISY" sheetId="10" r:id="rId4"/>
    <sheet name="KOSZTY STAŁE" sheetId="7" r:id="rId5"/>
    <sheet name="STAN MAGAZYNOWY" sheetId="1" r:id="rId6"/>
    <sheet name="PRACOWNICY" sheetId="6" r:id="rId7"/>
    <sheet name="KOSZTY NIEOCZEKIWANE" sheetId="12" r:id="rId8"/>
    <sheet name="SYTUACJA" sheetId="8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7" i="6" l="1"/>
  <c r="E8" i="6"/>
  <c r="E6" i="6"/>
  <c r="A8" i="1"/>
  <c r="A9" i="1"/>
  <c r="A10" i="1"/>
  <c r="A11" i="1"/>
  <c r="A12" i="1"/>
  <c r="A13" i="1"/>
  <c r="A14" i="1"/>
  <c r="A15" i="1"/>
  <c r="A7" i="1"/>
  <c r="F9" i="7"/>
  <c r="F10" i="7"/>
  <c r="F11" i="7"/>
  <c r="F12" i="7"/>
  <c r="F13" i="7"/>
  <c r="F14" i="7"/>
  <c r="F15" i="7"/>
  <c r="F8" i="7"/>
  <c r="A7" i="3"/>
  <c r="A8" i="3"/>
  <c r="A9" i="3"/>
  <c r="A6" i="3"/>
  <c r="A2" i="4" l="1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K6" i="6" l="1"/>
  <c r="K7" i="6"/>
  <c r="K8" i="6"/>
  <c r="H10" i="8" l="1"/>
  <c r="D14" i="10"/>
  <c r="D9" i="3" s="1"/>
  <c r="E9" i="3" s="1"/>
  <c r="E14" i="10"/>
  <c r="F14" i="10" s="1"/>
  <c r="F9" i="3"/>
  <c r="H15" i="1"/>
  <c r="I15" i="1"/>
  <c r="I15" i="7"/>
  <c r="H8" i="8"/>
  <c r="H9" i="12"/>
  <c r="H16" i="7"/>
  <c r="G9" i="3" l="1"/>
  <c r="I7" i="1"/>
  <c r="I8" i="1"/>
  <c r="I9" i="1"/>
  <c r="I10" i="1"/>
  <c r="I11" i="1"/>
  <c r="I12" i="1"/>
  <c r="I13" i="1"/>
  <c r="I14" i="1"/>
  <c r="D13" i="10"/>
  <c r="E13" i="10"/>
  <c r="F13" i="10" s="1"/>
  <c r="D12" i="10"/>
  <c r="E12" i="10"/>
  <c r="F12" i="10" s="1"/>
  <c r="D11" i="10"/>
  <c r="E11" i="10"/>
  <c r="F11" i="10" s="1"/>
  <c r="D10" i="10"/>
  <c r="E10" i="10"/>
  <c r="F10" i="10" s="1"/>
  <c r="D9" i="10"/>
  <c r="E9" i="10"/>
  <c r="F9" i="10" s="1"/>
  <c r="D8" i="10"/>
  <c r="E8" i="10"/>
  <c r="F8" i="10" s="1"/>
  <c r="H14" i="1"/>
  <c r="H13" i="1"/>
  <c r="H12" i="1"/>
  <c r="D5" i="10"/>
  <c r="D6" i="10"/>
  <c r="D7" i="10"/>
  <c r="H11" i="1"/>
  <c r="F8" i="3"/>
  <c r="H10" i="1"/>
  <c r="I14" i="7"/>
  <c r="E7" i="10"/>
  <c r="F7" i="10" s="1"/>
  <c r="E6" i="10"/>
  <c r="F6" i="10" s="1"/>
  <c r="E5" i="10"/>
  <c r="F5" i="10" s="1"/>
  <c r="H7" i="1"/>
  <c r="H8" i="1"/>
  <c r="H9" i="1"/>
  <c r="J6" i="6"/>
  <c r="J7" i="6"/>
  <c r="J8" i="6"/>
  <c r="I8" i="7"/>
  <c r="I9" i="7"/>
  <c r="I10" i="7"/>
  <c r="I11" i="7"/>
  <c r="I12" i="7"/>
  <c r="I13" i="7"/>
  <c r="F6" i="3"/>
  <c r="F7" i="3"/>
  <c r="H16" i="1" l="1"/>
  <c r="H7" i="8"/>
  <c r="H9" i="8"/>
  <c r="G14" i="10" a="1"/>
  <c r="G14" i="10" s="1"/>
  <c r="J15" i="1" s="1"/>
  <c r="I16" i="7"/>
  <c r="J9" i="6"/>
  <c r="G12" i="10" a="1"/>
  <c r="G12" i="10" s="1"/>
  <c r="J13" i="1" s="1"/>
  <c r="D8" i="3"/>
  <c r="E8" i="3" s="1"/>
  <c r="G8" i="3" s="1"/>
  <c r="G13" i="10" a="1"/>
  <c r="G13" i="10" s="1"/>
  <c r="J14" i="1" s="1"/>
  <c r="G11" i="10" a="1"/>
  <c r="G11" i="10" s="1"/>
  <c r="J12" i="1" s="1"/>
  <c r="G10" i="10" a="1"/>
  <c r="G10" i="10" s="1"/>
  <c r="J11" i="1" s="1"/>
  <c r="G9" i="10" a="1"/>
  <c r="G9" i="10" s="1"/>
  <c r="J10" i="1" s="1"/>
  <c r="G8" i="10" a="1"/>
  <c r="G8" i="10" s="1"/>
  <c r="J9" i="1" s="1"/>
  <c r="D6" i="3"/>
  <c r="D7" i="3"/>
  <c r="G7" i="10" a="1"/>
  <c r="G7" i="10" s="1"/>
  <c r="G6" i="10" a="1"/>
  <c r="G6" i="10" s="1"/>
  <c r="J8" i="1" s="1"/>
  <c r="G5" i="10" a="1"/>
  <c r="G5" i="10" s="1"/>
  <c r="J7" i="1" l="1"/>
  <c r="E7" i="3"/>
  <c r="G7" i="3" s="1"/>
  <c r="E6" i="3" l="1"/>
  <c r="G6" i="3" l="1"/>
  <c r="H6" i="8" s="1"/>
  <c r="I18" i="3"/>
  <c r="H11" i="8" s="1"/>
  <c r="G10" i="3" l="1"/>
</calcChain>
</file>

<file path=xl/sharedStrings.xml><?xml version="1.0" encoding="utf-8"?>
<sst xmlns="http://schemas.openxmlformats.org/spreadsheetml/2006/main" count="123" uniqueCount="111">
  <si>
    <t>Coca cola</t>
  </si>
  <si>
    <t>Bezalkoholowe</t>
  </si>
  <si>
    <t>Alkoholowe</t>
  </si>
  <si>
    <t>Wyborowa</t>
  </si>
  <si>
    <t>KOSZT</t>
  </si>
  <si>
    <t>NAZWA</t>
  </si>
  <si>
    <t>KATEGORIA</t>
  </si>
  <si>
    <t>WÓDKA Z KOLĄ</t>
  </si>
  <si>
    <t>ID_TRANSAKCJI</t>
  </si>
  <si>
    <t>ID_SKLADNIK</t>
  </si>
  <si>
    <t>IMIĘ</t>
  </si>
  <si>
    <t>NAZWISKO</t>
  </si>
  <si>
    <t>MISZA</t>
  </si>
  <si>
    <t>LISZCZYŃSKI</t>
  </si>
  <si>
    <t>ID_KOSZT</t>
  </si>
  <si>
    <t>Lokal</t>
  </si>
  <si>
    <t>GODZINÓWKA</t>
  </si>
  <si>
    <t>Prąd</t>
  </si>
  <si>
    <t>Księgowość</t>
  </si>
  <si>
    <t>Woda</t>
  </si>
  <si>
    <t>Pub Quiz</t>
  </si>
  <si>
    <t>Marketing</t>
  </si>
  <si>
    <t>Capitan Morgan Black</t>
  </si>
  <si>
    <t>RUM Z KOLĄ</t>
  </si>
  <si>
    <t>PIOTR</t>
  </si>
  <si>
    <t>JAROSZUK</t>
  </si>
  <si>
    <t>ILE_GODZIN</t>
  </si>
  <si>
    <t>SZTUK</t>
  </si>
  <si>
    <t>CENA</t>
  </si>
  <si>
    <t>ILE_SPRZEDANO</t>
  </si>
  <si>
    <t>ZYSK_NA_SZTUKĘ</t>
  </si>
  <si>
    <t>ZYSK_SUMA</t>
  </si>
  <si>
    <t>NAZWA_KOSZTU</t>
  </si>
  <si>
    <t>KWOTA</t>
  </si>
  <si>
    <t>DZIURA W ŚCIANIE</t>
  </si>
  <si>
    <t>KOSZT_WSZYSTKICH_SZTUK</t>
  </si>
  <si>
    <t>Karaoke</t>
  </si>
  <si>
    <t>MOHITO</t>
  </si>
  <si>
    <t>Dodatki</t>
  </si>
  <si>
    <t>Limonka</t>
  </si>
  <si>
    <t>Cukier Trzcinowy</t>
  </si>
  <si>
    <t>Mięta</t>
  </si>
  <si>
    <t>Woda gazowana</t>
  </si>
  <si>
    <t>Kruszony lód</t>
  </si>
  <si>
    <t>Suma</t>
  </si>
  <si>
    <t>Liczba transakcji:</t>
  </si>
  <si>
    <t>LP</t>
  </si>
  <si>
    <t>DZIAŁANIE</t>
  </si>
  <si>
    <t>Magazynowanie</t>
  </si>
  <si>
    <t>NA KONIEC DNIA ZAPISZ TEN PLIK Z AKTUALNĄ DATĄ</t>
  </si>
  <si>
    <t>NA KONIEC DNIA:</t>
  </si>
  <si>
    <t>Dane</t>
  </si>
  <si>
    <t>Wynik</t>
  </si>
  <si>
    <t>Koszt dnia (STAŁE+OBSŁUGA+NIEOCZEKIWANE):</t>
  </si>
  <si>
    <t>ID_PRACOWNIK</t>
  </si>
  <si>
    <t>KOSZT_PRACOWNIK</t>
  </si>
  <si>
    <t>NOWY DZIEŃ! UPEWNIJ SIĘ, ŻE WCZORAJSZY PLIK ZOSTAŁ ZAPISANY</t>
  </si>
  <si>
    <t>POCZĄTEK DNIA:</t>
  </si>
  <si>
    <t>W CIĄGU DNIA:</t>
  </si>
  <si>
    <t>Przychód z dnia (bez podatku):</t>
  </si>
  <si>
    <t>POBIERZ CZYSTY PLIK, UPEWNIJ SIĘ ŻE NIE MA W NIM BŁĘDÓW.</t>
  </si>
  <si>
    <t>UPEWNIJ SIĘ, ŻE ZAWARTOŚĆ TABELI W ARKUSZU "TRANSAKCJE" JEST PUSTA.</t>
  </si>
  <si>
    <t>Piwo</t>
  </si>
  <si>
    <t>Lech Pils</t>
  </si>
  <si>
    <t>LECH PILS</t>
  </si>
  <si>
    <t>Najpopularniejszy produkt w dniu:</t>
  </si>
  <si>
    <t>UZUPEŁNIJ JEŚLI SĄ ZMIANY W OFERCIE DRINKÓW (ARKUSZE: "MENU"," PRZEPISY").</t>
  </si>
  <si>
    <t>JEŚLI SĄ ZMIANY W KOSZTACH STAŁYCH - ZMIEŃ JE (ARKUSZ: "KOSZTY STAŁE").</t>
  </si>
  <si>
    <t>DODAJ ZAKUPY DO STANU MAGAZYNOWEGO LUB ZAKTUALIZUJ W NIM LICZBĘ SZTUK (ARKUSZ: "STAN MAGAZYNOWY")</t>
  </si>
  <si>
    <t>UZUPEŁNIJ PRACOWNIKÓW (ARKUSZ: "PRACOWNICY").</t>
  </si>
  <si>
    <t>JEŚLI POJAWIĄ SIĘ NIEOCZEKIWANE KOSZTY - DOPISZ JE (ARKUSZ: "KOSZTY NIEOCZEKIANE").</t>
  </si>
  <si>
    <t>W CIĄGU PRACY DODAWAJ TRANSAKCJE (ARKUSZ: "TRANSAKCJE").</t>
  </si>
  <si>
    <t>PORÓWNAJ AKTUALNY STAN MAGAZYNOWY (ARKUSZ: "STAN MAGAZYNOWY") ZE STANEM NA PÓŁKACH.</t>
  </si>
  <si>
    <t>SPISZ SOBIE KOSZTY ZAKUPÓW W OSOBNYM PLIKU (PLIK: "WŁAŚCICIEL") ORAZ DOPISZ KOSZTY NIEOCZEKIWANE (ARKUSZ: "KOSZTY NIEOCZEKIWANE").</t>
  </si>
  <si>
    <t>DOPISZ DO  PLIKU: "WŁAŚCICIEL" ZAWARTOŚĆ ARKUSZA "SYTUACJA"</t>
  </si>
  <si>
    <t>NA KONIEC MIESIĄCA:</t>
  </si>
  <si>
    <t>ZRÓB BACKUP PLIKÓW</t>
  </si>
  <si>
    <t>PODLICZ PRZYCHODY I KOSZTY</t>
  </si>
  <si>
    <t>PRZEANALIZUJ ZAWARTOŚĆ WSZYSTKICH PLIKÓW</t>
  </si>
  <si>
    <t>RADEK</t>
  </si>
  <si>
    <t>ŚWIADEK-SOBCZAK</t>
  </si>
  <si>
    <t>ID_SKLADNIK_STAN_MAGAZYNOWY</t>
  </si>
  <si>
    <t>KOSZT_SKŁADNIKA</t>
  </si>
  <si>
    <t>ID_PRODUKT_MENU</t>
  </si>
  <si>
    <t>WYSTĄPIENIA_SKŁADNIKA_W_TRANSAKCJACH</t>
  </si>
  <si>
    <t>ZUŻYCIE_SKŁADNIKA</t>
  </si>
  <si>
    <t>KOSZT_PRODUKCJI</t>
  </si>
  <si>
    <t>KOSZT_DZIEŃ</t>
  </si>
  <si>
    <t>POJEMNOŚĆ_W_ML_LUB_PORCJA</t>
  </si>
  <si>
    <t>STAN_MAGAZYNU_POCZĄTEK</t>
  </si>
  <si>
    <t>STAN_MAGAZYNU_AKTUALNY</t>
  </si>
  <si>
    <t>ID_PRODUKT</t>
  </si>
  <si>
    <t>NAZWA_PRODUKT</t>
  </si>
  <si>
    <t>ILOŚĆ_DO_PRODUKCJI</t>
  </si>
  <si>
    <t>NAZWA_KOSZT</t>
  </si>
  <si>
    <t>Tutaj wszystko się samo uzupełnia :)</t>
  </si>
  <si>
    <t>Najaktywniejszy pracownik:</t>
  </si>
  <si>
    <t>ILE_TRANSAKCJI</t>
  </si>
  <si>
    <t>SYGNALIZUJ_GDY_POJEMNOŚĆ_LUB_PORCJA_MNIEJSZY_NIŻ</t>
  </si>
  <si>
    <t>Średni zysk na produkcie:</t>
  </si>
  <si>
    <t>Ile średnio transakcji należy wykonać by było na koszty:</t>
  </si>
  <si>
    <t>Współczynnik</t>
  </si>
  <si>
    <t>W momencie wydania każdego produktu uzupełnij ID_PODUKT oraz ID_PRACOWNIK</t>
  </si>
  <si>
    <t>Jeśli dodałeś nowy produkt do menu uzupełnij przepis na niego - dodaj ID_PRODUKT_MENU z arkusza MENU, dodaj ID_SKŁADNIK_STAN_MAGAZYNOWY z arkusza STAN MAGAZYNOWY oraz potrzebną ILOŚĆ_DO_PRODUKCJI tego składnika.</t>
  </si>
  <si>
    <t>KOLUMNA_POMOCNICZA_SUMA_ZUŻYCIA</t>
  </si>
  <si>
    <t>KOSZT_MIESIĄC</t>
  </si>
  <si>
    <t>Tutaj dodaj koszty, które były nieoczekiwane danego dnia.</t>
  </si>
  <si>
    <t>Jeśli chcesz dodać nowy produkt do menu lokalu, uzupełnij NAZWA_PRODUKT, CENA.</t>
  </si>
  <si>
    <t>Jeśli pojawi się nowy koszt stały, uzupełnij NAZWA_KOSZT i KOSZT_MIESIĄC</t>
  </si>
  <si>
    <t>Uzupełnij każdego dnia początkowy stan magazynu lokalu - KATEGORIA, NAZWA i KOSZT. Następnie określ pojemność składnika w mililitrach lub porcjach  POJEMNOŚĆ_W_ML_LUB_PORCJA (np. w jednym opakowaniu kruszonego lodu jest 20 porcji). Uzupełnij liczbę posiadanych SZTUK oraz określ  przy jakim stanie magazynowym składnik ma wyświetlać się na czerwono (SYGNALIZUJ_GDY_POJEMNOŚĆ_LUB_PORCJA_MNIEJSZY_NIŻ).</t>
  </si>
  <si>
    <t>Uzupełnij pracowników, którzy są zatrudnieni danego dnia - IMIĘ, NAZWISKO, GODZINÓWKA i ILE_GODZIN będzie pracował.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</si>
</sst>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#,##0.00\ &quot;zł&quot;;[Red]\-#,##0.00\ &quot;zł&quot;"/>
    <numFmt numFmtId="44" formatCode="_-* #,##0.00\ &quot;zł&quot;_-;\-* #,##0.00\ &quot;zł&quot;_-;_-* &quot;-&quot;??\ &quot;zł&quot;_-;_-@_-"/>
  </numFmts>
  <fonts count="4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44" fontId="0" fillId="0" borderId="0" xfId="1" applyFont="1"/>
    <xf numFmtId="8" fontId="0" fillId="0" borderId="0" xfId="0" applyNumberFormat="1"/>
    <xf numFmtId="0" fontId="0" fillId="0" borderId="0" xfId="0" applyNumberFormat="1"/>
    <xf numFmtId="8" fontId="0" fillId="0" borderId="0" xfId="0" applyNumberFormat="1" applyFont="1"/>
    <xf numFmtId="0" fontId="0" fillId="0" borderId="0" xfId="0" applyNumberFormat="1" applyFont="1"/>
    <xf numFmtId="0" fontId="0" fillId="0" borderId="0" xfId="0" applyFont="1"/>
    <xf numFmtId="0" fontId="2" fillId="0" borderId="0" xfId="0" applyFont="1"/>
    <xf numFmtId="44" fontId="0" fillId="0" borderId="0" xfId="1" applyNumberFormat="1" applyFont="1"/>
    <xf numFmtId="8" fontId="0" fillId="2" borderId="1" xfId="0" applyNumberFormat="1" applyFont="1" applyFill="1" applyBorder="1"/>
    <xf numFmtId="8" fontId="0" fillId="3" borderId="2" xfId="0" applyNumberFormat="1" applyFont="1" applyFill="1" applyBorder="1"/>
    <xf numFmtId="0" fontId="3" fillId="0" borderId="0" xfId="0" applyFont="1"/>
    <xf numFmtId="8" fontId="2" fillId="0" borderId="0" xfId="0" applyNumberFormat="1" applyFont="1"/>
    <xf numFmtId="0" fontId="2" fillId="0" borderId="0" xfId="0" applyNumberFormat="1" applyFont="1"/>
    <xf numFmtId="2" fontId="0" fillId="0" borderId="0" xfId="0" applyNumberFormat="1"/>
    <xf numFmtId="0" fontId="0" fillId="0" borderId="0" xfId="0" applyAlignment="1">
      <alignment wrapText="1"/>
    </xf>
  </cellXfs>
  <cellStyles count="2">
    <cellStyle name="Normalny" xfId="0" builtinId="0"/>
    <cellStyle name="Walutowy" xfId="1" builtinId="4"/>
  </cellStyles>
  <dxfs count="46">
    <dxf>
      <numFmt numFmtId="12" formatCode="#,##0.00\ &quot;zł&quot;;[Red]\-#,##0.00\ &quot;zł&quot;"/>
    </dxf>
    <dxf>
      <numFmt numFmtId="12" formatCode="#,##0.00\ &quot;zł&quot;;[Red]\-#,##0.00\ &quot;zł&quot;"/>
    </dxf>
    <dxf>
      <font>
        <b val="0"/>
      </font>
    </dxf>
    <dxf>
      <font>
        <b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2" formatCode="#,##0.00\ &quot;zł&quot;;[Red]\-#,##0.00\ &quot;zł&quot;"/>
    </dxf>
    <dxf>
      <numFmt numFmtId="12" formatCode="#,##0.00\ &quot;zł&quot;;[Red]\-#,##0.00\ &quot;zł&quot;"/>
    </dxf>
    <dxf>
      <font>
        <b val="0"/>
      </font>
    </dxf>
    <dxf>
      <font>
        <b/>
      </font>
    </dxf>
    <dxf>
      <numFmt numFmtId="12" formatCode="#,##0.00\ &quot;zł&quot;;[Red]\-#,##0.00\ &quot;zł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12" formatCode="#,##0.00\ &quot;zł&quot;;[Red]\-#,##0.00\ &quot;zł&quot;"/>
    </dxf>
    <dxf>
      <numFmt numFmtId="0" formatCode="General"/>
    </dxf>
    <dxf>
      <numFmt numFmtId="12" formatCode="#,##0.00\ &quot;zł&quot;;[Red]\-#,##0.00\ &quot;zł&quot;"/>
    </dxf>
    <dxf>
      <font>
        <b/>
      </font>
    </dxf>
    <dxf>
      <font>
        <b/>
      </font>
      <numFmt numFmtId="12" formatCode="#,##0.00\ &quot;zł&quot;;[Red]\-#,##0.00\ &quot;zł&quot;"/>
    </dxf>
    <dxf>
      <font>
        <b/>
      </font>
    </dxf>
    <dxf>
      <font>
        <b/>
      </font>
    </dxf>
    <dxf>
      <font>
        <b/>
      </font>
    </dxf>
    <dxf>
      <numFmt numFmtId="0" formatCode="General"/>
    </dxf>
    <dxf>
      <numFmt numFmtId="0" formatCode="General"/>
    </dxf>
    <dxf>
      <numFmt numFmtId="12" formatCode="#,##0.00\ &quot;zł&quot;;[Red]\-#,##0.00\ &quot;zł&quot;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</font>
    </dxf>
    <dxf>
      <font>
        <b/>
      </font>
      <numFmt numFmtId="0" formatCode="General"/>
    </dxf>
    <dxf>
      <font>
        <b/>
      </font>
      <numFmt numFmtId="12" formatCode="#,##0.00\ &quot;zł&quot;;[Red]\-#,##0.00\ &quot;zł&quot;"/>
    </dxf>
    <dxf>
      <font>
        <b/>
      </font>
    </dxf>
    <dxf>
      <font>
        <b/>
      </font>
    </dxf>
    <dxf>
      <font>
        <b/>
      </font>
    </dxf>
    <dxf>
      <fill>
        <patternFill>
          <bgColor rgb="FFFF0000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2" formatCode="#,##0.00\ &quot;zł&quot;;[Red]\-#,##0.00\ &quot;zł&quot;"/>
    </dxf>
    <dxf>
      <font>
        <b/>
      </font>
      <numFmt numFmtId="12" formatCode="#,##0.00\ &quot;zł&quot;;[Red]\-#,##0.00\ &quot;zł&quot;"/>
    </dxf>
    <dxf>
      <numFmt numFmtId="0" formatCode="General"/>
    </dxf>
    <dxf>
      <numFmt numFmtId="0" formatCode="General"/>
    </dxf>
    <dxf>
      <numFmt numFmtId="0" formatCode="General"/>
    </dxf>
    <dxf>
      <numFmt numFmtId="34" formatCode="_-* #,##0.00\ &quot;zł&quot;_-;\-* #,##0.00\ &quot;zł&quot;_-;_-* &quot;-&quot;??\ &quot;zł&quot;_-;_-@_-"/>
    </dxf>
    <dxf>
      <font>
        <b/>
      </font>
    </dxf>
    <dxf>
      <font>
        <b/>
      </font>
    </dxf>
    <dxf>
      <font>
        <b/>
      </font>
    </dxf>
    <dxf>
      <numFmt numFmtId="12" formatCode="#,##0.00\ &quot;zł&quot;;[Red]\-#,##0.00\ &quot;zł&quot;"/>
    </dxf>
    <dxf>
      <numFmt numFmtId="12" formatCode="#,##0.00\ &quot;zł&quot;;[Red]\-#,##0.00\ &quot;zł&quot;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numFmt numFmtId="12" formatCode="#,##0.00\ &quot;zł&quot;;[Red]\-#,##0.00\ &quot;zł&quot;"/>
    </dxf>
    <dxf>
      <numFmt numFmtId="12" formatCode="#,##0.00\ &quot;zł&quot;;[Red]\-#,##0.00\ &quot;zł&quot;"/>
    </dxf>
    <dxf>
      <font>
        <b/>
      </font>
      <numFmt numFmtId="12" formatCode="#,##0.00\ &quot;zł&quot;;[Red]\-#,##0.00\ &quot;zł&quot;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18" Type="http://schemas.openxmlformats.org/officeDocument/2006/relationships/customXml" Target="../customXml/item5.xml"/><Relationship Id="rId26" Type="http://schemas.openxmlformats.org/officeDocument/2006/relationships/customXml" Target="../customXml/item13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8.xml"/><Relationship Id="rId34" Type="http://schemas.openxmlformats.org/officeDocument/2006/relationships/customXml" Target="../customXml/item21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4.xml"/><Relationship Id="rId25" Type="http://schemas.openxmlformats.org/officeDocument/2006/relationships/customXml" Target="../customXml/item12.xml"/><Relationship Id="rId33" Type="http://schemas.openxmlformats.org/officeDocument/2006/relationships/customXml" Target="../customXml/item20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20" Type="http://schemas.openxmlformats.org/officeDocument/2006/relationships/customXml" Target="../customXml/item7.xml"/><Relationship Id="rId29" Type="http://schemas.openxmlformats.org/officeDocument/2006/relationships/customXml" Target="../customXml/item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24" Type="http://schemas.openxmlformats.org/officeDocument/2006/relationships/customXml" Target="../customXml/item11.xml"/><Relationship Id="rId32" Type="http://schemas.openxmlformats.org/officeDocument/2006/relationships/customXml" Target="../customXml/item19.xml"/><Relationship Id="rId37" Type="http://schemas.openxmlformats.org/officeDocument/2006/relationships/customXml" Target="../customXml/item24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23" Type="http://schemas.openxmlformats.org/officeDocument/2006/relationships/customXml" Target="../customXml/item10.xml"/><Relationship Id="rId28" Type="http://schemas.openxmlformats.org/officeDocument/2006/relationships/customXml" Target="../customXml/item15.xml"/><Relationship Id="rId36" Type="http://schemas.openxmlformats.org/officeDocument/2006/relationships/customXml" Target="../customXml/item23.xml"/><Relationship Id="rId10" Type="http://schemas.openxmlformats.org/officeDocument/2006/relationships/theme" Target="theme/theme1.xml"/><Relationship Id="rId19" Type="http://schemas.openxmlformats.org/officeDocument/2006/relationships/customXml" Target="../customXml/item6.xml"/><Relationship Id="rId31" Type="http://schemas.openxmlformats.org/officeDocument/2006/relationships/customXml" Target="../customXml/item1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Relationship Id="rId22" Type="http://schemas.openxmlformats.org/officeDocument/2006/relationships/customXml" Target="../customXml/item9.xml"/><Relationship Id="rId27" Type="http://schemas.openxmlformats.org/officeDocument/2006/relationships/customXml" Target="../customXml/item14.xml"/><Relationship Id="rId30" Type="http://schemas.openxmlformats.org/officeDocument/2006/relationships/customXml" Target="../customXml/item17.xml"/><Relationship Id="rId35" Type="http://schemas.openxmlformats.org/officeDocument/2006/relationships/customXml" Target="../customXml/item2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Produkty</a:t>
            </a:r>
            <a:r>
              <a:rPr lang="pl-PL" baseline="0"/>
              <a:t> generujące największy zysk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MENU!$B$6:$B$9</c:f>
              <c:strCache>
                <c:ptCount val="4"/>
                <c:pt idx="0">
                  <c:v>WÓDKA Z KOLĄ</c:v>
                </c:pt>
                <c:pt idx="1">
                  <c:v>RUM Z KOLĄ</c:v>
                </c:pt>
                <c:pt idx="2">
                  <c:v>MOHITO</c:v>
                </c:pt>
                <c:pt idx="3">
                  <c:v>LECH PILS</c:v>
                </c:pt>
              </c:strCache>
            </c:strRef>
          </c:cat>
          <c:val>
            <c:numRef>
              <c:f>MENU!$G$6:$G$9</c:f>
              <c:numCache>
                <c:formatCode>"zł"#,##0.00_);[Red]\("zł"#,##0.00\)</c:formatCode>
                <c:ptCount val="4"/>
                <c:pt idx="0">
                  <c:v>50</c:v>
                </c:pt>
                <c:pt idx="1">
                  <c:v>229.37142857142857</c:v>
                </c:pt>
                <c:pt idx="2">
                  <c:v>102.19999999999999</c:v>
                </c:pt>
                <c:pt idx="3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F0-425F-B2BE-AA8C6EFEFA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55279800"/>
        <c:axId val="655280784"/>
      </c:barChart>
      <c:catAx>
        <c:axId val="655279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55280784"/>
        <c:crosses val="autoZero"/>
        <c:auto val="1"/>
        <c:lblAlgn val="ctr"/>
        <c:lblOffset val="100"/>
        <c:noMultiLvlLbl val="0"/>
      </c:catAx>
      <c:valAx>
        <c:axId val="655280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zł&quot;#,##0.00_);[Red]\(&quot;zł&quot;#,##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552798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TRANSAKCJE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PRACOWNICY!$F$6:$G$8</c:f>
              <c:multiLvlStrCache>
                <c:ptCount val="3"/>
                <c:lvl>
                  <c:pt idx="0">
                    <c:v>LISZCZYŃSKI</c:v>
                  </c:pt>
                  <c:pt idx="1">
                    <c:v>JAROSZUK</c:v>
                  </c:pt>
                  <c:pt idx="2">
                    <c:v>ŚWIADEK-SOBCZAK</c:v>
                  </c:pt>
                </c:lvl>
                <c:lvl>
                  <c:pt idx="0">
                    <c:v>MISZA</c:v>
                  </c:pt>
                  <c:pt idx="1">
                    <c:v>PIOTR</c:v>
                  </c:pt>
                  <c:pt idx="2">
                    <c:v>RADEK</c:v>
                  </c:pt>
                </c:lvl>
              </c:multiLvlStrCache>
            </c:multiLvlStrRef>
          </c:cat>
          <c:val>
            <c:numRef>
              <c:f>PRACOWNICY!$K$6:$K$8</c:f>
              <c:numCache>
                <c:formatCode>General</c:formatCode>
                <c:ptCount val="3"/>
                <c:pt idx="0">
                  <c:v>4</c:v>
                </c:pt>
                <c:pt idx="1">
                  <c:v>8</c:v>
                </c:pt>
                <c:pt idx="2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BB-458B-B68B-88C08E39CC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50394232"/>
        <c:axId val="650388328"/>
      </c:barChart>
      <c:catAx>
        <c:axId val="650394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50388328"/>
        <c:crosses val="autoZero"/>
        <c:auto val="1"/>
        <c:lblAlgn val="ctr"/>
        <c:lblOffset val="100"/>
        <c:noMultiLvlLbl val="0"/>
      </c:catAx>
      <c:valAx>
        <c:axId val="650388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50394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243840</xdr:colOff>
      <xdr:row>4</xdr:row>
      <xdr:rowOff>0</xdr:rowOff>
    </xdr:from>
    <xdr:to>
      <xdr:col>10</xdr:col>
      <xdr:colOff>952500</xdr:colOff>
      <xdr:row>14</xdr:row>
      <xdr:rowOff>156210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106680</xdr:colOff>
      <xdr:row>3</xdr:row>
      <xdr:rowOff>175260</xdr:rowOff>
    </xdr:from>
    <xdr:to>
      <xdr:col>17</xdr:col>
      <xdr:colOff>365760</xdr:colOff>
      <xdr:row>16</xdr:row>
      <xdr:rowOff>87630</xdr:rowOff>
    </xdr:to>
    <xdr:graphicFrame macro="">
      <xdr:nvGraphicFramePr>
        <xdr:cNvPr id="3" name="Wykres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8" name="Tabela8" displayName="Tabela8" ref="B3:C23" totalsRowShown="0">
  <autoFilter ref="B3:C23"/>
  <tableColumns count="2">
    <tableColumn id="1" name="LP"/>
    <tableColumn id="2" name="DZIAŁANIE" dataDxfId="4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FAKT_TRANSAKCJE" displayName="FAKT_TRANSAKCJE" ref="A1:C23" totalsRowShown="0">
  <autoFilter ref="A1:C23"/>
  <tableColumns count="3">
    <tableColumn id="1" name="ID_TRANSAKCJI" dataDxfId="44">
      <calculatedColumnFormula>ROW(FAKT_TRANSAKCJE[[#This Row],[ID_TRANSAKCJI]])-1</calculatedColumnFormula>
    </tableColumn>
    <tableColumn id="2" name="ID_PRODUKT"/>
    <tableColumn id="6" name="ID_PRACOWNIK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WYM_DRINK" displayName="WYM_DRINK" ref="A5:G10" totalsRowCount="1">
  <autoFilter ref="A5:G9"/>
  <tableColumns count="7">
    <tableColumn id="1" name="ID_PRODUKT" totalsRowLabel="Suma" dataDxfId="6">
      <calculatedColumnFormula>ROW(WYM_DRINK[[#This Row],[ID_PRODUKT]])-5</calculatedColumnFormula>
    </tableColumn>
    <tableColumn id="2" name="NAZWA_PRODUKT" dataDxfId="7"/>
    <tableColumn id="8" name="CENA" dataDxfId="43"/>
    <tableColumn id="3" name="KOSZT_PRODUKCJI" dataDxfId="42">
      <calculatedColumnFormula>SUMIF(WYM_PRZELICZNIK[ID_PRODUKT_MENU],WYM_DRINK[ID_PRODUKT],WYM_PRZELICZNIK[KOSZT_SKŁADNIKA])</calculatedColumnFormula>
    </tableColumn>
    <tableColumn id="5" name="ZYSK_NA_SZTUKĘ" dataDxfId="41">
      <calculatedColumnFormula>WYM_DRINK[[#This Row],[CENA]]-WYM_DRINK[KOSZT_PRODUKCJI]</calculatedColumnFormula>
    </tableColumn>
    <tableColumn id="6" name="ILE_SPRZEDANO" dataDxfId="40" totalsRowDxfId="9">
      <calculatedColumnFormula>COUNTIF(FAKT_TRANSAKCJE[ID_PRODUKT],WYM_DRINK[[#This Row],[ID_PRODUKT]])</calculatedColumnFormula>
    </tableColumn>
    <tableColumn id="7" name="ZYSK_SUMA" totalsRowFunction="sum" dataDxfId="39" totalsRowDxfId="8">
      <calculatedColumnFormula>WYM_DRINK[[#This Row],[ILE_SPRZEDANO]]*WYM_DRINK[[#This Row],[ZYSK_NA_SZTUKĘ]]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5" name="Tabela5" displayName="Tabela5" ref="H17:I18" totalsRowShown="0">
  <autoFilter ref="H17:I18"/>
  <tableColumns count="2">
    <tableColumn id="1" name="Współczynnik"/>
    <tableColumn id="2" name="Dane" dataDxfId="38">
      <calculatedColumnFormula>AVERAGE(WYM_DRINK[ZYSK_NA_SZTUKĘ])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1" name="WYM_PRZELICZNIK" displayName="WYM_PRZELICZNIK" ref="A4:G14" totalsRowShown="0">
  <autoFilter ref="A4:G14"/>
  <tableColumns count="7">
    <tableColumn id="1" name="ID_PRODUKT_MENU" dataDxfId="37"/>
    <tableColumn id="2" name="ID_SKLADNIK_STAN_MAGAZYNOWY" dataDxfId="36"/>
    <tableColumn id="3" name="ILOŚĆ_DO_PRODUKCJI" dataDxfId="35"/>
    <tableColumn id="4" name="KOSZT_SKŁADNIKA" dataDxfId="34" dataCellStyle="Walutowy">
      <calculatedColumnFormula>VLOOKUP(WYM_PRZELICZNIK[[#This Row],[ID_SKLADNIK_STAN_MAGAZYNOWY]],WYM_POCZ_STAN_MAG[],4)*WYM_PRZELICZNIK[[#This Row],[ILOŚĆ_DO_PRODUKCJI]]/VLOOKUP(WYM_PRZELICZNIK[[#This Row],[ID_SKLADNIK_STAN_MAGAZYNOWY]],WYM_POCZ_STAN_MAG[],5)</calculatedColumnFormula>
    </tableColumn>
    <tableColumn id="6" name="WYSTĄPIENIA_SKŁADNIKA_W_TRANSAKCJACH" dataDxfId="33">
      <calculatedColumnFormula>COUNTIF(FAKT_TRANSAKCJE[ID_PRODUKT],WYM_PRZELICZNIK[[#This Row],[ID_PRODUKT_MENU]])</calculatedColumnFormula>
    </tableColumn>
    <tableColumn id="7" name="ZUŻYCIE_SKŁADNIKA" dataDxfId="32">
      <calculatedColumnFormula>WYM_PRZELICZNIK[[#This Row],[WYSTĄPIENIA_SKŁADNIKA_W_TRANSAKCJACH]]*WYM_PRZELICZNIK[[#This Row],[ILOŚĆ_DO_PRODUKCJI]]</calculatedColumnFormula>
    </tableColumn>
    <tableColumn id="8" name="KOLUMNA_POMOCNICZA_SUMA_ZUŻYCIA" dataDxfId="31">
      <calculatedColumnFormula array="1">SUM(IF(WYM_PRZELICZNIK[ID_SKLADNIK_STAN_MAGAZYNOWY]=WYM_PRZELICZNIK[[#This Row],[ID_SKLADNIK_STAN_MAGAZYNOWY]],WYM_PRZELICZNIK[ZUŻYCIE_SKŁADNIKA]))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7" name="KOSZTY_STAŁE" displayName="KOSZTY_STAŁE" ref="F7:I16" totalsRowCount="1">
  <autoFilter ref="F7:I15"/>
  <tableColumns count="4">
    <tableColumn id="1" name="ID_KOSZT" totalsRowLabel="Suma" dataDxfId="2">
      <calculatedColumnFormula>ROW(KOSZTY_STAŁE[[#This Row],[ID_KOSZT]])-7</calculatedColumnFormula>
    </tableColumn>
    <tableColumn id="2" name="NAZWA_KOSZT" dataDxfId="3"/>
    <tableColumn id="3" name="KOSZT_MIESIĄC" totalsRowFunction="sum" dataDxfId="30" totalsRowDxfId="5"/>
    <tableColumn id="4" name="KOSZT_DZIEŃ" totalsRowFunction="sum" dataDxfId="29" totalsRowDxfId="4">
      <calculatedColumnFormula>KOSZTY_STAŁE[[#This Row],[KOSZT_MIESIĄC]]/30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" name="WYM_POCZ_STAN_MAG" displayName="WYM_POCZ_STAN_MAG" ref="A6:J16" totalsRowCount="1">
  <autoFilter ref="A6:J15"/>
  <tableColumns count="10">
    <tableColumn id="1" name="ID_SKLADNIK" totalsRowLabel="Suma" dataDxfId="27">
      <calculatedColumnFormula>ROW(WYM_POCZ_STAN_MAG[[#This Row],[ID_SKLADNIK]])-6</calculatedColumnFormula>
    </tableColumn>
    <tableColumn id="2" name="KATEGORIA" dataDxfId="26"/>
    <tableColumn id="4" name="NAZWA" dataDxfId="25"/>
    <tableColumn id="5" name="KOSZT" dataDxfId="24"/>
    <tableColumn id="15" name="POJEMNOŚĆ_W_ML_LUB_PORCJA" dataDxfId="23"/>
    <tableColumn id="12" name="SZTUK" dataDxfId="22"/>
    <tableColumn id="3" name="SYGNALIZUJ_GDY_POJEMNOŚĆ_LUB_PORCJA_MNIEJSZY_NIŻ" dataDxfId="21"/>
    <tableColumn id="13" name="KOSZT_WSZYSTKICH_SZTUK" totalsRowFunction="sum" dataDxfId="20" totalsRowDxfId="1">
      <calculatedColumnFormula>WYM_POCZ_STAN_MAG[[#This Row],[KOSZT]]*WYM_POCZ_STAN_MAG[[#This Row],[SZTUK]]</calculatedColumnFormula>
    </tableColumn>
    <tableColumn id="14" name="STAN_MAGAZYNU_POCZĄTEK" dataDxfId="19">
      <calculatedColumnFormula>WYM_POCZ_STAN_MAG[[#This Row],[POJEMNOŚĆ_W_ML_LUB_PORCJA]]*WYM_POCZ_STAN_MAG[[#This Row],[SZTUK]]</calculatedColumnFormula>
    </tableColumn>
    <tableColumn id="16" name="STAN_MAGAZYNU_AKTUALNY" dataDxfId="18">
      <calculatedColumnFormula>WYM_POCZ_STAN_MAG[[#This Row],[STAN_MAGAZYNU_POCZĄTEK]]-VLOOKUP(WYM_POCZ_STAN_MAG[[#This Row],[ID_SKLADNIK]],WYM_PRZELICZNIK[[ID_SKLADNIK_STAN_MAGAZYNOWY]:[KOLUMNA_POMOCNICZA_SUMA_ZUŻYCIA]],6)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6" name="PRACOWNICY" displayName="PRACOWNICY" ref="E5:K9" totalsRowCount="1">
  <autoFilter ref="E5:K8"/>
  <tableColumns count="7">
    <tableColumn id="1" name="ID_PRACOWNIK" totalsRowLabel="Suma" dataDxfId="17">
      <calculatedColumnFormula>ROW(PRACOWNICY[[#This Row],[ID_PRACOWNIK]])-5</calculatedColumnFormula>
    </tableColumn>
    <tableColumn id="2" name="IMIĘ" dataDxfId="16"/>
    <tableColumn id="3" name="NAZWISKO" dataDxfId="15"/>
    <tableColumn id="4" name="GODZINÓWKA" dataDxfId="14"/>
    <tableColumn id="5" name="ILE_GODZIN" dataDxfId="13"/>
    <tableColumn id="6" name="KOSZT_PRACOWNIK" totalsRowFunction="sum" dataDxfId="12" totalsRowDxfId="0">
      <calculatedColumnFormula>PRACOWNICY[[#This Row],[ILE_GODZIN]]*PRACOWNICY[[#This Row],[GODZINÓWKA]]</calculatedColumnFormula>
    </tableColumn>
    <tableColumn id="7" name="ILE_TRANSAKCJI" dataDxfId="11">
      <calculatedColumnFormula>COUNTIF(FAKT_TRANSAKCJE[ID_PRACOWNIK],PRACOWNICY[ID_PRACOWNIK])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12" name="KOSZT_NIEOCZEKIWANY" displayName="KOSZT_NIEOCZEKIWANY" ref="G7:H9" totalsRowCount="1">
  <autoFilter ref="G7:H8"/>
  <tableColumns count="2">
    <tableColumn id="1" name="NAZWA_KOSZTU" totalsRowLabel="Suma"/>
    <tableColumn id="2" name="KWOTA" totalsRowFunction="sum" dataDxfId="10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9" name="Tabela9" displayName="Tabela9" ref="G5:H11" totalsRowShown="0">
  <autoFilter ref="G5:H11"/>
  <tableColumns count="2">
    <tableColumn id="1" name="Dane"/>
    <tableColumn id="2" name="Wyni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23"/>
  <sheetViews>
    <sheetView tabSelected="1" workbookViewId="0">
      <selection activeCell="C21" sqref="C21"/>
    </sheetView>
  </sheetViews>
  <sheetFormatPr defaultRowHeight="14.4" x14ac:dyDescent="0.3"/>
  <cols>
    <col min="3" max="3" width="141" customWidth="1"/>
  </cols>
  <sheetData>
    <row r="3" spans="2:3" x14ac:dyDescent="0.3">
      <c r="B3" t="s">
        <v>46</v>
      </c>
      <c r="C3" s="7" t="s">
        <v>47</v>
      </c>
    </row>
    <row r="4" spans="2:3" x14ac:dyDescent="0.3">
      <c r="B4">
        <v>1</v>
      </c>
      <c r="C4" s="7" t="s">
        <v>57</v>
      </c>
    </row>
    <row r="5" spans="2:3" x14ac:dyDescent="0.3">
      <c r="B5">
        <v>2</v>
      </c>
      <c r="C5" s="11" t="s">
        <v>56</v>
      </c>
    </row>
    <row r="6" spans="2:3" x14ac:dyDescent="0.3">
      <c r="B6">
        <v>3</v>
      </c>
      <c r="C6" s="11" t="s">
        <v>60</v>
      </c>
    </row>
    <row r="7" spans="2:3" x14ac:dyDescent="0.3">
      <c r="B7">
        <v>4</v>
      </c>
      <c r="C7" s="11" t="s">
        <v>61</v>
      </c>
    </row>
    <row r="8" spans="2:3" x14ac:dyDescent="0.3">
      <c r="B8">
        <v>5</v>
      </c>
      <c r="C8" s="11" t="s">
        <v>66</v>
      </c>
    </row>
    <row r="9" spans="2:3" x14ac:dyDescent="0.3">
      <c r="B9">
        <v>6</v>
      </c>
      <c r="C9" s="11" t="s">
        <v>67</v>
      </c>
    </row>
    <row r="10" spans="2:3" x14ac:dyDescent="0.3">
      <c r="B10" s="6">
        <v>7</v>
      </c>
      <c r="C10" s="6" t="s">
        <v>68</v>
      </c>
    </row>
    <row r="11" spans="2:3" x14ac:dyDescent="0.3">
      <c r="B11" s="6">
        <v>8</v>
      </c>
      <c r="C11" s="6" t="s">
        <v>69</v>
      </c>
    </row>
    <row r="12" spans="2:3" x14ac:dyDescent="0.3">
      <c r="B12" s="6">
        <v>9</v>
      </c>
      <c r="C12" s="6" t="s">
        <v>70</v>
      </c>
    </row>
    <row r="13" spans="2:3" x14ac:dyDescent="0.3">
      <c r="B13">
        <v>10</v>
      </c>
      <c r="C13" s="7" t="s">
        <v>58</v>
      </c>
    </row>
    <row r="14" spans="2:3" x14ac:dyDescent="0.3">
      <c r="B14">
        <v>11</v>
      </c>
      <c r="C14" s="6" t="s">
        <v>71</v>
      </c>
    </row>
    <row r="15" spans="2:3" x14ac:dyDescent="0.3">
      <c r="B15">
        <v>12</v>
      </c>
      <c r="C15" s="7" t="s">
        <v>50</v>
      </c>
    </row>
    <row r="16" spans="2:3" x14ac:dyDescent="0.3">
      <c r="B16">
        <v>13</v>
      </c>
      <c r="C16" s="6" t="s">
        <v>73</v>
      </c>
    </row>
    <row r="17" spans="2:3" x14ac:dyDescent="0.3">
      <c r="B17">
        <v>14</v>
      </c>
      <c r="C17" s="6" t="s">
        <v>72</v>
      </c>
    </row>
    <row r="18" spans="2:3" x14ac:dyDescent="0.3">
      <c r="B18">
        <v>15</v>
      </c>
      <c r="C18" s="6" t="s">
        <v>74</v>
      </c>
    </row>
    <row r="19" spans="2:3" x14ac:dyDescent="0.3">
      <c r="B19">
        <v>16</v>
      </c>
      <c r="C19" s="6" t="s">
        <v>49</v>
      </c>
    </row>
    <row r="20" spans="2:3" x14ac:dyDescent="0.3">
      <c r="B20">
        <v>17</v>
      </c>
      <c r="C20" s="7" t="s">
        <v>75</v>
      </c>
    </row>
    <row r="21" spans="2:3" x14ac:dyDescent="0.3">
      <c r="B21">
        <v>18</v>
      </c>
      <c r="C21" s="6" t="s">
        <v>76</v>
      </c>
    </row>
    <row r="22" spans="2:3" x14ac:dyDescent="0.3">
      <c r="B22">
        <v>19</v>
      </c>
      <c r="C22" s="6" t="s">
        <v>77</v>
      </c>
    </row>
    <row r="23" spans="2:3" x14ac:dyDescent="0.3">
      <c r="B23">
        <v>20</v>
      </c>
      <c r="C23" s="6" t="s">
        <v>78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D9" sqref="D9"/>
    </sheetView>
  </sheetViews>
  <sheetFormatPr defaultRowHeight="14.4" x14ac:dyDescent="0.3"/>
  <cols>
    <col min="1" max="1" width="16.44140625" bestFit="1" customWidth="1"/>
    <col min="2" max="2" width="14.21875" bestFit="1" customWidth="1"/>
    <col min="3" max="3" width="16.77734375" bestFit="1" customWidth="1"/>
    <col min="5" max="6" width="16.44140625" bestFit="1" customWidth="1"/>
    <col min="7" max="7" width="13.77734375" bestFit="1" customWidth="1"/>
    <col min="8" max="8" width="10.33203125" bestFit="1" customWidth="1"/>
    <col min="12" max="12" width="10.5546875" customWidth="1"/>
    <col min="13" max="13" width="15.21875" customWidth="1"/>
    <col min="14" max="14" width="11.109375" customWidth="1"/>
  </cols>
  <sheetData>
    <row r="1" spans="1:5" x14ac:dyDescent="0.3">
      <c r="A1" t="s">
        <v>8</v>
      </c>
      <c r="B1" t="s">
        <v>91</v>
      </c>
      <c r="C1" t="s">
        <v>54</v>
      </c>
    </row>
    <row r="2" spans="1:5" x14ac:dyDescent="0.3">
      <c r="A2">
        <f>ROW(FAKT_TRANSAKCJE[[#This Row],[ID_TRANSAKCJI]])-1</f>
        <v>1</v>
      </c>
      <c r="B2">
        <v>2</v>
      </c>
      <c r="C2">
        <v>2</v>
      </c>
    </row>
    <row r="3" spans="1:5" x14ac:dyDescent="0.3">
      <c r="A3">
        <f>ROW(FAKT_TRANSAKCJE[[#This Row],[ID_TRANSAKCJI]])-1</f>
        <v>2</v>
      </c>
      <c r="B3">
        <v>2</v>
      </c>
      <c r="C3">
        <v>2</v>
      </c>
      <c r="E3" s="7" t="s">
        <v>102</v>
      </c>
    </row>
    <row r="4" spans="1:5" x14ac:dyDescent="0.3">
      <c r="A4">
        <f>ROW(FAKT_TRANSAKCJE[[#This Row],[ID_TRANSAKCJI]])-1</f>
        <v>3</v>
      </c>
      <c r="B4">
        <v>2</v>
      </c>
      <c r="C4">
        <v>1</v>
      </c>
    </row>
    <row r="5" spans="1:5" x14ac:dyDescent="0.3">
      <c r="A5">
        <f>ROW(FAKT_TRANSAKCJE[[#This Row],[ID_TRANSAKCJI]])-1</f>
        <v>4</v>
      </c>
      <c r="B5">
        <v>1</v>
      </c>
      <c r="C5">
        <v>3</v>
      </c>
    </row>
    <row r="6" spans="1:5" x14ac:dyDescent="0.3">
      <c r="A6">
        <f>ROW(FAKT_TRANSAKCJE[[#This Row],[ID_TRANSAKCJI]])-1</f>
        <v>5</v>
      </c>
      <c r="B6">
        <v>3</v>
      </c>
      <c r="C6">
        <v>3</v>
      </c>
    </row>
    <row r="7" spans="1:5" x14ac:dyDescent="0.3">
      <c r="A7">
        <f>ROW(FAKT_TRANSAKCJE[[#This Row],[ID_TRANSAKCJI]])-1</f>
        <v>6</v>
      </c>
      <c r="B7">
        <v>2</v>
      </c>
      <c r="C7">
        <v>2</v>
      </c>
    </row>
    <row r="8" spans="1:5" x14ac:dyDescent="0.3">
      <c r="A8">
        <f>ROW(FAKT_TRANSAKCJE[[#This Row],[ID_TRANSAKCJI]])-1</f>
        <v>7</v>
      </c>
      <c r="B8">
        <v>2</v>
      </c>
      <c r="C8">
        <v>2</v>
      </c>
    </row>
    <row r="9" spans="1:5" x14ac:dyDescent="0.3">
      <c r="A9">
        <f>ROW(FAKT_TRANSAKCJE[[#This Row],[ID_TRANSAKCJI]])-1</f>
        <v>8</v>
      </c>
      <c r="B9">
        <v>2</v>
      </c>
      <c r="C9">
        <v>1</v>
      </c>
    </row>
    <row r="10" spans="1:5" x14ac:dyDescent="0.3">
      <c r="A10">
        <f>ROW(FAKT_TRANSAKCJE[[#This Row],[ID_TRANSAKCJI]])-1</f>
        <v>9</v>
      </c>
      <c r="B10">
        <v>1</v>
      </c>
      <c r="C10">
        <v>3</v>
      </c>
    </row>
    <row r="11" spans="1:5" x14ac:dyDescent="0.3">
      <c r="A11">
        <f>ROW(FAKT_TRANSAKCJE[[#This Row],[ID_TRANSAKCJI]])-1</f>
        <v>10</v>
      </c>
      <c r="B11">
        <v>3</v>
      </c>
      <c r="C11">
        <v>3</v>
      </c>
    </row>
    <row r="12" spans="1:5" x14ac:dyDescent="0.3">
      <c r="A12">
        <f>ROW(FAKT_TRANSAKCJE[[#This Row],[ID_TRANSAKCJI]])-1</f>
        <v>11</v>
      </c>
      <c r="B12">
        <v>4</v>
      </c>
      <c r="C12">
        <v>3</v>
      </c>
    </row>
    <row r="13" spans="1:5" x14ac:dyDescent="0.3">
      <c r="A13">
        <f>ROW(FAKT_TRANSAKCJE[[#This Row],[ID_TRANSAKCJI]])-1</f>
        <v>12</v>
      </c>
      <c r="B13">
        <v>2</v>
      </c>
      <c r="C13">
        <v>2</v>
      </c>
    </row>
    <row r="14" spans="1:5" x14ac:dyDescent="0.3">
      <c r="A14">
        <f>ROW(FAKT_TRANSAKCJE[[#This Row],[ID_TRANSAKCJI]])-1</f>
        <v>13</v>
      </c>
      <c r="B14">
        <v>2</v>
      </c>
      <c r="C14">
        <v>2</v>
      </c>
    </row>
    <row r="15" spans="1:5" x14ac:dyDescent="0.3">
      <c r="A15">
        <f>ROW(FAKT_TRANSAKCJE[[#This Row],[ID_TRANSAKCJI]])-1</f>
        <v>14</v>
      </c>
      <c r="B15">
        <v>2</v>
      </c>
      <c r="C15">
        <v>1</v>
      </c>
    </row>
    <row r="16" spans="1:5" x14ac:dyDescent="0.3">
      <c r="A16">
        <f>ROW(FAKT_TRANSAKCJE[[#This Row],[ID_TRANSAKCJI]])-1</f>
        <v>15</v>
      </c>
      <c r="B16">
        <v>1</v>
      </c>
      <c r="C16">
        <v>3</v>
      </c>
    </row>
    <row r="17" spans="1:3" x14ac:dyDescent="0.3">
      <c r="A17">
        <f>ROW(FAKT_TRANSAKCJE[[#This Row],[ID_TRANSAKCJI]])-1</f>
        <v>16</v>
      </c>
      <c r="B17">
        <v>3</v>
      </c>
      <c r="C17">
        <v>3</v>
      </c>
    </row>
    <row r="18" spans="1:3" x14ac:dyDescent="0.3">
      <c r="A18">
        <f>ROW(FAKT_TRANSAKCJE[[#This Row],[ID_TRANSAKCJI]])-1</f>
        <v>17</v>
      </c>
      <c r="B18">
        <v>2</v>
      </c>
      <c r="C18">
        <v>2</v>
      </c>
    </row>
    <row r="19" spans="1:3" x14ac:dyDescent="0.3">
      <c r="A19">
        <f>ROW(FAKT_TRANSAKCJE[[#This Row],[ID_TRANSAKCJI]])-1</f>
        <v>18</v>
      </c>
      <c r="B19">
        <v>2</v>
      </c>
      <c r="C19">
        <v>2</v>
      </c>
    </row>
    <row r="20" spans="1:3" x14ac:dyDescent="0.3">
      <c r="A20">
        <f>ROW(FAKT_TRANSAKCJE[[#This Row],[ID_TRANSAKCJI]])-1</f>
        <v>19</v>
      </c>
      <c r="B20">
        <v>2</v>
      </c>
      <c r="C20">
        <v>1</v>
      </c>
    </row>
    <row r="21" spans="1:3" x14ac:dyDescent="0.3">
      <c r="A21">
        <f>ROW(FAKT_TRANSAKCJE[[#This Row],[ID_TRANSAKCJI]])-1</f>
        <v>20</v>
      </c>
      <c r="B21">
        <v>1</v>
      </c>
      <c r="C21">
        <v>3</v>
      </c>
    </row>
    <row r="22" spans="1:3" x14ac:dyDescent="0.3">
      <c r="A22">
        <f>ROW(FAKT_TRANSAKCJE[[#This Row],[ID_TRANSAKCJI]])-1</f>
        <v>21</v>
      </c>
      <c r="B22">
        <v>3</v>
      </c>
      <c r="C22">
        <v>3</v>
      </c>
    </row>
    <row r="23" spans="1:3" x14ac:dyDescent="0.3">
      <c r="A23">
        <f>ROW(FAKT_TRANSAKCJE[[#This Row],[ID_TRANSAKCJI]])-1</f>
        <v>22</v>
      </c>
      <c r="B23">
        <v>4</v>
      </c>
      <c r="C23">
        <v>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8"/>
  <sheetViews>
    <sheetView workbookViewId="0">
      <selection activeCell="A7" sqref="A7"/>
    </sheetView>
  </sheetViews>
  <sheetFormatPr defaultRowHeight="14.4" x14ac:dyDescent="0.3"/>
  <cols>
    <col min="2" max="2" width="19.109375" bestFit="1" customWidth="1"/>
    <col min="3" max="3" width="32.21875" bestFit="1" customWidth="1"/>
    <col min="4" max="4" width="17.44140625" bestFit="1" customWidth="1"/>
    <col min="5" max="5" width="19.88671875" bestFit="1" customWidth="1"/>
    <col min="6" max="6" width="19.44140625" bestFit="1" customWidth="1"/>
    <col min="7" max="7" width="18.44140625" bestFit="1" customWidth="1"/>
    <col min="8" max="8" width="21.5546875" bestFit="1" customWidth="1"/>
    <col min="9" max="9" width="21" bestFit="1" customWidth="1"/>
    <col min="11" max="12" width="16.88671875" bestFit="1" customWidth="1"/>
    <col min="13" max="13" width="14.44140625" bestFit="1" customWidth="1"/>
    <col min="14" max="14" width="7" bestFit="1" customWidth="1"/>
    <col min="15" max="15" width="11.33203125" bestFit="1" customWidth="1"/>
    <col min="16" max="16" width="15.109375" bestFit="1" customWidth="1"/>
    <col min="17" max="17" width="10.21875" bestFit="1" customWidth="1"/>
    <col min="18" max="18" width="16.88671875" bestFit="1" customWidth="1"/>
  </cols>
  <sheetData>
    <row r="2" spans="1:16" x14ac:dyDescent="0.3">
      <c r="C2" s="7" t="s">
        <v>107</v>
      </c>
    </row>
    <row r="5" spans="1:16" x14ac:dyDescent="0.3">
      <c r="A5" s="6" t="s">
        <v>91</v>
      </c>
      <c r="B5" s="6" t="s">
        <v>92</v>
      </c>
      <c r="C5" t="s">
        <v>28</v>
      </c>
      <c r="D5" t="s">
        <v>86</v>
      </c>
      <c r="E5" t="s">
        <v>30</v>
      </c>
      <c r="F5" t="s">
        <v>29</v>
      </c>
      <c r="G5" t="s">
        <v>31</v>
      </c>
    </row>
    <row r="6" spans="1:16" x14ac:dyDescent="0.3">
      <c r="A6" s="6">
        <f>ROW(WYM_DRINK[[#This Row],[ID_PRODUKT]])-5</f>
        <v>1</v>
      </c>
      <c r="B6" s="7" t="s">
        <v>7</v>
      </c>
      <c r="C6" s="12">
        <v>15</v>
      </c>
      <c r="D6" s="2">
        <f>SUMIF(WYM_PRZELICZNIK[ID_PRODUKT_MENU],WYM_DRINK[ID_PRODUKT],WYM_PRZELICZNIK[KOSZT_SKŁADNIKA])</f>
        <v>2.5</v>
      </c>
      <c r="E6" s="2">
        <f>WYM_DRINK[[#This Row],[CENA]]-WYM_DRINK[KOSZT_PRODUKCJI]</f>
        <v>12.5</v>
      </c>
      <c r="F6" s="5">
        <f>COUNTIF(FAKT_TRANSAKCJE[ID_PRODUKT],WYM_DRINK[[#This Row],[ID_PRODUKT]])</f>
        <v>4</v>
      </c>
      <c r="G6" s="2">
        <f>WYM_DRINK[[#This Row],[ILE_SPRZEDANO]]*WYM_DRINK[[#This Row],[ZYSK_NA_SZTUKĘ]]</f>
        <v>50</v>
      </c>
    </row>
    <row r="7" spans="1:16" x14ac:dyDescent="0.3">
      <c r="A7" s="6">
        <f>ROW(WYM_DRINK[[#This Row],[ID_PRODUKT]])-5</f>
        <v>2</v>
      </c>
      <c r="B7" s="7" t="s">
        <v>23</v>
      </c>
      <c r="C7" s="12">
        <v>25</v>
      </c>
      <c r="D7" s="2">
        <f>SUMIF(WYM_PRZELICZNIK[ID_PRODUKT_MENU],WYM_DRINK[ID_PRODUKT],WYM_PRZELICZNIK[KOSZT_SKŁADNIKA])</f>
        <v>5.8857142857142861</v>
      </c>
      <c r="E7" s="2">
        <f>WYM_DRINK[[#This Row],[CENA]]-WYM_DRINK[KOSZT_PRODUKCJI]</f>
        <v>19.114285714285714</v>
      </c>
      <c r="F7" s="5">
        <f>COUNTIF(FAKT_TRANSAKCJE[ID_PRODUKT],WYM_DRINK[[#This Row],[ID_PRODUKT]])</f>
        <v>12</v>
      </c>
      <c r="G7" s="2">
        <f>WYM_DRINK[[#This Row],[ILE_SPRZEDANO]]*WYM_DRINK[[#This Row],[ZYSK_NA_SZTUKĘ]]</f>
        <v>229.37142857142857</v>
      </c>
    </row>
    <row r="8" spans="1:16" x14ac:dyDescent="0.3">
      <c r="A8" s="6">
        <f>ROW(WYM_DRINK[[#This Row],[ID_PRODUKT]])-5</f>
        <v>3</v>
      </c>
      <c r="B8" s="7" t="s">
        <v>37</v>
      </c>
      <c r="C8" s="12">
        <v>35</v>
      </c>
      <c r="D8" s="2">
        <f>SUMIF(WYM_PRZELICZNIK[ID_PRODUKT_MENU],WYM_DRINK[ID_PRODUKT],WYM_PRZELICZNIK[KOSZT_SKŁADNIKA])</f>
        <v>9.4500000000000011</v>
      </c>
      <c r="E8" s="2">
        <f>WYM_DRINK[[#This Row],[CENA]]-WYM_DRINK[KOSZT_PRODUKCJI]</f>
        <v>25.549999999999997</v>
      </c>
      <c r="F8" s="5">
        <f>COUNTIF(FAKT_TRANSAKCJE[ID_PRODUKT],WYM_DRINK[[#This Row],[ID_PRODUKT]])</f>
        <v>4</v>
      </c>
      <c r="G8" s="2">
        <f>WYM_DRINK[[#This Row],[ILE_SPRZEDANO]]*WYM_DRINK[[#This Row],[ZYSK_NA_SZTUKĘ]]</f>
        <v>102.19999999999999</v>
      </c>
    </row>
    <row r="9" spans="1:16" x14ac:dyDescent="0.3">
      <c r="A9" s="6">
        <f>ROW(WYM_DRINK[[#This Row],[ID_PRODUKT]])-5</f>
        <v>4</v>
      </c>
      <c r="B9" s="7" t="s">
        <v>64</v>
      </c>
      <c r="C9" s="12">
        <v>10</v>
      </c>
      <c r="D9" s="2">
        <f>SUMIF(WYM_PRZELICZNIK[ID_PRODUKT_MENU],WYM_DRINK[ID_PRODUKT],WYM_PRZELICZNIK[KOSZT_SKŁADNIKA])</f>
        <v>6</v>
      </c>
      <c r="E9" s="2">
        <f>WYM_DRINK[[#This Row],[CENA]]-WYM_DRINK[KOSZT_PRODUKCJI]</f>
        <v>4</v>
      </c>
      <c r="F9" s="5">
        <f>COUNTIF(FAKT_TRANSAKCJE[ID_PRODUKT],WYM_DRINK[[#This Row],[ID_PRODUKT]])</f>
        <v>2</v>
      </c>
      <c r="G9" s="2">
        <f>WYM_DRINK[[#This Row],[ILE_SPRZEDANO]]*WYM_DRINK[[#This Row],[ZYSK_NA_SZTUKĘ]]</f>
        <v>8</v>
      </c>
    </row>
    <row r="10" spans="1:16" x14ac:dyDescent="0.3">
      <c r="A10" t="s">
        <v>44</v>
      </c>
      <c r="F10" s="6"/>
      <c r="G10" s="2">
        <f>SUBTOTAL(109,WYM_DRINK[ZYSK_SUMA])</f>
        <v>389.57142857142856</v>
      </c>
    </row>
    <row r="15" spans="1:16" x14ac:dyDescent="0.3">
      <c r="L15" s="2"/>
      <c r="M15" s="3"/>
      <c r="N15" s="3"/>
      <c r="O15" s="3"/>
      <c r="P15" s="3"/>
    </row>
    <row r="17" spans="8:9" x14ac:dyDescent="0.3">
      <c r="H17" t="s">
        <v>101</v>
      </c>
      <c r="I17" s="12" t="s">
        <v>51</v>
      </c>
    </row>
    <row r="18" spans="8:9" x14ac:dyDescent="0.3">
      <c r="H18" t="s">
        <v>99</v>
      </c>
      <c r="I18" s="2">
        <f>AVERAGE(WYM_DRINK[ZYSK_NA_SZTUKĘ])</f>
        <v>15.291071428571428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4"/>
  <sheetViews>
    <sheetView zoomScale="80" zoomScaleNormal="80" workbookViewId="0">
      <selection activeCell="A5" sqref="A5"/>
    </sheetView>
  </sheetViews>
  <sheetFormatPr defaultRowHeight="14.4" x14ac:dyDescent="0.3"/>
  <cols>
    <col min="1" max="1" width="21.6640625" customWidth="1"/>
    <col min="2" max="2" width="35.5546875" customWidth="1"/>
    <col min="3" max="3" width="34.44140625" bestFit="1" customWidth="1"/>
    <col min="4" max="4" width="22.44140625" bestFit="1" customWidth="1"/>
    <col min="5" max="5" width="19.5546875" bestFit="1" customWidth="1"/>
    <col min="6" max="6" width="43.5546875" bestFit="1" customWidth="1"/>
    <col min="7" max="7" width="21.109375" bestFit="1" customWidth="1"/>
    <col min="8" max="8" width="40.44140625" bestFit="1" customWidth="1"/>
  </cols>
  <sheetData>
    <row r="2" spans="1:7" x14ac:dyDescent="0.3">
      <c r="B2" s="7" t="s">
        <v>103</v>
      </c>
    </row>
    <row r="4" spans="1:7" x14ac:dyDescent="0.3">
      <c r="A4" t="s">
        <v>83</v>
      </c>
      <c r="B4" t="s">
        <v>81</v>
      </c>
      <c r="C4" t="s">
        <v>93</v>
      </c>
      <c r="D4" t="s">
        <v>82</v>
      </c>
      <c r="E4" t="s">
        <v>84</v>
      </c>
      <c r="F4" t="s">
        <v>85</v>
      </c>
      <c r="G4" t="s">
        <v>104</v>
      </c>
    </row>
    <row r="5" spans="1:7" x14ac:dyDescent="0.3">
      <c r="A5" s="7">
        <v>1</v>
      </c>
      <c r="B5" s="7">
        <v>2</v>
      </c>
      <c r="C5" s="7">
        <v>50</v>
      </c>
      <c r="D5" s="1">
        <f>VLOOKUP(WYM_PRZELICZNIK[[#This Row],[ID_SKLADNIK_STAN_MAGAZYNOWY]],WYM_POCZ_STAN_MAG[],4)*WYM_PRZELICZNIK[[#This Row],[ILOŚĆ_DO_PRODUKCJI]]/VLOOKUP(WYM_PRZELICZNIK[[#This Row],[ID_SKLADNIK_STAN_MAGAZYNOWY]],WYM_POCZ_STAN_MAG[],5)</f>
        <v>2.5</v>
      </c>
      <c r="E5">
        <f>COUNTIF(FAKT_TRANSAKCJE[ID_PRODUKT],WYM_PRZELICZNIK[[#This Row],[ID_PRODUKT_MENU]])</f>
        <v>4</v>
      </c>
      <c r="F5">
        <f>WYM_PRZELICZNIK[[#This Row],[WYSTĄPIENIA_SKŁADNIKA_W_TRANSAKCJACH]]*WYM_PRZELICZNIK[[#This Row],[ILOŚĆ_DO_PRODUKCJI]]</f>
        <v>200</v>
      </c>
      <c r="G5">
        <f t="array" ref="G5">SUM(IF(WYM_PRZELICZNIK[ID_SKLADNIK_STAN_MAGAZYNOWY]=WYM_PRZELICZNIK[[#This Row],[ID_SKLADNIK_STAN_MAGAZYNOWY]],WYM_PRZELICZNIK[ZUŻYCIE_SKŁADNIKA]))</f>
        <v>200</v>
      </c>
    </row>
    <row r="6" spans="1:7" x14ac:dyDescent="0.3">
      <c r="A6" s="7">
        <v>2</v>
      </c>
      <c r="B6" s="7">
        <v>1</v>
      </c>
      <c r="C6" s="7">
        <v>200</v>
      </c>
      <c r="D6" s="1">
        <f>VLOOKUP(WYM_PRZELICZNIK[[#This Row],[ID_SKLADNIK_STAN_MAGAZYNOWY]],WYM_POCZ_STAN_MAG[],4)*WYM_PRZELICZNIK[[#This Row],[ILOŚĆ_DO_PRODUKCJI]]/VLOOKUP(WYM_PRZELICZNIK[[#This Row],[ID_SKLADNIK_STAN_MAGAZYNOWY]],WYM_POCZ_STAN_MAG[],5)</f>
        <v>1.6</v>
      </c>
      <c r="E6" s="3">
        <f>COUNTIF(FAKT_TRANSAKCJE[ID_PRODUKT],WYM_PRZELICZNIK[[#This Row],[ID_PRODUKT_MENU]])</f>
        <v>12</v>
      </c>
      <c r="F6" s="3">
        <f>WYM_PRZELICZNIK[[#This Row],[WYSTĄPIENIA_SKŁADNIKA_W_TRANSAKCJACH]]*WYM_PRZELICZNIK[[#This Row],[ILOŚĆ_DO_PRODUKCJI]]</f>
        <v>2400</v>
      </c>
      <c r="G6">
        <f t="array" ref="G6">SUM(IF(WYM_PRZELICZNIK[ID_SKLADNIK_STAN_MAGAZYNOWY]=WYM_PRZELICZNIK[[#This Row],[ID_SKLADNIK_STAN_MAGAZYNOWY]],WYM_PRZELICZNIK[ZUŻYCIE_SKŁADNIKA]))</f>
        <v>2400</v>
      </c>
    </row>
    <row r="7" spans="1:7" x14ac:dyDescent="0.3">
      <c r="A7" s="7">
        <v>2</v>
      </c>
      <c r="B7" s="7">
        <v>3</v>
      </c>
      <c r="C7" s="7">
        <v>50</v>
      </c>
      <c r="D7" s="1">
        <f>VLOOKUP(WYM_PRZELICZNIK[[#This Row],[ID_SKLADNIK_STAN_MAGAZYNOWY]],WYM_POCZ_STAN_MAG[],4)*WYM_PRZELICZNIK[[#This Row],[ILOŚĆ_DO_PRODUKCJI]]/VLOOKUP(WYM_PRZELICZNIK[[#This Row],[ID_SKLADNIK_STAN_MAGAZYNOWY]],WYM_POCZ_STAN_MAG[],5)</f>
        <v>4.2857142857142856</v>
      </c>
      <c r="E7" s="3">
        <f>COUNTIF(FAKT_TRANSAKCJE[ID_PRODUKT],WYM_PRZELICZNIK[[#This Row],[ID_PRODUKT_MENU]])</f>
        <v>12</v>
      </c>
      <c r="F7" s="3">
        <f>WYM_PRZELICZNIK[[#This Row],[WYSTĄPIENIA_SKŁADNIKA_W_TRANSAKCJACH]]*WYM_PRZELICZNIK[[#This Row],[ILOŚĆ_DO_PRODUKCJI]]</f>
        <v>600</v>
      </c>
      <c r="G7">
        <f t="array" ref="G7">SUM(IF(WYM_PRZELICZNIK[ID_SKLADNIK_STAN_MAGAZYNOWY]=WYM_PRZELICZNIK[[#This Row],[ID_SKLADNIK_STAN_MAGAZYNOWY]],WYM_PRZELICZNIK[ZUŻYCIE_SKŁADNIKA]))</f>
        <v>880</v>
      </c>
    </row>
    <row r="8" spans="1:7" x14ac:dyDescent="0.3">
      <c r="A8" s="7">
        <v>3</v>
      </c>
      <c r="B8" s="7">
        <v>3</v>
      </c>
      <c r="C8" s="7">
        <v>70</v>
      </c>
      <c r="D8" s="8">
        <f>VLOOKUP(WYM_PRZELICZNIK[[#This Row],[ID_SKLADNIK_STAN_MAGAZYNOWY]],WYM_POCZ_STAN_MAG[],4)*WYM_PRZELICZNIK[[#This Row],[ILOŚĆ_DO_PRODUKCJI]]/VLOOKUP(WYM_PRZELICZNIK[[#This Row],[ID_SKLADNIK_STAN_MAGAZYNOWY]],WYM_POCZ_STAN_MAG[],5)</f>
        <v>6</v>
      </c>
      <c r="E8" s="3">
        <f>COUNTIF(FAKT_TRANSAKCJE[ID_PRODUKT],WYM_PRZELICZNIK[[#This Row],[ID_PRODUKT_MENU]])</f>
        <v>4</v>
      </c>
      <c r="F8" s="3">
        <f>WYM_PRZELICZNIK[[#This Row],[WYSTĄPIENIA_SKŁADNIKA_W_TRANSAKCJACH]]*WYM_PRZELICZNIK[[#This Row],[ILOŚĆ_DO_PRODUKCJI]]</f>
        <v>280</v>
      </c>
      <c r="G8" s="3">
        <f t="array" ref="G8">SUM(IF(WYM_PRZELICZNIK[ID_SKLADNIK_STAN_MAGAZYNOWY]=WYM_PRZELICZNIK[[#This Row],[ID_SKLADNIK_STAN_MAGAZYNOWY]],WYM_PRZELICZNIK[ZUŻYCIE_SKŁADNIKA]))</f>
        <v>880</v>
      </c>
    </row>
    <row r="9" spans="1:7" x14ac:dyDescent="0.3">
      <c r="A9" s="7">
        <v>3</v>
      </c>
      <c r="B9" s="7">
        <v>4</v>
      </c>
      <c r="C9" s="7">
        <v>2</v>
      </c>
      <c r="D9" s="8">
        <f>VLOOKUP(WYM_PRZELICZNIK[[#This Row],[ID_SKLADNIK_STAN_MAGAZYNOWY]],WYM_POCZ_STAN_MAG[],4)*WYM_PRZELICZNIK[[#This Row],[ILOŚĆ_DO_PRODUKCJI]]/VLOOKUP(WYM_PRZELICZNIK[[#This Row],[ID_SKLADNIK_STAN_MAGAZYNOWY]],WYM_POCZ_STAN_MAG[],5)</f>
        <v>1.5</v>
      </c>
      <c r="E9" s="3">
        <f>COUNTIF(FAKT_TRANSAKCJE[ID_PRODUKT],WYM_PRZELICZNIK[[#This Row],[ID_PRODUKT_MENU]])</f>
        <v>4</v>
      </c>
      <c r="F9" s="3">
        <f>WYM_PRZELICZNIK[[#This Row],[WYSTĄPIENIA_SKŁADNIKA_W_TRANSAKCJACH]]*WYM_PRZELICZNIK[[#This Row],[ILOŚĆ_DO_PRODUKCJI]]</f>
        <v>8</v>
      </c>
      <c r="G9" s="3">
        <f t="array" ref="G9">SUM(IF(WYM_PRZELICZNIK[ID_SKLADNIK_STAN_MAGAZYNOWY]=WYM_PRZELICZNIK[[#This Row],[ID_SKLADNIK_STAN_MAGAZYNOWY]],WYM_PRZELICZNIK[ZUŻYCIE_SKŁADNIKA]))</f>
        <v>8</v>
      </c>
    </row>
    <row r="10" spans="1:7" x14ac:dyDescent="0.3">
      <c r="A10" s="7">
        <v>3</v>
      </c>
      <c r="B10" s="7">
        <v>5</v>
      </c>
      <c r="C10" s="7">
        <v>2</v>
      </c>
      <c r="D10" s="8">
        <f>VLOOKUP(WYM_PRZELICZNIK[[#This Row],[ID_SKLADNIK_STAN_MAGAZYNOWY]],WYM_POCZ_STAN_MAG[],4)*WYM_PRZELICZNIK[[#This Row],[ILOŚĆ_DO_PRODUKCJI]]/VLOOKUP(WYM_PRZELICZNIK[[#This Row],[ID_SKLADNIK_STAN_MAGAZYNOWY]],WYM_POCZ_STAN_MAG[],5)</f>
        <v>0.5</v>
      </c>
      <c r="E10" s="3">
        <f>COUNTIF(FAKT_TRANSAKCJE[ID_PRODUKT],WYM_PRZELICZNIK[[#This Row],[ID_PRODUKT_MENU]])</f>
        <v>4</v>
      </c>
      <c r="F10" s="3">
        <f>WYM_PRZELICZNIK[[#This Row],[WYSTĄPIENIA_SKŁADNIKA_W_TRANSAKCJACH]]*WYM_PRZELICZNIK[[#This Row],[ILOŚĆ_DO_PRODUKCJI]]</f>
        <v>8</v>
      </c>
      <c r="G10" s="3">
        <f t="array" ref="G10">SUM(IF(WYM_PRZELICZNIK[ID_SKLADNIK_STAN_MAGAZYNOWY]=WYM_PRZELICZNIK[[#This Row],[ID_SKLADNIK_STAN_MAGAZYNOWY]],WYM_PRZELICZNIK[ZUŻYCIE_SKŁADNIKA]))</f>
        <v>8</v>
      </c>
    </row>
    <row r="11" spans="1:7" x14ac:dyDescent="0.3">
      <c r="A11" s="7">
        <v>3</v>
      </c>
      <c r="B11" s="7">
        <v>6</v>
      </c>
      <c r="C11" s="7">
        <v>1</v>
      </c>
      <c r="D11" s="8">
        <f>VLOOKUP(WYM_PRZELICZNIK[[#This Row],[ID_SKLADNIK_STAN_MAGAZYNOWY]],WYM_POCZ_STAN_MAG[],4)*WYM_PRZELICZNIK[[#This Row],[ILOŚĆ_DO_PRODUKCJI]]/VLOOKUP(WYM_PRZELICZNIK[[#This Row],[ID_SKLADNIK_STAN_MAGAZYNOWY]],WYM_POCZ_STAN_MAG[],5)</f>
        <v>0.8</v>
      </c>
      <c r="E11" s="3">
        <f>COUNTIF(FAKT_TRANSAKCJE[ID_PRODUKT],WYM_PRZELICZNIK[[#This Row],[ID_PRODUKT_MENU]])</f>
        <v>4</v>
      </c>
      <c r="F11" s="3">
        <f>WYM_PRZELICZNIK[[#This Row],[WYSTĄPIENIA_SKŁADNIKA_W_TRANSAKCJACH]]*WYM_PRZELICZNIK[[#This Row],[ILOŚĆ_DO_PRODUKCJI]]</f>
        <v>4</v>
      </c>
      <c r="G11" s="3">
        <f t="array" ref="G11">SUM(IF(WYM_PRZELICZNIK[ID_SKLADNIK_STAN_MAGAZYNOWY]=WYM_PRZELICZNIK[[#This Row],[ID_SKLADNIK_STAN_MAGAZYNOWY]],WYM_PRZELICZNIK[ZUŻYCIE_SKŁADNIKA]))</f>
        <v>4</v>
      </c>
    </row>
    <row r="12" spans="1:7" x14ac:dyDescent="0.3">
      <c r="A12" s="7">
        <v>3</v>
      </c>
      <c r="B12" s="7">
        <v>7</v>
      </c>
      <c r="C12" s="7">
        <v>100</v>
      </c>
      <c r="D12" s="8">
        <f>VLOOKUP(WYM_PRZELICZNIK[[#This Row],[ID_SKLADNIK_STAN_MAGAZYNOWY]],WYM_POCZ_STAN_MAG[],4)*WYM_PRZELICZNIK[[#This Row],[ILOŚĆ_DO_PRODUKCJI]]/VLOOKUP(WYM_PRZELICZNIK[[#This Row],[ID_SKLADNIK_STAN_MAGAZYNOWY]],WYM_POCZ_STAN_MAG[],5)</f>
        <v>0.15</v>
      </c>
      <c r="E12" s="3">
        <f>COUNTIF(FAKT_TRANSAKCJE[ID_PRODUKT],WYM_PRZELICZNIK[[#This Row],[ID_PRODUKT_MENU]])</f>
        <v>4</v>
      </c>
      <c r="F12" s="3">
        <f>WYM_PRZELICZNIK[[#This Row],[WYSTĄPIENIA_SKŁADNIKA_W_TRANSAKCJACH]]*WYM_PRZELICZNIK[[#This Row],[ILOŚĆ_DO_PRODUKCJI]]</f>
        <v>400</v>
      </c>
      <c r="G12" s="3">
        <f t="array" ref="G12">SUM(IF(WYM_PRZELICZNIK[ID_SKLADNIK_STAN_MAGAZYNOWY]=WYM_PRZELICZNIK[[#This Row],[ID_SKLADNIK_STAN_MAGAZYNOWY]],WYM_PRZELICZNIK[ZUŻYCIE_SKŁADNIKA]))</f>
        <v>400</v>
      </c>
    </row>
    <row r="13" spans="1:7" x14ac:dyDescent="0.3">
      <c r="A13" s="7">
        <v>3</v>
      </c>
      <c r="B13" s="7">
        <v>8</v>
      </c>
      <c r="C13" s="7">
        <v>1</v>
      </c>
      <c r="D13" s="8">
        <f>VLOOKUP(WYM_PRZELICZNIK[[#This Row],[ID_SKLADNIK_STAN_MAGAZYNOWY]],WYM_POCZ_STAN_MAG[],4)*WYM_PRZELICZNIK[[#This Row],[ILOŚĆ_DO_PRODUKCJI]]/VLOOKUP(WYM_PRZELICZNIK[[#This Row],[ID_SKLADNIK_STAN_MAGAZYNOWY]],WYM_POCZ_STAN_MAG[],5)</f>
        <v>0.5</v>
      </c>
      <c r="E13" s="3">
        <f>COUNTIF(FAKT_TRANSAKCJE[ID_PRODUKT],WYM_PRZELICZNIK[[#This Row],[ID_PRODUKT_MENU]])</f>
        <v>4</v>
      </c>
      <c r="F13" s="3">
        <f>WYM_PRZELICZNIK[[#This Row],[WYSTĄPIENIA_SKŁADNIKA_W_TRANSAKCJACH]]*WYM_PRZELICZNIK[[#This Row],[ILOŚĆ_DO_PRODUKCJI]]</f>
        <v>4</v>
      </c>
      <c r="G13" s="3">
        <f t="array" ref="G13">SUM(IF(WYM_PRZELICZNIK[ID_SKLADNIK_STAN_MAGAZYNOWY]=WYM_PRZELICZNIK[[#This Row],[ID_SKLADNIK_STAN_MAGAZYNOWY]],WYM_PRZELICZNIK[ZUŻYCIE_SKŁADNIKA]))</f>
        <v>4</v>
      </c>
    </row>
    <row r="14" spans="1:7" x14ac:dyDescent="0.3">
      <c r="A14" s="7">
        <v>4</v>
      </c>
      <c r="B14" s="7">
        <v>9</v>
      </c>
      <c r="C14" s="7">
        <v>500</v>
      </c>
      <c r="D14" s="8">
        <f>VLOOKUP(WYM_PRZELICZNIK[[#This Row],[ID_SKLADNIK_STAN_MAGAZYNOWY]],WYM_POCZ_STAN_MAG[],4)*WYM_PRZELICZNIK[[#This Row],[ILOŚĆ_DO_PRODUKCJI]]/VLOOKUP(WYM_PRZELICZNIK[[#This Row],[ID_SKLADNIK_STAN_MAGAZYNOWY]],WYM_POCZ_STAN_MAG[],5)</f>
        <v>6</v>
      </c>
      <c r="E14" s="3">
        <f>COUNTIF(FAKT_TRANSAKCJE[ID_PRODUKT],WYM_PRZELICZNIK[[#This Row],[ID_PRODUKT_MENU]])</f>
        <v>2</v>
      </c>
      <c r="F14" s="3">
        <f>WYM_PRZELICZNIK[[#This Row],[WYSTĄPIENIA_SKŁADNIKA_W_TRANSAKCJACH]]*WYM_PRZELICZNIK[[#This Row],[ILOŚĆ_DO_PRODUKCJI]]</f>
        <v>1000</v>
      </c>
      <c r="G14" s="3">
        <f t="array" ref="G14">SUM(IF(WYM_PRZELICZNIK[ID_SKLADNIK_STAN_MAGAZYNOWY]=WYM_PRZELICZNIK[[#This Row],[ID_SKLADNIK_STAN_MAGAZYNOWY]],WYM_PRZELICZNIK[ZUŻYCIE_SKŁADNIKA]))</f>
        <v>1000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4:I16"/>
  <sheetViews>
    <sheetView workbookViewId="0">
      <selection activeCell="G8" sqref="G8"/>
    </sheetView>
  </sheetViews>
  <sheetFormatPr defaultRowHeight="14.4" x14ac:dyDescent="0.3"/>
  <cols>
    <col min="6" max="6" width="11.109375" customWidth="1"/>
    <col min="7" max="7" width="13.44140625" bestFit="1" customWidth="1"/>
    <col min="8" max="8" width="14.21875" customWidth="1"/>
    <col min="9" max="9" width="14" bestFit="1" customWidth="1"/>
  </cols>
  <sheetData>
    <row r="4" spans="6:9" x14ac:dyDescent="0.3">
      <c r="F4" s="7" t="s">
        <v>108</v>
      </c>
    </row>
    <row r="7" spans="6:9" x14ac:dyDescent="0.3">
      <c r="F7" t="s">
        <v>14</v>
      </c>
      <c r="G7" t="s">
        <v>94</v>
      </c>
      <c r="H7" t="s">
        <v>105</v>
      </c>
      <c r="I7" t="s">
        <v>87</v>
      </c>
    </row>
    <row r="8" spans="6:9" x14ac:dyDescent="0.3">
      <c r="F8" s="6">
        <f>ROW(KOSZTY_STAŁE[[#This Row],[ID_KOSZT]])-7</f>
        <v>1</v>
      </c>
      <c r="G8" s="7" t="s">
        <v>15</v>
      </c>
      <c r="H8" s="12">
        <v>10000</v>
      </c>
      <c r="I8" s="4">
        <f>KOSZTY_STAŁE[[#This Row],[KOSZT_MIESIĄC]]/30</f>
        <v>333.33333333333331</v>
      </c>
    </row>
    <row r="9" spans="6:9" x14ac:dyDescent="0.3">
      <c r="F9" s="6">
        <f>ROW(KOSZTY_STAŁE[[#This Row],[ID_KOSZT]])-7</f>
        <v>2</v>
      </c>
      <c r="G9" s="7" t="s">
        <v>17</v>
      </c>
      <c r="H9" s="12">
        <v>1000</v>
      </c>
      <c r="I9" s="4">
        <f>KOSZTY_STAŁE[[#This Row],[KOSZT_MIESIĄC]]/30</f>
        <v>33.333333333333336</v>
      </c>
    </row>
    <row r="10" spans="6:9" x14ac:dyDescent="0.3">
      <c r="F10" s="6">
        <f>ROW(KOSZTY_STAŁE[[#This Row],[ID_KOSZT]])-7</f>
        <v>3</v>
      </c>
      <c r="G10" s="7" t="s">
        <v>18</v>
      </c>
      <c r="H10" s="12">
        <v>1000</v>
      </c>
      <c r="I10" s="4">
        <f>KOSZTY_STAŁE[[#This Row],[KOSZT_MIESIĄC]]/30</f>
        <v>33.333333333333336</v>
      </c>
    </row>
    <row r="11" spans="6:9" x14ac:dyDescent="0.3">
      <c r="F11" s="6">
        <f>ROW(KOSZTY_STAŁE[[#This Row],[ID_KOSZT]])-7</f>
        <v>4</v>
      </c>
      <c r="G11" s="7" t="s">
        <v>19</v>
      </c>
      <c r="H11" s="12">
        <v>200</v>
      </c>
      <c r="I11" s="4">
        <f>KOSZTY_STAŁE[[#This Row],[KOSZT_MIESIĄC]]/30</f>
        <v>6.666666666666667</v>
      </c>
    </row>
    <row r="12" spans="6:9" x14ac:dyDescent="0.3">
      <c r="F12" s="6">
        <f>ROW(KOSZTY_STAŁE[[#This Row],[ID_KOSZT]])-7</f>
        <v>5</v>
      </c>
      <c r="G12" s="7" t="s">
        <v>20</v>
      </c>
      <c r="H12" s="12">
        <v>500</v>
      </c>
      <c r="I12" s="4">
        <f>KOSZTY_STAŁE[[#This Row],[KOSZT_MIESIĄC]]/30</f>
        <v>16.666666666666668</v>
      </c>
    </row>
    <row r="13" spans="6:9" x14ac:dyDescent="0.3">
      <c r="F13" s="6">
        <f>ROW(KOSZTY_STAŁE[[#This Row],[ID_KOSZT]])-7</f>
        <v>6</v>
      </c>
      <c r="G13" s="7" t="s">
        <v>21</v>
      </c>
      <c r="H13" s="12">
        <v>500</v>
      </c>
      <c r="I13" s="4">
        <f>KOSZTY_STAŁE[[#This Row],[KOSZT_MIESIĄC]]/30</f>
        <v>16.666666666666668</v>
      </c>
    </row>
    <row r="14" spans="6:9" x14ac:dyDescent="0.3">
      <c r="F14" s="6">
        <f>ROW(KOSZTY_STAŁE[[#This Row],[ID_KOSZT]])-7</f>
        <v>7</v>
      </c>
      <c r="G14" s="7" t="s">
        <v>36</v>
      </c>
      <c r="H14" s="12">
        <v>800</v>
      </c>
      <c r="I14" s="4">
        <f>KOSZTY_STAŁE[[#This Row],[KOSZT_MIESIĄC]]/30</f>
        <v>26.666666666666668</v>
      </c>
    </row>
    <row r="15" spans="6:9" x14ac:dyDescent="0.3">
      <c r="F15" s="6">
        <f>ROW(KOSZTY_STAŁE[[#This Row],[ID_KOSZT]])-7</f>
        <v>8</v>
      </c>
      <c r="G15" s="7" t="s">
        <v>48</v>
      </c>
      <c r="H15" s="12">
        <v>10000</v>
      </c>
      <c r="I15" s="4">
        <f>KOSZTY_STAŁE[[#This Row],[KOSZT_MIESIĄC]]/30</f>
        <v>333.33333333333331</v>
      </c>
    </row>
    <row r="16" spans="6:9" x14ac:dyDescent="0.3">
      <c r="F16" t="s">
        <v>44</v>
      </c>
      <c r="H16" s="2">
        <f>SUBTOTAL(109,KOSZTY_STAŁE[KOSZT_MIESIĄC])</f>
        <v>24000</v>
      </c>
      <c r="I16" s="4">
        <f>SUBTOTAL(109,KOSZTY_STAŁE[KOSZT_DZIEŃ])</f>
        <v>800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16"/>
  <sheetViews>
    <sheetView zoomScale="70" zoomScaleNormal="70" workbookViewId="0">
      <selection activeCell="B9" sqref="B9"/>
    </sheetView>
  </sheetViews>
  <sheetFormatPr defaultRowHeight="14.4" x14ac:dyDescent="0.3"/>
  <cols>
    <col min="2" max="2" width="14.77734375" bestFit="1" customWidth="1"/>
    <col min="3" max="3" width="53.77734375" customWidth="1"/>
    <col min="4" max="4" width="20.77734375" bestFit="1" customWidth="1"/>
    <col min="5" max="5" width="29" bestFit="1" customWidth="1"/>
    <col min="6" max="6" width="20.109375" customWidth="1"/>
    <col min="7" max="7" width="32.6640625" bestFit="1" customWidth="1"/>
    <col min="8" max="8" width="32.6640625" customWidth="1"/>
    <col min="9" max="9" width="30.44140625" bestFit="1" customWidth="1"/>
    <col min="10" max="10" width="30.88671875" bestFit="1" customWidth="1"/>
    <col min="11" max="11" width="32.44140625" bestFit="1" customWidth="1"/>
    <col min="12" max="12" width="13.5546875" customWidth="1"/>
    <col min="13" max="13" width="31.109375" customWidth="1"/>
    <col min="14" max="14" width="19.77734375" bestFit="1" customWidth="1"/>
    <col min="15" max="15" width="11.44140625" customWidth="1"/>
  </cols>
  <sheetData>
    <row r="3" spans="1:13" ht="129.6" x14ac:dyDescent="0.3">
      <c r="B3" s="7"/>
      <c r="C3" s="15" t="s">
        <v>109</v>
      </c>
    </row>
    <row r="6" spans="1:13" x14ac:dyDescent="0.3">
      <c r="A6" t="s">
        <v>9</v>
      </c>
      <c r="B6" t="s">
        <v>6</v>
      </c>
      <c r="C6" t="s">
        <v>5</v>
      </c>
      <c r="D6" t="s">
        <v>4</v>
      </c>
      <c r="E6" t="s">
        <v>88</v>
      </c>
      <c r="F6" t="s">
        <v>27</v>
      </c>
      <c r="G6" t="s">
        <v>98</v>
      </c>
      <c r="H6" t="s">
        <v>35</v>
      </c>
      <c r="I6" t="s">
        <v>89</v>
      </c>
      <c r="J6" t="s">
        <v>90</v>
      </c>
      <c r="M6" s="2"/>
    </row>
    <row r="7" spans="1:13" x14ac:dyDescent="0.3">
      <c r="A7" s="7">
        <f>ROW(WYM_POCZ_STAN_MAG[[#This Row],[ID_SKLADNIK]])-6</f>
        <v>1</v>
      </c>
      <c r="B7" s="7" t="s">
        <v>1</v>
      </c>
      <c r="C7" s="7" t="s">
        <v>0</v>
      </c>
      <c r="D7" s="12">
        <v>8</v>
      </c>
      <c r="E7" s="13">
        <v>1000</v>
      </c>
      <c r="F7" s="7">
        <v>4</v>
      </c>
      <c r="G7" s="7">
        <v>3000</v>
      </c>
      <c r="H7" s="2">
        <f>WYM_POCZ_STAN_MAG[[#This Row],[KOSZT]]*WYM_POCZ_STAN_MAG[[#This Row],[SZTUK]]</f>
        <v>32</v>
      </c>
      <c r="I7">
        <f>WYM_POCZ_STAN_MAG[[#This Row],[POJEMNOŚĆ_W_ML_LUB_PORCJA]]*WYM_POCZ_STAN_MAG[[#This Row],[SZTUK]]</f>
        <v>4000</v>
      </c>
      <c r="J7" s="3">
        <f>WYM_POCZ_STAN_MAG[[#This Row],[STAN_MAGAZYNU_POCZĄTEK]]-VLOOKUP(WYM_POCZ_STAN_MAG[[#This Row],[ID_SKLADNIK]],WYM_PRZELICZNIK[[ID_SKLADNIK_STAN_MAGAZYNOWY]:[KOLUMNA_POMOCNICZA_SUMA_ZUŻYCIA]],6)</f>
        <v>1600</v>
      </c>
      <c r="M7" s="2"/>
    </row>
    <row r="8" spans="1:13" x14ac:dyDescent="0.3">
      <c r="A8" s="7">
        <f>ROW(WYM_POCZ_STAN_MAG[[#This Row],[ID_SKLADNIK]])-6</f>
        <v>2</v>
      </c>
      <c r="B8" s="7" t="s">
        <v>2</v>
      </c>
      <c r="C8" s="7" t="s">
        <v>3</v>
      </c>
      <c r="D8" s="12">
        <v>25</v>
      </c>
      <c r="E8" s="13">
        <v>500</v>
      </c>
      <c r="F8" s="7">
        <v>6</v>
      </c>
      <c r="G8" s="7">
        <v>2000</v>
      </c>
      <c r="H8" s="2">
        <f>WYM_POCZ_STAN_MAG[[#This Row],[KOSZT]]*WYM_POCZ_STAN_MAG[[#This Row],[SZTUK]]</f>
        <v>150</v>
      </c>
      <c r="I8">
        <f>WYM_POCZ_STAN_MAG[[#This Row],[POJEMNOŚĆ_W_ML_LUB_PORCJA]]*WYM_POCZ_STAN_MAG[[#This Row],[SZTUK]]</f>
        <v>3000</v>
      </c>
      <c r="J8" s="3">
        <f>WYM_POCZ_STAN_MAG[[#This Row],[STAN_MAGAZYNU_POCZĄTEK]]-VLOOKUP(WYM_POCZ_STAN_MAG[[#This Row],[ID_SKLADNIK]],WYM_PRZELICZNIK[[ID_SKLADNIK_STAN_MAGAZYNOWY]:[KOLUMNA_POMOCNICZA_SUMA_ZUŻYCIA]],6)</f>
        <v>600</v>
      </c>
    </row>
    <row r="9" spans="1:13" x14ac:dyDescent="0.3">
      <c r="A9" s="7">
        <f>ROW(WYM_POCZ_STAN_MAG[[#This Row],[ID_SKLADNIK]])-6</f>
        <v>3</v>
      </c>
      <c r="B9" s="7" t="s">
        <v>2</v>
      </c>
      <c r="C9" s="7" t="s">
        <v>22</v>
      </c>
      <c r="D9" s="12">
        <v>60</v>
      </c>
      <c r="E9" s="13">
        <v>700</v>
      </c>
      <c r="F9" s="7">
        <v>2</v>
      </c>
      <c r="G9" s="7">
        <v>1000</v>
      </c>
      <c r="H9" s="2">
        <f>WYM_POCZ_STAN_MAG[[#This Row],[KOSZT]]*WYM_POCZ_STAN_MAG[[#This Row],[SZTUK]]</f>
        <v>120</v>
      </c>
      <c r="I9">
        <f>WYM_POCZ_STAN_MAG[[#This Row],[POJEMNOŚĆ_W_ML_LUB_PORCJA]]*WYM_POCZ_STAN_MAG[[#This Row],[SZTUK]]</f>
        <v>1400</v>
      </c>
      <c r="J9" s="3">
        <f>WYM_POCZ_STAN_MAG[[#This Row],[STAN_MAGAZYNU_POCZĄTEK]]-VLOOKUP(WYM_POCZ_STAN_MAG[[#This Row],[ID_SKLADNIK]],WYM_PRZELICZNIK[[ID_SKLADNIK_STAN_MAGAZYNOWY]:[KOLUMNA_POMOCNICZA_SUMA_ZUŻYCIA]],6)</f>
        <v>520</v>
      </c>
    </row>
    <row r="10" spans="1:13" x14ac:dyDescent="0.3">
      <c r="A10" s="7">
        <f>ROW(WYM_POCZ_STAN_MAG[[#This Row],[ID_SKLADNIK]])-6</f>
        <v>4</v>
      </c>
      <c r="B10" s="7" t="s">
        <v>38</v>
      </c>
      <c r="C10" s="7" t="s">
        <v>39</v>
      </c>
      <c r="D10" s="12">
        <v>3</v>
      </c>
      <c r="E10" s="13">
        <v>4</v>
      </c>
      <c r="F10" s="7">
        <v>4</v>
      </c>
      <c r="G10" s="7">
        <v>4</v>
      </c>
      <c r="H10" s="2">
        <f>WYM_POCZ_STAN_MAG[[#This Row],[KOSZT]]*WYM_POCZ_STAN_MAG[[#This Row],[SZTUK]]</f>
        <v>12</v>
      </c>
      <c r="I10">
        <f>WYM_POCZ_STAN_MAG[[#This Row],[POJEMNOŚĆ_W_ML_LUB_PORCJA]]*WYM_POCZ_STAN_MAG[[#This Row],[SZTUK]]</f>
        <v>16</v>
      </c>
      <c r="J10" s="3">
        <f>WYM_POCZ_STAN_MAG[[#This Row],[STAN_MAGAZYNU_POCZĄTEK]]-VLOOKUP(WYM_POCZ_STAN_MAG[[#This Row],[ID_SKLADNIK]],WYM_PRZELICZNIK[[ID_SKLADNIK_STAN_MAGAZYNOWY]:[KOLUMNA_POMOCNICZA_SUMA_ZUŻYCIA]],6)</f>
        <v>8</v>
      </c>
    </row>
    <row r="11" spans="1:13" x14ac:dyDescent="0.3">
      <c r="A11" s="7">
        <f>ROW(WYM_POCZ_STAN_MAG[[#This Row],[ID_SKLADNIK]])-6</f>
        <v>5</v>
      </c>
      <c r="B11" s="7" t="s">
        <v>38</v>
      </c>
      <c r="C11" s="7" t="s">
        <v>40</v>
      </c>
      <c r="D11" s="12">
        <v>10</v>
      </c>
      <c r="E11" s="13">
        <v>40</v>
      </c>
      <c r="F11" s="7">
        <v>1</v>
      </c>
      <c r="G11" s="7">
        <v>20</v>
      </c>
      <c r="H11" s="2">
        <f>WYM_POCZ_STAN_MAG[[#This Row],[KOSZT]]*WYM_POCZ_STAN_MAG[[#This Row],[SZTUK]]</f>
        <v>10</v>
      </c>
      <c r="I11" s="3">
        <f>WYM_POCZ_STAN_MAG[[#This Row],[POJEMNOŚĆ_W_ML_LUB_PORCJA]]*WYM_POCZ_STAN_MAG[[#This Row],[SZTUK]]</f>
        <v>40</v>
      </c>
      <c r="J11" s="3">
        <f>WYM_POCZ_STAN_MAG[[#This Row],[STAN_MAGAZYNU_POCZĄTEK]]-VLOOKUP(WYM_POCZ_STAN_MAG[[#This Row],[ID_SKLADNIK]],WYM_PRZELICZNIK[[ID_SKLADNIK_STAN_MAGAZYNOWY]:[KOLUMNA_POMOCNICZA_SUMA_ZUŻYCIA]],6)</f>
        <v>32</v>
      </c>
    </row>
    <row r="12" spans="1:13" x14ac:dyDescent="0.3">
      <c r="A12" s="7">
        <f>ROW(WYM_POCZ_STAN_MAG[[#This Row],[ID_SKLADNIK]])-6</f>
        <v>6</v>
      </c>
      <c r="B12" s="7" t="s">
        <v>38</v>
      </c>
      <c r="C12" s="7" t="s">
        <v>41</v>
      </c>
      <c r="D12" s="12">
        <v>8</v>
      </c>
      <c r="E12" s="13">
        <v>10</v>
      </c>
      <c r="F12" s="7">
        <v>1</v>
      </c>
      <c r="G12" s="7">
        <v>8</v>
      </c>
      <c r="H12" s="2">
        <f>WYM_POCZ_STAN_MAG[[#This Row],[KOSZT]]*WYM_POCZ_STAN_MAG[[#This Row],[SZTUK]]</f>
        <v>8</v>
      </c>
      <c r="I12" s="3">
        <f>WYM_POCZ_STAN_MAG[[#This Row],[POJEMNOŚĆ_W_ML_LUB_PORCJA]]*WYM_POCZ_STAN_MAG[[#This Row],[SZTUK]]</f>
        <v>10</v>
      </c>
      <c r="J12" s="3">
        <f>WYM_POCZ_STAN_MAG[[#This Row],[STAN_MAGAZYNU_POCZĄTEK]]-VLOOKUP(WYM_POCZ_STAN_MAG[[#This Row],[ID_SKLADNIK]],WYM_PRZELICZNIK[[ID_SKLADNIK_STAN_MAGAZYNOWY]:[KOLUMNA_POMOCNICZA_SUMA_ZUŻYCIA]],6)</f>
        <v>6</v>
      </c>
    </row>
    <row r="13" spans="1:13" x14ac:dyDescent="0.3">
      <c r="A13" s="7">
        <f>ROW(WYM_POCZ_STAN_MAG[[#This Row],[ID_SKLADNIK]])-6</f>
        <v>7</v>
      </c>
      <c r="B13" s="7" t="s">
        <v>1</v>
      </c>
      <c r="C13" s="7" t="s">
        <v>42</v>
      </c>
      <c r="D13" s="12">
        <v>3</v>
      </c>
      <c r="E13" s="13">
        <v>2000</v>
      </c>
      <c r="F13" s="7">
        <v>1</v>
      </c>
      <c r="G13" s="7">
        <v>2000</v>
      </c>
      <c r="H13" s="2">
        <f>WYM_POCZ_STAN_MAG[[#This Row],[KOSZT]]*WYM_POCZ_STAN_MAG[[#This Row],[SZTUK]]</f>
        <v>3</v>
      </c>
      <c r="I13" s="3">
        <f>WYM_POCZ_STAN_MAG[[#This Row],[POJEMNOŚĆ_W_ML_LUB_PORCJA]]*WYM_POCZ_STAN_MAG[[#This Row],[SZTUK]]</f>
        <v>2000</v>
      </c>
      <c r="J13" s="3">
        <f>WYM_POCZ_STAN_MAG[[#This Row],[STAN_MAGAZYNU_POCZĄTEK]]-VLOOKUP(WYM_POCZ_STAN_MAG[[#This Row],[ID_SKLADNIK]],WYM_PRZELICZNIK[[ID_SKLADNIK_STAN_MAGAZYNOWY]:[KOLUMNA_POMOCNICZA_SUMA_ZUŻYCIA]],6)</f>
        <v>1600</v>
      </c>
    </row>
    <row r="14" spans="1:13" x14ac:dyDescent="0.3">
      <c r="A14" s="7">
        <f>ROW(WYM_POCZ_STAN_MAG[[#This Row],[ID_SKLADNIK]])-6</f>
        <v>8</v>
      </c>
      <c r="B14" s="7" t="s">
        <v>38</v>
      </c>
      <c r="C14" s="7" t="s">
        <v>43</v>
      </c>
      <c r="D14" s="12">
        <v>10</v>
      </c>
      <c r="E14" s="13">
        <v>20</v>
      </c>
      <c r="F14" s="7">
        <v>2</v>
      </c>
      <c r="G14" s="7">
        <v>20</v>
      </c>
      <c r="H14" s="2">
        <f>WYM_POCZ_STAN_MAG[[#This Row],[KOSZT]]*WYM_POCZ_STAN_MAG[[#This Row],[SZTUK]]</f>
        <v>20</v>
      </c>
      <c r="I14" s="3">
        <f>WYM_POCZ_STAN_MAG[[#This Row],[POJEMNOŚĆ_W_ML_LUB_PORCJA]]*WYM_POCZ_STAN_MAG[[#This Row],[SZTUK]]</f>
        <v>40</v>
      </c>
      <c r="J14" s="3">
        <f>WYM_POCZ_STAN_MAG[[#This Row],[STAN_MAGAZYNU_POCZĄTEK]]-VLOOKUP(WYM_POCZ_STAN_MAG[[#This Row],[ID_SKLADNIK]],WYM_PRZELICZNIK[[ID_SKLADNIK_STAN_MAGAZYNOWY]:[KOLUMNA_POMOCNICZA_SUMA_ZUŻYCIA]],6)</f>
        <v>36</v>
      </c>
    </row>
    <row r="15" spans="1:13" x14ac:dyDescent="0.3">
      <c r="A15" s="7">
        <f>ROW(WYM_POCZ_STAN_MAG[[#This Row],[ID_SKLADNIK]])-6</f>
        <v>9</v>
      </c>
      <c r="B15" s="7" t="s">
        <v>62</v>
      </c>
      <c r="C15" s="7" t="s">
        <v>63</v>
      </c>
      <c r="D15" s="12">
        <v>6</v>
      </c>
      <c r="E15" s="13">
        <v>500</v>
      </c>
      <c r="F15" s="7">
        <v>2</v>
      </c>
      <c r="G15" s="7">
        <v>1000</v>
      </c>
      <c r="H15" s="2">
        <f>WYM_POCZ_STAN_MAG[[#This Row],[KOSZT]]*WYM_POCZ_STAN_MAG[[#This Row],[SZTUK]]</f>
        <v>12</v>
      </c>
      <c r="I15" s="3">
        <f>WYM_POCZ_STAN_MAG[[#This Row],[POJEMNOŚĆ_W_ML_LUB_PORCJA]]*WYM_POCZ_STAN_MAG[[#This Row],[SZTUK]]</f>
        <v>1000</v>
      </c>
      <c r="J15" s="3">
        <f>WYM_POCZ_STAN_MAG[[#This Row],[STAN_MAGAZYNU_POCZĄTEK]]-VLOOKUP(WYM_POCZ_STAN_MAG[[#This Row],[ID_SKLADNIK]],WYM_PRZELICZNIK[[ID_SKLADNIK_STAN_MAGAZYNOWY]:[KOLUMNA_POMOCNICZA_SUMA_ZUŻYCIA]],6)</f>
        <v>0</v>
      </c>
    </row>
    <row r="16" spans="1:13" x14ac:dyDescent="0.3">
      <c r="A16" t="s">
        <v>44</v>
      </c>
      <c r="H16" s="2">
        <f>SUBTOTAL(109,WYM_POCZ_STAN_MAG[KOSZT_WSZYSTKICH_SZTUK])</f>
        <v>367</v>
      </c>
    </row>
  </sheetData>
  <conditionalFormatting sqref="J7:J15">
    <cfRule type="cellIs" dxfId="28" priority="2" operator="lessThan">
      <formula>$G7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K9"/>
  <sheetViews>
    <sheetView workbookViewId="0">
      <selection activeCell="E5" sqref="E5"/>
    </sheetView>
  </sheetViews>
  <sheetFormatPr defaultRowHeight="14.4" x14ac:dyDescent="0.3"/>
  <cols>
    <col min="5" max="5" width="14.6640625" customWidth="1"/>
    <col min="7" max="7" width="16.77734375" bestFit="1" customWidth="1"/>
    <col min="8" max="8" width="15.44140625" bestFit="1" customWidth="1"/>
    <col min="9" max="9" width="13.33203125" bestFit="1" customWidth="1"/>
    <col min="10" max="10" width="18.77734375" bestFit="1" customWidth="1"/>
    <col min="11" max="11" width="17.109375" bestFit="1" customWidth="1"/>
  </cols>
  <sheetData>
    <row r="2" spans="5:11" x14ac:dyDescent="0.3">
      <c r="E2" s="7" t="s">
        <v>110</v>
      </c>
    </row>
    <row r="5" spans="5:11" x14ac:dyDescent="0.3">
      <c r="E5" t="s">
        <v>54</v>
      </c>
      <c r="F5" t="s">
        <v>10</v>
      </c>
      <c r="G5" t="s">
        <v>11</v>
      </c>
      <c r="H5" t="s">
        <v>16</v>
      </c>
      <c r="I5" t="s">
        <v>26</v>
      </c>
      <c r="J5" t="s">
        <v>55</v>
      </c>
      <c r="K5" t="s">
        <v>97</v>
      </c>
    </row>
    <row r="6" spans="5:11" x14ac:dyDescent="0.3">
      <c r="E6" s="7">
        <f>ROW(PRACOWNICY[[#This Row],[ID_PRACOWNIK]])-5</f>
        <v>1</v>
      </c>
      <c r="F6" s="7" t="s">
        <v>12</v>
      </c>
      <c r="G6" s="7" t="s">
        <v>13</v>
      </c>
      <c r="H6" s="12">
        <v>15</v>
      </c>
      <c r="I6" s="7">
        <v>6</v>
      </c>
      <c r="J6" s="2">
        <f>PRACOWNICY[[#This Row],[ILE_GODZIN]]*PRACOWNICY[[#This Row],[GODZINÓWKA]]</f>
        <v>90</v>
      </c>
      <c r="K6">
        <f>COUNTIF(FAKT_TRANSAKCJE[ID_PRACOWNIK],PRACOWNICY[ID_PRACOWNIK])</f>
        <v>4</v>
      </c>
    </row>
    <row r="7" spans="5:11" x14ac:dyDescent="0.3">
      <c r="E7" s="7">
        <f>ROW(PRACOWNICY[[#This Row],[ID_PRACOWNIK]])-5</f>
        <v>2</v>
      </c>
      <c r="F7" s="7" t="s">
        <v>24</v>
      </c>
      <c r="G7" s="7" t="s">
        <v>25</v>
      </c>
      <c r="H7" s="12">
        <v>10</v>
      </c>
      <c r="I7" s="7">
        <v>3</v>
      </c>
      <c r="J7" s="2">
        <f>PRACOWNICY[[#This Row],[ILE_GODZIN]]*PRACOWNICY[[#This Row],[GODZINÓWKA]]</f>
        <v>30</v>
      </c>
      <c r="K7">
        <f>COUNTIF(FAKT_TRANSAKCJE[ID_PRACOWNIK],PRACOWNICY[ID_PRACOWNIK])</f>
        <v>8</v>
      </c>
    </row>
    <row r="8" spans="5:11" x14ac:dyDescent="0.3">
      <c r="E8" s="7">
        <f>ROW(PRACOWNICY[[#This Row],[ID_PRACOWNIK]])-5</f>
        <v>3</v>
      </c>
      <c r="F8" s="7" t="s">
        <v>79</v>
      </c>
      <c r="G8" s="7" t="s">
        <v>80</v>
      </c>
      <c r="H8" s="12">
        <v>20</v>
      </c>
      <c r="I8" s="7">
        <v>2</v>
      </c>
      <c r="J8" s="2">
        <f>PRACOWNICY[[#This Row],[ILE_GODZIN]]*PRACOWNICY[[#This Row],[GODZINÓWKA]]</f>
        <v>40</v>
      </c>
      <c r="K8">
        <f>COUNTIF(FAKT_TRANSAKCJE[ID_PRACOWNIK],PRACOWNICY[ID_PRACOWNIK])</f>
        <v>10</v>
      </c>
    </row>
    <row r="9" spans="5:11" x14ac:dyDescent="0.3">
      <c r="E9" t="s">
        <v>44</v>
      </c>
      <c r="J9" s="2">
        <f>SUBTOTAL(109,PRACOWNICY[KOSZT_PRACOWNIK])</f>
        <v>160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2:H9"/>
  <sheetViews>
    <sheetView workbookViewId="0">
      <selection activeCell="G2" sqref="G2"/>
    </sheetView>
  </sheetViews>
  <sheetFormatPr defaultRowHeight="14.4" x14ac:dyDescent="0.3"/>
  <cols>
    <col min="7" max="7" width="17.21875" customWidth="1"/>
    <col min="8" max="8" width="9.33203125" customWidth="1"/>
  </cols>
  <sheetData>
    <row r="2" spans="7:8" x14ac:dyDescent="0.3">
      <c r="G2" t="s">
        <v>106</v>
      </c>
    </row>
    <row r="7" spans="7:8" x14ac:dyDescent="0.3">
      <c r="G7" t="s">
        <v>32</v>
      </c>
      <c r="H7" t="s">
        <v>33</v>
      </c>
    </row>
    <row r="8" spans="7:8" x14ac:dyDescent="0.3">
      <c r="G8" t="s">
        <v>34</v>
      </c>
      <c r="H8" s="2">
        <v>100</v>
      </c>
    </row>
    <row r="9" spans="7:8" x14ac:dyDescent="0.3">
      <c r="G9" t="s">
        <v>44</v>
      </c>
      <c r="H9" s="2">
        <f>SUBTOTAL(109,KOSZT_NIEOCZEKIWANY[KWOTA])</f>
        <v>100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2:H11"/>
  <sheetViews>
    <sheetView topLeftCell="B1" workbookViewId="0">
      <selection activeCell="H11" sqref="H11"/>
    </sheetView>
  </sheetViews>
  <sheetFormatPr defaultRowHeight="14.4" x14ac:dyDescent="0.3"/>
  <cols>
    <col min="6" max="6" width="10.33203125" bestFit="1" customWidth="1"/>
    <col min="7" max="7" width="51.6640625" bestFit="1" customWidth="1"/>
    <col min="8" max="9" width="55.77734375" bestFit="1" customWidth="1"/>
  </cols>
  <sheetData>
    <row r="2" spans="7:8" x14ac:dyDescent="0.3">
      <c r="G2" t="s">
        <v>95</v>
      </c>
    </row>
    <row r="5" spans="7:8" x14ac:dyDescent="0.3">
      <c r="G5" t="s">
        <v>51</v>
      </c>
      <c r="H5" t="s">
        <v>52</v>
      </c>
    </row>
    <row r="6" spans="7:8" x14ac:dyDescent="0.3">
      <c r="G6" t="s">
        <v>59</v>
      </c>
      <c r="H6" s="9">
        <f>SUM(WYM_DRINK[ZYSK_SUMA])</f>
        <v>389.57142857142856</v>
      </c>
    </row>
    <row r="7" spans="7:8" x14ac:dyDescent="0.3">
      <c r="G7" t="s">
        <v>53</v>
      </c>
      <c r="H7" s="10">
        <f>SUM(KOSZTY_STAŁE[KOSZT_DZIEŃ])+SUM(PRACOWNICY[KOSZT_PRACOWNIK])+SUM(KOSZT_NIEOCZEKIWANY[KWOTA])</f>
        <v>1060</v>
      </c>
    </row>
    <row r="8" spans="7:8" x14ac:dyDescent="0.3">
      <c r="G8" s="6" t="s">
        <v>45</v>
      </c>
      <c r="H8" s="6">
        <f>COUNT(FAKT_TRANSAKCJE[ID_TRANSAKCJI])</f>
        <v>22</v>
      </c>
    </row>
    <row r="9" spans="7:8" x14ac:dyDescent="0.3">
      <c r="G9" t="s">
        <v>65</v>
      </c>
      <c r="H9" t="str">
        <f>INDEX(WYM_DRINK[],MATCH(MAX(WYM_DRINK[ILE_SPRZEDANO]),WYM_DRINK[ILE_SPRZEDANO],0),2)</f>
        <v>RUM Z KOLĄ</v>
      </c>
    </row>
    <row r="10" spans="7:8" x14ac:dyDescent="0.3">
      <c r="G10" t="s">
        <v>96</v>
      </c>
      <c r="H10" t="str">
        <f>INDEX(PRACOWNICY[],MATCH(MAX(PRACOWNICY[ILE_TRANSAKCJI]),PRACOWNICY[ILE_TRANSAKCJI],0),2) &amp; " " &amp; INDEX(PRACOWNICY[],MATCH(MAX(PRACOWNICY[ILE_TRANSAKCJI]),PRACOWNICY[ILE_TRANSAKCJI],0),3)</f>
        <v>RADEK ŚWIADEK-SOBCZAK</v>
      </c>
    </row>
    <row r="11" spans="7:8" x14ac:dyDescent="0.3">
      <c r="G11" t="s">
        <v>100</v>
      </c>
      <c r="H11" s="14">
        <f>H7/Tabela5[Dane]</f>
        <v>69.321499474483247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_rels/item2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3.xml"/></Relationships>
</file>

<file path=customXml/_rels/item2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4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��ZZ
</file>

<file path=customXml/item7.xml>��
</file>

<file path=customXml/item8.xml>��
</file>

<file path=customXml/item9.xml>��
</file>

<file path=customXml/item10.xml>��
</file>

<file path=customXml/item11.xml>��ZZ
</file>

<file path=customXml/item12.xml>��
</file>

<file path=customXml/item13.xml>��B[BB[B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��[BB[BZBZ
</file>

<file path=customXml/item20.xml>��
</file>

<file path=customXml/item21.xml>��[B[B
</file>

<file path=customXml/item22.xml>��
</file>

<file path=customXml/item23.xml>��BB
</file>

<file path=customXml/item24.xml>��B[BB[B[[B[[[B[[[[[[[[B[[[B[[[[[[ZZ[B[[BZZZZ[B[[BZZZZDDDDDD
</file>

<file path=customXml/itemProps1.xml><?xml version="1.0" encoding="utf-8"?>
<ds:datastoreItem xmlns:ds="http://schemas.openxmlformats.org/officeDocument/2006/customXml" ds:itemID="{C9B7F8FA-734D-47E4-9A1A-FF2777D005F7}">
  <ds:schemaRefs/>
</ds:datastoreItem>
</file>

<file path=customXml/itemProps2.xml><?xml version="1.0" encoding="utf-8"?>
<ds:datastoreItem xmlns:ds="http://schemas.openxmlformats.org/officeDocument/2006/customXml" ds:itemID="{1D758274-8705-44C5-838D-803CB1DE1A0B}">
  <ds:schemaRefs/>
</ds:datastoreItem>
</file>

<file path=customXml/itemProps3.xml><?xml version="1.0" encoding="utf-8"?>
<ds:datastoreItem xmlns:ds="http://schemas.openxmlformats.org/officeDocument/2006/customXml" ds:itemID="{36B24BD4-E882-4818-9598-F90E1962A7BF}">
  <ds:schemaRefs/>
</ds:datastoreItem>
</file>

<file path=customXml/itemProps4.xml><?xml version="1.0" encoding="utf-8"?>
<ds:datastoreItem xmlns:ds="http://schemas.openxmlformats.org/officeDocument/2006/customXml" ds:itemID="{B4338702-B6D1-48E8-9956-4F0BB4A89943}">
  <ds:schemaRefs/>
</ds:datastoreItem>
</file>

<file path=customXml/itemProps5.xml><?xml version="1.0" encoding="utf-8"?>
<ds:datastoreItem xmlns:ds="http://schemas.openxmlformats.org/officeDocument/2006/customXml" ds:itemID="{71F69C9E-7A14-459B-B11C-B1FB10662C65}">
  <ds:schemaRefs/>
</ds:datastoreItem>
</file>

<file path=customXml/itemProps6.xml><?xml version="1.0" encoding="utf-8"?>
<ds:datastoreItem xmlns:ds="http://schemas.openxmlformats.org/officeDocument/2006/customXml" ds:itemID="{719D927C-D419-4C7C-9C57-6D7404546031}">
  <ds:schemaRefs/>
</ds:datastoreItem>
</file>

<file path=customXml/itemProps7.xml><?xml version="1.0" encoding="utf-8"?>
<ds:datastoreItem xmlns:ds="http://schemas.openxmlformats.org/officeDocument/2006/customXml" ds:itemID="{C898F525-A14D-4530-823A-F1260BA6E40B}">
  <ds:schemaRefs/>
</ds:datastoreItem>
</file>

<file path=customXml/itemProps8.xml><?xml version="1.0" encoding="utf-8"?>
<ds:datastoreItem xmlns:ds="http://schemas.openxmlformats.org/officeDocument/2006/customXml" ds:itemID="{9B86812A-5190-4AAC-96C2-65FB5244777E}">
  <ds:schemaRefs/>
</ds:datastoreItem>
</file>

<file path=customXml/itemProps9.xml><?xml version="1.0" encoding="utf-8"?>
<ds:datastoreItem xmlns:ds="http://schemas.openxmlformats.org/officeDocument/2006/customXml" ds:itemID="{D10B5D43-D7E2-41A2-845E-F5ADF2B6B013}">
  <ds:schemaRefs/>
</ds:datastoreItem>
</file>

<file path=customXml/itemProps10.xml><?xml version="1.0" encoding="utf-8"?>
<ds:datastoreItem xmlns:ds="http://schemas.openxmlformats.org/officeDocument/2006/customXml" ds:itemID="{212F5BC7-5071-4BD7-AA5F-4FA31143CABE}">
  <ds:schemaRefs>
    <ds:schemaRef ds:uri="http://schemas.microsoft.com/DataMashup"/>
  </ds:schemaRefs>
</ds:datastoreItem>
</file>

<file path=customXml/itemProps11.xml><?xml version="1.0" encoding="utf-8"?>
<ds:datastoreItem xmlns:ds="http://schemas.openxmlformats.org/officeDocument/2006/customXml" ds:itemID="{5BD82E0B-4849-4258-AFA4-6B54410468D3}">
  <ds:schemaRefs/>
</ds:datastoreItem>
</file>

<file path=customXml/itemProps12.xml><?xml version="1.0" encoding="utf-8"?>
<ds:datastoreItem xmlns:ds="http://schemas.openxmlformats.org/officeDocument/2006/customXml" ds:itemID="{FF69B954-5419-4CE6-80CB-FA286D472039}">
  <ds:schemaRefs/>
</ds:datastoreItem>
</file>

<file path=customXml/itemProps13.xml><?xml version="1.0" encoding="utf-8"?>
<ds:datastoreItem xmlns:ds="http://schemas.openxmlformats.org/officeDocument/2006/customXml" ds:itemID="{A32D6004-C529-4201-8BA1-4BA89CC57391}">
  <ds:schemaRefs/>
</ds:datastoreItem>
</file>

<file path=customXml/itemProps14.xml><?xml version="1.0" encoding="utf-8"?>
<ds:datastoreItem xmlns:ds="http://schemas.openxmlformats.org/officeDocument/2006/customXml" ds:itemID="{1AB713A0-2218-4E7B-9CE2-C18B085E1914}">
  <ds:schemaRefs/>
</ds:datastoreItem>
</file>

<file path=customXml/itemProps15.xml><?xml version="1.0" encoding="utf-8"?>
<ds:datastoreItem xmlns:ds="http://schemas.openxmlformats.org/officeDocument/2006/customXml" ds:itemID="{F65EF630-0B90-4AE0-AA3E-35444127765B}">
  <ds:schemaRefs/>
</ds:datastoreItem>
</file>

<file path=customXml/itemProps16.xml><?xml version="1.0" encoding="utf-8"?>
<ds:datastoreItem xmlns:ds="http://schemas.openxmlformats.org/officeDocument/2006/customXml" ds:itemID="{22D60BD4-6D1B-4C73-8DC9-3CBD58D4EB60}">
  <ds:schemaRefs/>
</ds:datastoreItem>
</file>

<file path=customXml/itemProps17.xml><?xml version="1.0" encoding="utf-8"?>
<ds:datastoreItem xmlns:ds="http://schemas.openxmlformats.org/officeDocument/2006/customXml" ds:itemID="{FE6D0ACE-7926-496F-B8B6-7C5386CF8F7D}">
  <ds:schemaRefs/>
</ds:datastoreItem>
</file>

<file path=customXml/itemProps18.xml><?xml version="1.0" encoding="utf-8"?>
<ds:datastoreItem xmlns:ds="http://schemas.openxmlformats.org/officeDocument/2006/customXml" ds:itemID="{C092008F-C795-4120-B48E-4A74C29DDC80}">
  <ds:schemaRefs/>
</ds:datastoreItem>
</file>

<file path=customXml/itemProps19.xml><?xml version="1.0" encoding="utf-8"?>
<ds:datastoreItem xmlns:ds="http://schemas.openxmlformats.org/officeDocument/2006/customXml" ds:itemID="{093742E8-C35D-4ADC-AF68-E935A68CA96D}">
  <ds:schemaRefs/>
</ds:datastoreItem>
</file>

<file path=customXml/itemProps20.xml><?xml version="1.0" encoding="utf-8"?>
<ds:datastoreItem xmlns:ds="http://schemas.openxmlformats.org/officeDocument/2006/customXml" ds:itemID="{FC2B13CA-E4D9-4377-A489-8ADEBE3FC667}">
  <ds:schemaRefs/>
</ds:datastoreItem>
</file>

<file path=customXml/itemProps21.xml><?xml version="1.0" encoding="utf-8"?>
<ds:datastoreItem xmlns:ds="http://schemas.openxmlformats.org/officeDocument/2006/customXml" ds:itemID="{B7C9F733-976A-42AC-ADB5-1EBAE7B954E8}">
  <ds:schemaRefs/>
</ds:datastoreItem>
</file>

<file path=customXml/itemProps22.xml><?xml version="1.0" encoding="utf-8"?>
<ds:datastoreItem xmlns:ds="http://schemas.openxmlformats.org/officeDocument/2006/customXml" ds:itemID="{07957C99-2520-41DE-B548-72259D846111}">
  <ds:schemaRefs/>
</ds:datastoreItem>
</file>

<file path=customXml/itemProps23.xml><?xml version="1.0" encoding="utf-8"?>
<ds:datastoreItem xmlns:ds="http://schemas.openxmlformats.org/officeDocument/2006/customXml" ds:itemID="{B6B6B2DC-B55C-4A5C-A53A-63ED3198C623}">
  <ds:schemaRefs/>
</ds:datastoreItem>
</file>

<file path=customXml/itemProps24.xml><?xml version="1.0" encoding="utf-8"?>
<ds:datastoreItem xmlns:ds="http://schemas.openxmlformats.org/officeDocument/2006/customXml" ds:itemID="{9049706A-8E2A-4A8B-A439-261212D22A46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9</vt:i4>
      </vt:variant>
    </vt:vector>
  </HeadingPairs>
  <TitlesOfParts>
    <vt:vector size="9" baseType="lpstr">
      <vt:lpstr>INSTRUKCJA</vt:lpstr>
      <vt:lpstr>TRANSAKCJE</vt:lpstr>
      <vt:lpstr>MENU</vt:lpstr>
      <vt:lpstr>PRZEPISY</vt:lpstr>
      <vt:lpstr>KOSZTY STAŁE</vt:lpstr>
      <vt:lpstr>STAN MAGAZYNOWY</vt:lpstr>
      <vt:lpstr>PRACOWNICY</vt:lpstr>
      <vt:lpstr>KOSZTY NIEOCZEKIWANE</vt:lpstr>
      <vt:lpstr>SYTUACJA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Użytkownik systemu Windows</dc:creator>
  <cp:lastModifiedBy>Użytkownik systemu Windows</cp:lastModifiedBy>
  <dcterms:created xsi:type="dcterms:W3CDTF">2022-09-23T23:24:02Z</dcterms:created>
  <dcterms:modified xsi:type="dcterms:W3CDTF">2022-09-25T18:39:59Z</dcterms:modified>
</cp:coreProperties>
</file>