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0_Weiterbildung\Studium\MBA\kostenrechnung\"/>
    </mc:Choice>
  </mc:AlternateContent>
  <bookViews>
    <workbookView xWindow="0" yWindow="0" windowWidth="28800" windowHeight="12585"/>
  </bookViews>
  <sheets>
    <sheet name="Tabelle1" sheetId="1" r:id="rId1"/>
  </sheets>
  <definedNames>
    <definedName name="_xlnm._FilterDatabase" localSheetId="0" hidden="1">Tabelle1!$A$1:$J$9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6" i="1" l="1"/>
  <c r="J475" i="1"/>
  <c r="I475" i="1"/>
  <c r="J472" i="1"/>
  <c r="H472" i="1"/>
  <c r="I474" i="1"/>
  <c r="H474" i="1"/>
  <c r="H477" i="1" s="1"/>
  <c r="H473" i="1"/>
  <c r="G479" i="1"/>
  <c r="H476" i="1"/>
  <c r="H475" i="1"/>
  <c r="G474" i="1"/>
  <c r="G477" i="1"/>
  <c r="F466" i="1"/>
  <c r="G467" i="1"/>
  <c r="G468" i="1"/>
  <c r="F475" i="1"/>
  <c r="G475" i="1"/>
  <c r="F476" i="1"/>
  <c r="G476" i="1"/>
  <c r="F477" i="1"/>
  <c r="F478" i="1"/>
  <c r="F479" i="1"/>
  <c r="F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C464" i="1"/>
  <c r="C469" i="1"/>
  <c r="B469" i="1"/>
  <c r="C468" i="1"/>
  <c r="C472" i="1" s="1"/>
  <c r="C475" i="1" s="1"/>
  <c r="B468" i="1"/>
  <c r="B471" i="1" s="1"/>
  <c r="J443" i="1"/>
  <c r="J444" i="1" s="1"/>
  <c r="J447" i="1" s="1"/>
  <c r="J448" i="1" s="1"/>
  <c r="J450" i="1" s="1"/>
  <c r="J456" i="1" s="1"/>
  <c r="J434" i="1"/>
  <c r="F440" i="1"/>
  <c r="F441" i="1" s="1"/>
  <c r="H440" i="1" s="1"/>
  <c r="F432" i="1"/>
  <c r="A439" i="1"/>
  <c r="F473" i="1" s="1"/>
  <c r="B427" i="1"/>
  <c r="G463" i="1" s="1"/>
  <c r="C427" i="1"/>
  <c r="H463" i="1" s="1"/>
  <c r="A428" i="1"/>
  <c r="F464" i="1" s="1"/>
  <c r="B428" i="1"/>
  <c r="C428" i="1"/>
  <c r="A429" i="1"/>
  <c r="F465" i="1" s="1"/>
  <c r="B429" i="1"/>
  <c r="G465" i="1" s="1"/>
  <c r="C429" i="1"/>
  <c r="H465" i="1" s="1"/>
  <c r="A433" i="1"/>
  <c r="F467" i="1" s="1"/>
  <c r="B433" i="1"/>
  <c r="C433" i="1"/>
  <c r="A434" i="1"/>
  <c r="F468" i="1" s="1"/>
  <c r="B434" i="1"/>
  <c r="C434" i="1"/>
  <c r="A435" i="1"/>
  <c r="F469" i="1" s="1"/>
  <c r="A436" i="1"/>
  <c r="F470" i="1" s="1"/>
  <c r="A437" i="1"/>
  <c r="F471" i="1" s="1"/>
  <c r="B437" i="1"/>
  <c r="G471" i="1" s="1"/>
  <c r="C437" i="1"/>
  <c r="A438" i="1"/>
  <c r="F472" i="1" s="1"/>
  <c r="A441" i="1"/>
  <c r="F474" i="1" s="1"/>
  <c r="J474" i="1" l="1"/>
  <c r="J476" i="1" s="1"/>
  <c r="J473" i="1"/>
  <c r="G478" i="1"/>
  <c r="G480" i="1"/>
  <c r="C473" i="1"/>
  <c r="B472" i="1"/>
  <c r="K443" i="1"/>
  <c r="F444" i="1"/>
  <c r="F445" i="1" s="1"/>
  <c r="F447" i="1" s="1"/>
  <c r="F453" i="1" s="1"/>
  <c r="C471" i="1"/>
  <c r="C432" i="1"/>
  <c r="H466" i="1" s="1"/>
  <c r="B432" i="1"/>
  <c r="G466" i="1" s="1"/>
  <c r="C288" i="1"/>
  <c r="G357" i="1" s="1"/>
  <c r="C287" i="1"/>
  <c r="G356" i="1" s="1"/>
  <c r="E402" i="1"/>
  <c r="C290" i="1"/>
  <c r="G359" i="1" s="1"/>
  <c r="E394" i="1"/>
  <c r="F394" i="1"/>
  <c r="E397" i="1"/>
  <c r="D374" i="1"/>
  <c r="D317" i="1"/>
  <c r="C317" i="1"/>
  <c r="G372" i="1"/>
  <c r="G376" i="1"/>
  <c r="G369" i="1"/>
  <c r="E401" i="1" s="1"/>
  <c r="G370" i="1"/>
  <c r="E399" i="1" s="1"/>
  <c r="G371" i="1"/>
  <c r="G368" i="1"/>
  <c r="B400" i="1" s="1"/>
  <c r="G366" i="1"/>
  <c r="G365" i="1"/>
  <c r="B397" i="1" s="1"/>
  <c r="G367" i="1"/>
  <c r="D367" i="1" s="1"/>
  <c r="D373" i="1" s="1"/>
  <c r="B415" i="1"/>
  <c r="B414" i="1"/>
  <c r="C415" i="1"/>
  <c r="C414" i="1"/>
  <c r="C334" i="1"/>
  <c r="C436" i="1" s="1"/>
  <c r="B333" i="1"/>
  <c r="B435" i="1" s="1"/>
  <c r="G469" i="1" s="1"/>
  <c r="C333" i="1"/>
  <c r="C435" i="1" s="1"/>
  <c r="B334" i="1"/>
  <c r="B436" i="1" s="1"/>
  <c r="G470" i="1" s="1"/>
  <c r="G486" i="1" l="1"/>
  <c r="B473" i="1"/>
  <c r="B474" i="1" s="1"/>
  <c r="B475" i="1"/>
  <c r="E400" i="1"/>
  <c r="G394" i="1"/>
  <c r="B404" i="1"/>
  <c r="D378" i="1"/>
  <c r="D379" i="1" s="1"/>
  <c r="G379" i="1" s="1"/>
  <c r="G373" i="1"/>
  <c r="D375" i="1"/>
  <c r="F356" i="1"/>
  <c r="F358" i="1"/>
  <c r="F359" i="1"/>
  <c r="D320" i="1"/>
  <c r="D322" i="1" s="1"/>
  <c r="D319" i="1"/>
  <c r="D321" i="1" s="1"/>
  <c r="C320" i="1"/>
  <c r="C322" i="1" s="1"/>
  <c r="C319" i="1"/>
  <c r="C321" i="1" s="1"/>
  <c r="H347" i="1"/>
  <c r="G347" i="1"/>
  <c r="B298" i="1"/>
  <c r="G340" i="1" s="1"/>
  <c r="G342" i="1" s="1"/>
  <c r="G328" i="1"/>
  <c r="G279" i="1"/>
  <c r="G282" i="1" s="1"/>
  <c r="C341" i="1"/>
  <c r="D381" i="1" l="1"/>
  <c r="D380" i="1"/>
  <c r="D382" i="1"/>
  <c r="D383" i="1"/>
  <c r="G393" i="1" s="1"/>
  <c r="C340" i="1"/>
  <c r="C336" i="1"/>
  <c r="C337" i="1"/>
  <c r="B340" i="1"/>
  <c r="B337" i="1"/>
  <c r="B439" i="1" s="1"/>
  <c r="B336" i="1"/>
  <c r="B438" i="1" s="1"/>
  <c r="D334" i="1"/>
  <c r="B341" i="1"/>
  <c r="D333" i="1"/>
  <c r="H350" i="1"/>
  <c r="G350" i="1"/>
  <c r="I350" i="1" s="1"/>
  <c r="I347" i="1"/>
  <c r="G304" i="1"/>
  <c r="G305" i="1"/>
  <c r="G316" i="1"/>
  <c r="H270" i="1"/>
  <c r="H269" i="1"/>
  <c r="G270" i="1"/>
  <c r="G269" i="1"/>
  <c r="H279" i="1"/>
  <c r="H281" i="1" s="1"/>
  <c r="G281" i="1"/>
  <c r="B440" i="1" l="1"/>
  <c r="B441" i="1" s="1"/>
  <c r="B444" i="1" s="1"/>
  <c r="G472" i="1"/>
  <c r="G473" i="1"/>
  <c r="C338" i="1"/>
  <c r="C441" i="1" s="1"/>
  <c r="C439" i="1"/>
  <c r="C342" i="1"/>
  <c r="H348" i="1"/>
  <c r="H349" i="1" s="1"/>
  <c r="C438" i="1"/>
  <c r="B342" i="1"/>
  <c r="C416" i="1"/>
  <c r="C418" i="1" s="1"/>
  <c r="B416" i="1"/>
  <c r="B418" i="1" s="1"/>
  <c r="D384" i="1"/>
  <c r="G384" i="1" s="1"/>
  <c r="E403" i="1" s="1"/>
  <c r="D335" i="1"/>
  <c r="G348" i="1"/>
  <c r="G330" i="1"/>
  <c r="G331" i="1" s="1"/>
  <c r="G343" i="1" s="1"/>
  <c r="B338" i="1"/>
  <c r="I271" i="1"/>
  <c r="G293" i="1"/>
  <c r="H293" i="1"/>
  <c r="G280" i="1"/>
  <c r="H292" i="1"/>
  <c r="G292" i="1"/>
  <c r="B285" i="1"/>
  <c r="H282" i="1"/>
  <c r="G283" i="1"/>
  <c r="H280" i="1"/>
  <c r="H283" i="1"/>
  <c r="G310" i="1"/>
  <c r="G307" i="1"/>
  <c r="G308" i="1"/>
  <c r="G309" i="1"/>
  <c r="C306" i="1"/>
  <c r="D306" i="1"/>
  <c r="E306" i="1"/>
  <c r="F306" i="1"/>
  <c r="B306" i="1"/>
  <c r="C444" i="1" l="1"/>
  <c r="D440" i="1"/>
  <c r="B445" i="1"/>
  <c r="B345" i="1"/>
  <c r="B343" i="1"/>
  <c r="B344" i="1" s="1"/>
  <c r="C345" i="1"/>
  <c r="C343" i="1"/>
  <c r="B391" i="1"/>
  <c r="B392" i="1" s="1"/>
  <c r="B406" i="1" s="1"/>
  <c r="B419" i="1"/>
  <c r="B420" i="1" s="1"/>
  <c r="E391" i="1"/>
  <c r="E393" i="1"/>
  <c r="F393" i="1"/>
  <c r="C419" i="1"/>
  <c r="C420" i="1" s="1"/>
  <c r="F391" i="1"/>
  <c r="F392" i="1" s="1"/>
  <c r="F395" i="1" s="1"/>
  <c r="I348" i="1"/>
  <c r="G349" i="1"/>
  <c r="C344" i="1"/>
  <c r="F313" i="1"/>
  <c r="F317" i="1" s="1"/>
  <c r="H294" i="1"/>
  <c r="G294" i="1"/>
  <c r="B287" i="1"/>
  <c r="B288" i="1" s="1"/>
  <c r="B300" i="1" s="1"/>
  <c r="B407" i="1" s="1"/>
  <c r="E313" i="1"/>
  <c r="G306" i="1"/>
  <c r="C289" i="1" s="1"/>
  <c r="G358" i="1" s="1"/>
  <c r="B311" i="1"/>
  <c r="G254" i="1"/>
  <c r="F254" i="1"/>
  <c r="G253" i="1"/>
  <c r="F253" i="1"/>
  <c r="F252" i="1"/>
  <c r="G252" i="1"/>
  <c r="G251" i="1"/>
  <c r="F251" i="1"/>
  <c r="G250" i="1"/>
  <c r="F250" i="1"/>
  <c r="G249" i="1"/>
  <c r="F249" i="1"/>
  <c r="G246" i="1"/>
  <c r="G248" i="1" s="1"/>
  <c r="F246" i="1"/>
  <c r="F248" i="1" s="1"/>
  <c r="C246" i="1"/>
  <c r="C248" i="1" s="1"/>
  <c r="B246" i="1"/>
  <c r="B248" i="1" s="1"/>
  <c r="C407" i="1" l="1"/>
  <c r="B447" i="1"/>
  <c r="E392" i="1"/>
  <c r="G391" i="1"/>
  <c r="I349" i="1"/>
  <c r="B280" i="1"/>
  <c r="G301" i="1"/>
  <c r="G295" i="1"/>
  <c r="G296" i="1" s="1"/>
  <c r="G272" i="1"/>
  <c r="H295" i="1"/>
  <c r="H296" i="1" s="1"/>
  <c r="H272" i="1"/>
  <c r="H274" i="1" s="1"/>
  <c r="G313" i="1"/>
  <c r="E317" i="1"/>
  <c r="F255" i="1"/>
  <c r="B252" i="1" s="1"/>
  <c r="G255" i="1"/>
  <c r="C252" i="1" s="1"/>
  <c r="F311" i="1"/>
  <c r="F312" i="1" s="1"/>
  <c r="E311" i="1"/>
  <c r="E312" i="1" s="1"/>
  <c r="D311" i="1"/>
  <c r="D312" i="1" s="1"/>
  <c r="C311" i="1"/>
  <c r="B249" i="1"/>
  <c r="I233" i="1"/>
  <c r="H233" i="1"/>
  <c r="H234" i="1" s="1"/>
  <c r="G233" i="1"/>
  <c r="G234" i="1" s="1"/>
  <c r="B236" i="1"/>
  <c r="C236" i="1"/>
  <c r="D236" i="1"/>
  <c r="C232" i="1"/>
  <c r="C233" i="1" s="1"/>
  <c r="D232" i="1"/>
  <c r="D233" i="1" s="1"/>
  <c r="B232" i="1"/>
  <c r="B233" i="1" s="1"/>
  <c r="G219" i="1"/>
  <c r="G218" i="1"/>
  <c r="G222" i="1" s="1"/>
  <c r="B218" i="1"/>
  <c r="B220" i="1" s="1"/>
  <c r="B221" i="1" s="1"/>
  <c r="C217" i="1"/>
  <c r="B217" i="1"/>
  <c r="B222" i="1" s="1"/>
  <c r="C219" i="1"/>
  <c r="C218" i="1"/>
  <c r="G200" i="1"/>
  <c r="K200" i="1" s="1"/>
  <c r="L202" i="1"/>
  <c r="L204" i="1" s="1"/>
  <c r="L198" i="1"/>
  <c r="L199" i="1"/>
  <c r="J193" i="1"/>
  <c r="K193" i="1"/>
  <c r="J194" i="1"/>
  <c r="K194" i="1"/>
  <c r="J195" i="1"/>
  <c r="J196" i="1"/>
  <c r="J197" i="1"/>
  <c r="K197" i="1"/>
  <c r="J198" i="1"/>
  <c r="K198" i="1"/>
  <c r="J199" i="1"/>
  <c r="K199" i="1"/>
  <c r="J200" i="1"/>
  <c r="J201" i="1"/>
  <c r="J202" i="1"/>
  <c r="J204" i="1"/>
  <c r="J206" i="1"/>
  <c r="H200" i="1"/>
  <c r="H202" i="1" s="1"/>
  <c r="H204" i="1" s="1"/>
  <c r="H195" i="1"/>
  <c r="L195" i="1" s="1"/>
  <c r="G195" i="1"/>
  <c r="K195" i="1" s="1"/>
  <c r="C200" i="1"/>
  <c r="B201" i="1"/>
  <c r="B200" i="1"/>
  <c r="H181" i="1"/>
  <c r="H179" i="1"/>
  <c r="I178" i="1"/>
  <c r="I179" i="1"/>
  <c r="I181" i="1"/>
  <c r="B178" i="1"/>
  <c r="G178" i="1" s="1"/>
  <c r="C178" i="1"/>
  <c r="H178" i="1" s="1"/>
  <c r="B179" i="1"/>
  <c r="B180" i="1" s="1"/>
  <c r="C179" i="1"/>
  <c r="H180" i="1" s="1"/>
  <c r="B183" i="1"/>
  <c r="B186" i="1" s="1"/>
  <c r="B187" i="1" s="1"/>
  <c r="C183" i="1"/>
  <c r="C186" i="1" s="1"/>
  <c r="C187" i="1" s="1"/>
  <c r="D183" i="1"/>
  <c r="D186" i="1" s="1"/>
  <c r="D187" i="1" s="1"/>
  <c r="G184" i="1"/>
  <c r="H184" i="1"/>
  <c r="I184" i="1"/>
  <c r="F178" i="1"/>
  <c r="F180" i="1"/>
  <c r="F182" i="1"/>
  <c r="F183" i="1"/>
  <c r="F184" i="1"/>
  <c r="F186" i="1"/>
  <c r="D179" i="1"/>
  <c r="I180" i="1" s="1"/>
  <c r="D178" i="1"/>
  <c r="B453" i="1" l="1"/>
  <c r="E395" i="1"/>
  <c r="G392" i="1"/>
  <c r="D314" i="1"/>
  <c r="D323" i="1"/>
  <c r="D318" i="1"/>
  <c r="E314" i="1"/>
  <c r="G285" i="1" s="1"/>
  <c r="G354" i="1"/>
  <c r="F314" i="1"/>
  <c r="G286" i="1" s="1"/>
  <c r="H351" i="1"/>
  <c r="H352" i="1" s="1"/>
  <c r="G351" i="1"/>
  <c r="D180" i="1"/>
  <c r="D181" i="1" s="1"/>
  <c r="D184" i="1" s="1"/>
  <c r="D185" i="1" s="1"/>
  <c r="I272" i="1"/>
  <c r="G274" i="1"/>
  <c r="I274" i="1" s="1"/>
  <c r="C285" i="1" s="1"/>
  <c r="G297" i="1"/>
  <c r="G300" i="1" s="1"/>
  <c r="F256" i="1"/>
  <c r="B253" i="1" s="1"/>
  <c r="F318" i="1"/>
  <c r="E318" i="1"/>
  <c r="G317" i="1"/>
  <c r="L200" i="1"/>
  <c r="K201" i="1" s="1"/>
  <c r="K203" i="1" s="1"/>
  <c r="D237" i="1"/>
  <c r="C237" i="1"/>
  <c r="G311" i="1"/>
  <c r="C312" i="1"/>
  <c r="I182" i="1"/>
  <c r="I183" i="1" s="1"/>
  <c r="I188" i="1"/>
  <c r="I187" i="1" s="1"/>
  <c r="I230" i="1"/>
  <c r="I234" i="1" s="1"/>
  <c r="G235" i="1" s="1"/>
  <c r="G237" i="1" s="1"/>
  <c r="G186" i="1"/>
  <c r="G187" i="1" s="1"/>
  <c r="B237" i="1"/>
  <c r="G220" i="1"/>
  <c r="G221" i="1" s="1"/>
  <c r="C222" i="1"/>
  <c r="H182" i="1"/>
  <c r="H183" i="1" s="1"/>
  <c r="H187" i="1"/>
  <c r="H188" i="1" s="1"/>
  <c r="I186" i="1"/>
  <c r="H186" i="1"/>
  <c r="C220" i="1"/>
  <c r="C221" i="1" s="1"/>
  <c r="K196" i="1"/>
  <c r="G201" i="1"/>
  <c r="G203" i="1" s="1"/>
  <c r="G207" i="1" s="1"/>
  <c r="G196" i="1"/>
  <c r="G202" i="1"/>
  <c r="G182" i="1"/>
  <c r="B181" i="1"/>
  <c r="G180" i="1"/>
  <c r="C180" i="1"/>
  <c r="C164" i="1"/>
  <c r="H159" i="1"/>
  <c r="B153" i="1" s="1"/>
  <c r="H132" i="1"/>
  <c r="C143" i="1"/>
  <c r="G159" i="1"/>
  <c r="B152" i="1" s="1"/>
  <c r="C137" i="1"/>
  <c r="C132" i="1"/>
  <c r="C127" i="1"/>
  <c r="G132" i="1"/>
  <c r="I131" i="1"/>
  <c r="I130" i="1"/>
  <c r="B134" i="1"/>
  <c r="B147" i="1"/>
  <c r="G107" i="1"/>
  <c r="G104" i="1"/>
  <c r="D113" i="1"/>
  <c r="I109" i="1"/>
  <c r="B104" i="1"/>
  <c r="B110" i="1"/>
  <c r="D119" i="1"/>
  <c r="D118" i="1"/>
  <c r="C120" i="1"/>
  <c r="B120" i="1"/>
  <c r="C68" i="1"/>
  <c r="D68" i="1"/>
  <c r="E68" i="1"/>
  <c r="B68" i="1"/>
  <c r="E78" i="1"/>
  <c r="D78" i="1"/>
  <c r="C78" i="1"/>
  <c r="B78" i="1"/>
  <c r="F77" i="1"/>
  <c r="F75" i="1"/>
  <c r="F74" i="1"/>
  <c r="F73" i="1"/>
  <c r="H88" i="1"/>
  <c r="G88" i="1"/>
  <c r="E97" i="1"/>
  <c r="D97" i="1"/>
  <c r="C88" i="1"/>
  <c r="B88" i="1"/>
  <c r="H66" i="1"/>
  <c r="H65" i="1"/>
  <c r="F66" i="1"/>
  <c r="F67" i="1"/>
  <c r="F65" i="1"/>
  <c r="F57" i="1"/>
  <c r="D57" i="1"/>
  <c r="H285" i="1" l="1"/>
  <c r="E396" i="1"/>
  <c r="E398" i="1" s="1"/>
  <c r="E404" i="1" s="1"/>
  <c r="G395" i="1"/>
  <c r="H286" i="1"/>
  <c r="H287" i="1" s="1"/>
  <c r="I351" i="1"/>
  <c r="G352" i="1"/>
  <c r="I352" i="1" s="1"/>
  <c r="G353" i="1" s="1"/>
  <c r="G355" i="1" s="1"/>
  <c r="C318" i="1"/>
  <c r="G318" i="1" s="1"/>
  <c r="C286" i="1" s="1"/>
  <c r="C300" i="1" s="1"/>
  <c r="B301" i="1" s="1"/>
  <c r="C323" i="1"/>
  <c r="G323" i="1" s="1"/>
  <c r="G360" i="1" s="1"/>
  <c r="G287" i="1"/>
  <c r="G312" i="1"/>
  <c r="C314" i="1"/>
  <c r="G314" i="1" s="1"/>
  <c r="B164" i="1"/>
  <c r="B165" i="1" s="1"/>
  <c r="K205" i="1"/>
  <c r="K209" i="1" s="1"/>
  <c r="K207" i="1"/>
  <c r="G205" i="1"/>
  <c r="G209" i="1" s="1"/>
  <c r="K202" i="1"/>
  <c r="G204" i="1"/>
  <c r="G206" i="1"/>
  <c r="K206" i="1" s="1"/>
  <c r="B184" i="1"/>
  <c r="B185" i="1" s="1"/>
  <c r="G183" i="1"/>
  <c r="C181" i="1"/>
  <c r="I132" i="1"/>
  <c r="G140" i="1" s="1"/>
  <c r="G142" i="1" s="1"/>
  <c r="G143" i="1" s="1"/>
  <c r="I139" i="1"/>
  <c r="G161" i="1" s="1"/>
  <c r="G109" i="1"/>
  <c r="C147" i="1"/>
  <c r="B113" i="1"/>
  <c r="C134" i="1"/>
  <c r="H68" i="1"/>
  <c r="B69" i="1"/>
  <c r="D120" i="1"/>
  <c r="G118" i="1" s="1"/>
  <c r="G120" i="1" s="1"/>
  <c r="F78" i="1"/>
  <c r="B80" i="1" s="1"/>
  <c r="F68" i="1"/>
  <c r="F58" i="1"/>
  <c r="G89" i="1"/>
  <c r="B89" i="1"/>
  <c r="D37" i="1"/>
  <c r="E37" i="1"/>
  <c r="F37" i="1"/>
  <c r="I39" i="1"/>
  <c r="I40" i="1"/>
  <c r="I24" i="1"/>
  <c r="I25" i="1"/>
  <c r="I26" i="1"/>
  <c r="I28" i="1"/>
  <c r="I29" i="1"/>
  <c r="I22" i="1"/>
  <c r="H23" i="1"/>
  <c r="G23" i="1"/>
  <c r="G27" i="1" s="1"/>
  <c r="G30" i="1" s="1"/>
  <c r="F23" i="1"/>
  <c r="F27" i="1" s="1"/>
  <c r="E23" i="1"/>
  <c r="E27" i="1" s="1"/>
  <c r="D23" i="1"/>
  <c r="D27" i="1" s="1"/>
  <c r="D30" i="1" s="1"/>
  <c r="C23" i="1"/>
  <c r="C27" i="1" s="1"/>
  <c r="B23" i="1"/>
  <c r="B27" i="1" s="1"/>
  <c r="F16" i="1"/>
  <c r="G16" i="1"/>
  <c r="H16" i="1"/>
  <c r="E16" i="1"/>
  <c r="K6" i="1"/>
  <c r="K2" i="1"/>
  <c r="K4" i="1"/>
  <c r="K7" i="1"/>
  <c r="L11" i="1"/>
  <c r="J3" i="1"/>
  <c r="J5" i="1" s="1"/>
  <c r="J8" i="1" s="1"/>
  <c r="I3" i="1"/>
  <c r="I5" i="1" s="1"/>
  <c r="I8" i="1" s="1"/>
  <c r="H3" i="1"/>
  <c r="H5" i="1" s="1"/>
  <c r="G3" i="1"/>
  <c r="G5" i="1" s="1"/>
  <c r="G8" i="1" s="1"/>
  <c r="F3" i="1"/>
  <c r="E3" i="1"/>
  <c r="D3" i="1"/>
  <c r="C3" i="1"/>
  <c r="C5" i="1" s="1"/>
  <c r="B3" i="1"/>
  <c r="G361" i="1" l="1"/>
  <c r="G288" i="1"/>
  <c r="G289" i="1" s="1"/>
  <c r="G271" i="1"/>
  <c r="G273" i="1" s="1"/>
  <c r="H288" i="1"/>
  <c r="H289" i="1" s="1"/>
  <c r="H271" i="1"/>
  <c r="H273" i="1" s="1"/>
  <c r="K204" i="1"/>
  <c r="K208" i="1" s="1"/>
  <c r="G208" i="1"/>
  <c r="C184" i="1"/>
  <c r="C185" i="1" s="1"/>
  <c r="H139" i="1"/>
  <c r="I140" i="1" s="1"/>
  <c r="I142" i="1" s="1"/>
  <c r="I143" i="1" s="1"/>
  <c r="I150" i="1"/>
  <c r="H150" i="1"/>
  <c r="I119" i="1"/>
  <c r="G121" i="1" s="1"/>
  <c r="C8" i="1"/>
  <c r="F30" i="1"/>
  <c r="I23" i="1"/>
  <c r="H27" i="1"/>
  <c r="H30" i="1" s="1"/>
  <c r="B5" i="1"/>
  <c r="B30" i="1"/>
  <c r="K3" i="1"/>
  <c r="E5" i="1"/>
  <c r="E8" i="1" s="1"/>
  <c r="F5" i="1"/>
  <c r="F8" i="1" s="1"/>
  <c r="H8" i="1"/>
  <c r="E30" i="1"/>
  <c r="D5" i="1"/>
  <c r="D8" i="1" s="1"/>
  <c r="C30" i="1"/>
  <c r="G290" i="1" l="1"/>
  <c r="G299" i="1" s="1"/>
  <c r="I273" i="1"/>
  <c r="G160" i="1"/>
  <c r="G162" i="1" s="1"/>
  <c r="I165" i="1" s="1"/>
  <c r="H140" i="1"/>
  <c r="G133" i="1" s="1"/>
  <c r="I27" i="1"/>
  <c r="K5" i="1"/>
  <c r="M7" i="1" s="1"/>
  <c r="B8" i="1"/>
  <c r="F9" i="1" s="1"/>
  <c r="H31" i="1"/>
  <c r="D31" i="1"/>
  <c r="F31" i="1"/>
  <c r="E31" i="1"/>
  <c r="G31" i="1"/>
  <c r="C31" i="1"/>
  <c r="I30" i="1"/>
  <c r="K8" i="1" l="1"/>
  <c r="H142" i="1"/>
  <c r="H143" i="1" s="1"/>
  <c r="H149" i="1"/>
  <c r="H151" i="1" s="1"/>
  <c r="G134" i="1"/>
  <c r="C9" i="1"/>
  <c r="F10" i="1" s="1"/>
  <c r="G9" i="1"/>
  <c r="I9" i="1"/>
  <c r="H9" i="1"/>
  <c r="J9" i="1"/>
  <c r="D9" i="1"/>
  <c r="E9" i="1"/>
  <c r="I31" i="1"/>
  <c r="D32" i="1"/>
  <c r="D33" i="1" s="1"/>
  <c r="E32" i="1"/>
  <c r="E33" i="1" s="1"/>
  <c r="F32" i="1"/>
  <c r="F33" i="1" s="1"/>
  <c r="G32" i="1"/>
  <c r="G33" i="1" s="1"/>
  <c r="H32" i="1"/>
  <c r="H33" i="1" s="1"/>
  <c r="J10" i="1" l="1"/>
  <c r="J11" i="1" s="1"/>
  <c r="D10" i="1"/>
  <c r="F11" i="1" s="1"/>
  <c r="F13" i="1" s="1"/>
  <c r="H152" i="1"/>
  <c r="H153" i="1" s="1"/>
  <c r="I159" i="1" s="1"/>
  <c r="I160" i="1" s="1"/>
  <c r="I161" i="1" s="1"/>
  <c r="H10" i="1"/>
  <c r="I10" i="1"/>
  <c r="I11" i="1" s="1"/>
  <c r="E10" i="1"/>
  <c r="E11" i="1" s="1"/>
  <c r="H134" i="1"/>
  <c r="H133" i="1" s="1"/>
  <c r="I149" i="1" s="1"/>
  <c r="I151" i="1" s="1"/>
  <c r="G10" i="1"/>
  <c r="G11" i="1" s="1"/>
  <c r="F38" i="1"/>
  <c r="F35" i="1"/>
  <c r="E38" i="1"/>
  <c r="E35" i="1"/>
  <c r="I32" i="1"/>
  <c r="I33" i="1"/>
  <c r="D38" i="1"/>
  <c r="D35" i="1"/>
  <c r="F17" i="1" l="1"/>
  <c r="I134" i="1"/>
  <c r="I133" i="1"/>
  <c r="E17" i="1"/>
  <c r="E13" i="1"/>
  <c r="E14" i="1"/>
  <c r="I152" i="1"/>
  <c r="I153" i="1" s="1"/>
  <c r="J159" i="1" s="1"/>
  <c r="J160" i="1" s="1"/>
  <c r="J161" i="1" s="1"/>
  <c r="I162" i="1" s="1"/>
  <c r="H11" i="1"/>
  <c r="H13" i="1"/>
  <c r="G34" i="1"/>
  <c r="G37" i="1" s="1"/>
  <c r="F14" i="1"/>
  <c r="G14" i="1"/>
  <c r="G17" i="1"/>
  <c r="G13" i="1"/>
  <c r="G35" i="1" l="1"/>
  <c r="H34" i="1"/>
  <c r="H37" i="1" s="1"/>
  <c r="H17" i="1"/>
  <c r="I12" i="1" s="1"/>
  <c r="H14" i="1"/>
  <c r="H35" i="1"/>
  <c r="G38" i="1"/>
  <c r="I34" i="1"/>
  <c r="I14" i="1" l="1"/>
  <c r="I16" i="1"/>
  <c r="I17" i="1" s="1"/>
  <c r="J12" i="1"/>
  <c r="I13" i="1"/>
  <c r="H38" i="1"/>
  <c r="I37" i="1"/>
  <c r="J16" i="1"/>
  <c r="J17" i="1" s="1"/>
  <c r="L17" i="1" s="1"/>
  <c r="I38" i="1"/>
  <c r="J14" i="1" l="1"/>
  <c r="J13" i="1"/>
</calcChain>
</file>

<file path=xl/comments1.xml><?xml version="1.0" encoding="utf-8"?>
<comments xmlns="http://schemas.openxmlformats.org/spreadsheetml/2006/main">
  <authors>
    <author>mis</author>
  </authors>
  <commentList>
    <comment ref="J12" authorId="0" shapeId="0">
      <text>
        <r>
          <rPr>
            <b/>
            <sz val="9"/>
            <color indexed="81"/>
            <rFont val="Segoe UI"/>
            <family val="2"/>
          </rPr>
          <t>mis:</t>
        </r>
        <r>
          <rPr>
            <sz val="9"/>
            <color indexed="81"/>
            <rFont val="Segoe UI"/>
            <family val="2"/>
          </rPr>
          <t xml:space="preserve">
Deckungsbeiträge + Material - Differenzen</t>
        </r>
      </text>
    </comment>
    <comment ref="G34" authorId="0" shapeId="0">
      <text>
        <r>
          <rPr>
            <b/>
            <sz val="9"/>
            <color indexed="81"/>
            <rFont val="Segoe UI"/>
            <family val="2"/>
          </rPr>
          <t>mis:</t>
        </r>
        <r>
          <rPr>
            <sz val="9"/>
            <color indexed="81"/>
            <rFont val="Segoe UI"/>
            <family val="2"/>
          </rPr>
          <t xml:space="preserve">
(Deckungsbeiträge + Material)/10*9 Verkaufte von Produzierte Produkte (9 von zehn) - (Summe der Differenz/Anzahl aller Produkte * verkaufter Produkte) </t>
        </r>
      </text>
    </comment>
    <comment ref="F107" authorId="0" shapeId="0">
      <text>
        <r>
          <rPr>
            <b/>
            <sz val="9"/>
            <color indexed="81"/>
            <rFont val="Segoe UI"/>
            <family val="2"/>
          </rPr>
          <t>mis:</t>
        </r>
        <r>
          <rPr>
            <sz val="9"/>
            <color indexed="81"/>
            <rFont val="Segoe UI"/>
            <family val="2"/>
          </rPr>
          <t xml:space="preserve">
In Kalkulatorischen kosten enthalten
 </t>
        </r>
      </text>
    </comment>
    <comment ref="G140" authorId="0" shapeId="0">
      <text>
        <r>
          <rPr>
            <b/>
            <sz val="9"/>
            <color indexed="81"/>
            <rFont val="Segoe UI"/>
            <family val="2"/>
          </rPr>
          <t>mis:</t>
        </r>
        <r>
          <rPr>
            <sz val="9"/>
            <color indexed="81"/>
            <rFont val="Segoe UI"/>
            <family val="2"/>
          </rPr>
          <t xml:space="preserve">
Material</t>
        </r>
      </text>
    </comment>
  </commentList>
</comments>
</file>

<file path=xl/sharedStrings.xml><?xml version="1.0" encoding="utf-8"?>
<sst xmlns="http://schemas.openxmlformats.org/spreadsheetml/2006/main" count="776" uniqueCount="395">
  <si>
    <t>raum</t>
  </si>
  <si>
    <t>kantine</t>
  </si>
  <si>
    <t>arbeitsvorb</t>
  </si>
  <si>
    <t>fert1</t>
  </si>
  <si>
    <t>fert2</t>
  </si>
  <si>
    <t>fert3</t>
  </si>
  <si>
    <t>mat</t>
  </si>
  <si>
    <t>verw</t>
  </si>
  <si>
    <t>vert</t>
  </si>
  <si>
    <t>Hilflöhner</t>
  </si>
  <si>
    <t>Fertl</t>
  </si>
  <si>
    <t>Hilfl</t>
  </si>
  <si>
    <t>Gehalt</t>
  </si>
  <si>
    <t>Persnebenk</t>
  </si>
  <si>
    <t>Kalkzinsen</t>
  </si>
  <si>
    <t>SonstGemein</t>
  </si>
  <si>
    <t>DB1</t>
  </si>
  <si>
    <t>Raumumlage</t>
  </si>
  <si>
    <t>Kantine umlage</t>
  </si>
  <si>
    <t>|--&gt;+</t>
  </si>
  <si>
    <t>Basis</t>
  </si>
  <si>
    <t>Arbeitsvorb</t>
  </si>
  <si>
    <t>IST %</t>
  </si>
  <si>
    <t>Plan %</t>
  </si>
  <si>
    <t>Diff</t>
  </si>
  <si>
    <t>Summe IST</t>
  </si>
  <si>
    <t>Plan Summe</t>
  </si>
  <si>
    <t>strom</t>
  </si>
  <si>
    <t>fertig1</t>
  </si>
  <si>
    <t>fertig2</t>
  </si>
  <si>
    <t>summe</t>
  </si>
  <si>
    <t>posten</t>
  </si>
  <si>
    <t>fertigungslöhne</t>
  </si>
  <si>
    <t>hilfslöhne</t>
  </si>
  <si>
    <t>Gehälter</t>
  </si>
  <si>
    <t>Werkzeug</t>
  </si>
  <si>
    <t>Strom</t>
  </si>
  <si>
    <t>Personalneben</t>
  </si>
  <si>
    <t>KalkZinsen</t>
  </si>
  <si>
    <t>Gemeink</t>
  </si>
  <si>
    <t>Vert Raum</t>
  </si>
  <si>
    <t>|-&gt;</t>
  </si>
  <si>
    <t>Verteilung Strom</t>
  </si>
  <si>
    <t>DB2</t>
  </si>
  <si>
    <t xml:space="preserve">Zuschlag IST </t>
  </si>
  <si>
    <t xml:space="preserve">Zuschlag PLAN </t>
  </si>
  <si>
    <t>DB PLAN</t>
  </si>
  <si>
    <t>Differenz I. zu P.</t>
  </si>
  <si>
    <t>Erlöse</t>
  </si>
  <si>
    <t>Fertigware</t>
  </si>
  <si>
    <t>Ware in Arbeit</t>
  </si>
  <si>
    <t>Rohmaterial</t>
  </si>
  <si>
    <t>Halbfertigware</t>
  </si>
  <si>
    <t>Gesamt</t>
  </si>
  <si>
    <t>Gewinn</t>
  </si>
  <si>
    <t>Betriebsnotwendig</t>
  </si>
  <si>
    <t>Umsatz aus Verkaufserlösen</t>
  </si>
  <si>
    <t>Maschiene Eigenleistung (Material + Arbeitszeit*Stundensatz)</t>
  </si>
  <si>
    <t>Nicht Betriebsnotwendig</t>
  </si>
  <si>
    <t>Mieteinnahmen</t>
  </si>
  <si>
    <t>Kosten Mietshaus</t>
  </si>
  <si>
    <t>Spenden</t>
  </si>
  <si>
    <t>Sonderabschreibung</t>
  </si>
  <si>
    <t>Abschreibung Anlage</t>
  </si>
  <si>
    <t>Sonstige Gemeinkosten</t>
  </si>
  <si>
    <t>Reisekosten</t>
  </si>
  <si>
    <t>Mieten</t>
  </si>
  <si>
    <t>Hilfslöhne</t>
  </si>
  <si>
    <t>Materialkosten</t>
  </si>
  <si>
    <t>Personalkosten</t>
  </si>
  <si>
    <t>Stromkosten</t>
  </si>
  <si>
    <t>Fertigungslöhne</t>
  </si>
  <si>
    <t>2.19 Gesamtkostenverfahren</t>
  </si>
  <si>
    <t xml:space="preserve">2.20 Vollkosten und Teilkosten </t>
  </si>
  <si>
    <t>A</t>
  </si>
  <si>
    <t>B</t>
  </si>
  <si>
    <t>C</t>
  </si>
  <si>
    <t>D</t>
  </si>
  <si>
    <t>Menge</t>
  </si>
  <si>
    <t>VK Preis</t>
  </si>
  <si>
    <t>Selbstkosten</t>
  </si>
  <si>
    <t>Vollkosten</t>
  </si>
  <si>
    <t>Umsätze</t>
  </si>
  <si>
    <t>Selbstskosten</t>
  </si>
  <si>
    <t>Teilkosten</t>
  </si>
  <si>
    <r>
      <t xml:space="preserve">Var- </t>
    </r>
    <r>
      <rPr>
        <b/>
        <sz val="11"/>
        <color theme="1"/>
        <rFont val="Calibri"/>
        <family val="2"/>
        <scheme val="minor"/>
      </rPr>
      <t>Selb</t>
    </r>
    <r>
      <rPr>
        <sz val="11"/>
        <color theme="1"/>
        <rFont val="Calibri"/>
        <family val="2"/>
        <scheme val="minor"/>
      </rPr>
      <t>stkosten</t>
    </r>
  </si>
  <si>
    <r>
      <t xml:space="preserve">Fix- </t>
    </r>
    <r>
      <rPr>
        <b/>
        <sz val="11"/>
        <color theme="1"/>
        <rFont val="Calibri"/>
        <family val="2"/>
        <scheme val="minor"/>
      </rPr>
      <t>Selbst</t>
    </r>
    <r>
      <rPr>
        <sz val="11"/>
        <color theme="1"/>
        <rFont val="Calibri"/>
        <family val="2"/>
        <scheme val="minor"/>
      </rPr>
      <t>kosten</t>
    </r>
  </si>
  <si>
    <t>Gesamtkosten</t>
  </si>
  <si>
    <t>Kosten</t>
  </si>
  <si>
    <t xml:space="preserve">Leistung </t>
  </si>
  <si>
    <t>Von Lager Fertige</t>
  </si>
  <si>
    <t>Gesamnt</t>
  </si>
  <si>
    <t>Gewin</t>
  </si>
  <si>
    <t xml:space="preserve">Unfertig </t>
  </si>
  <si>
    <t>Leistung</t>
  </si>
  <si>
    <t>Umsatzkosten</t>
  </si>
  <si>
    <t>Herstellkosten</t>
  </si>
  <si>
    <t>Verwaltungskosten</t>
  </si>
  <si>
    <t>Fertmaterial</t>
  </si>
  <si>
    <t>Fertiglohn</t>
  </si>
  <si>
    <t>Matgemeink</t>
  </si>
  <si>
    <t>Fertgemein</t>
  </si>
  <si>
    <t>Verwaltung</t>
  </si>
  <si>
    <t>Vertrieb</t>
  </si>
  <si>
    <t>Deckungsbeitrag!</t>
  </si>
  <si>
    <t>Betriebsergebnis</t>
  </si>
  <si>
    <t>2.21 Gesamt und Umsatzkosten</t>
  </si>
  <si>
    <t>2.71 Überleitung Buchhaltung</t>
  </si>
  <si>
    <t xml:space="preserve">Hilfslöhne </t>
  </si>
  <si>
    <t>Werkzeugkosten</t>
  </si>
  <si>
    <t>Gebäudemiete</t>
  </si>
  <si>
    <t>Fertigngsmaterial</t>
  </si>
  <si>
    <t>Brandschaden</t>
  </si>
  <si>
    <t>Stuernachzahlung</t>
  </si>
  <si>
    <t>Gemeinkosten</t>
  </si>
  <si>
    <t>Bankzinsen</t>
  </si>
  <si>
    <t>Kalk Abschreib</t>
  </si>
  <si>
    <t>Kalk Zinsen</t>
  </si>
  <si>
    <t>Kalk Unternlohn</t>
  </si>
  <si>
    <t>Bilanzabschreibung</t>
  </si>
  <si>
    <t>Produkt</t>
  </si>
  <si>
    <t>Neutraler Aufwand</t>
  </si>
  <si>
    <t>Material</t>
  </si>
  <si>
    <t xml:space="preserve">Gesamt </t>
  </si>
  <si>
    <t>BAP</t>
  </si>
  <si>
    <t>Fertigung</t>
  </si>
  <si>
    <t>Verw/Vert</t>
  </si>
  <si>
    <t>Kostenstelle</t>
  </si>
  <si>
    <t>Kalk</t>
  </si>
  <si>
    <t>Betriebsaufwand</t>
  </si>
  <si>
    <t>Neutral</t>
  </si>
  <si>
    <t>Summe</t>
  </si>
  <si>
    <t>Betriebsnotwendig Kosten</t>
  </si>
  <si>
    <t xml:space="preserve">Unbeachtet (inkl in Kalk) </t>
  </si>
  <si>
    <t>Summe Kostenrechnung</t>
  </si>
  <si>
    <t>2.72 Überleitung Buchhaltung #2</t>
  </si>
  <si>
    <t>Fertigungsmat</t>
  </si>
  <si>
    <t>Bilanzabschrei</t>
  </si>
  <si>
    <t>Resekosten</t>
  </si>
  <si>
    <t>Sonst Gemein</t>
  </si>
  <si>
    <t>Steuernachzahlung</t>
  </si>
  <si>
    <t>Zinsaufwand</t>
  </si>
  <si>
    <t>Kalk Ulohn</t>
  </si>
  <si>
    <t>KalkAbschreibung</t>
  </si>
  <si>
    <t>neutral</t>
  </si>
  <si>
    <t>Betriebsnotw</t>
  </si>
  <si>
    <t>Gemein</t>
  </si>
  <si>
    <t>Stundensatz</t>
  </si>
  <si>
    <t>Fertigungslosten</t>
  </si>
  <si>
    <t>Zuschlag</t>
  </si>
  <si>
    <t>Preis</t>
  </si>
  <si>
    <t>Aufwand Brand</t>
  </si>
  <si>
    <t>Verwaltungsk</t>
  </si>
  <si>
    <t>DB2 /Gewinn</t>
  </si>
  <si>
    <t>Gemeinkt  %</t>
  </si>
  <si>
    <t>Fertigungskosten</t>
  </si>
  <si>
    <t>Gemeink Mat</t>
  </si>
  <si>
    <t>Gemeink Verw</t>
  </si>
  <si>
    <t xml:space="preserve">Produkt </t>
  </si>
  <si>
    <t>Herstellungskosten</t>
  </si>
  <si>
    <t>Produkt Einzelkosten (Selbstkosten) Kalulation</t>
  </si>
  <si>
    <t>Gesamt Selbstkosten</t>
  </si>
  <si>
    <t>DB1 / Erlöse</t>
  </si>
  <si>
    <t>Gewinn Gesamt</t>
  </si>
  <si>
    <t>Gewinn Gruppe</t>
  </si>
  <si>
    <t>Selbstk</t>
  </si>
  <si>
    <t>Gewinn Einz</t>
  </si>
  <si>
    <t>Erlöse A</t>
  </si>
  <si>
    <t>Elöse B</t>
  </si>
  <si>
    <t>Kalk Miete</t>
  </si>
  <si>
    <t>Kalk Fordausf</t>
  </si>
  <si>
    <t>Verluste</t>
  </si>
  <si>
    <t xml:space="preserve">Betriebsergebnis Gewinn / Verlust Rechnung </t>
  </si>
  <si>
    <t xml:space="preserve"> Betriebsergebnis Kostenrechnung</t>
  </si>
  <si>
    <t>Auf. Brand</t>
  </si>
  <si>
    <t>Bilanzabsch</t>
  </si>
  <si>
    <t>Steuernachz</t>
  </si>
  <si>
    <t>Ausgaben</t>
  </si>
  <si>
    <t>Werkzeugk</t>
  </si>
  <si>
    <t>Gebäudem.</t>
  </si>
  <si>
    <t>FertMat.</t>
  </si>
  <si>
    <t>SonstGemei</t>
  </si>
  <si>
    <t>Sonderabs.</t>
  </si>
  <si>
    <t>Zinsaufw.</t>
  </si>
  <si>
    <t>Differenz /Brücke</t>
  </si>
  <si>
    <t>VK Preis Stück</t>
  </si>
  <si>
    <t>Varibale Kosten</t>
  </si>
  <si>
    <t>Erzeugnisfix</t>
  </si>
  <si>
    <t>Absatzmenge</t>
  </si>
  <si>
    <t>Kapazität</t>
  </si>
  <si>
    <t>Variable Kosten</t>
  </si>
  <si>
    <t>Fixkosten</t>
  </si>
  <si>
    <t>DB1 Stück</t>
  </si>
  <si>
    <t>DB1 Gesamt</t>
  </si>
  <si>
    <t>Deckungsbeitragsrechnung #1</t>
  </si>
  <si>
    <t>Deckungsbeitrag zusatz</t>
  </si>
  <si>
    <t>Elöse Sodervk</t>
  </si>
  <si>
    <t>Gewinn Stück</t>
  </si>
  <si>
    <t>DB Gesamt Stück</t>
  </si>
  <si>
    <t xml:space="preserve">DB Gesamt </t>
  </si>
  <si>
    <t>Vkost zusatz</t>
  </si>
  <si>
    <t>Fix zusatz</t>
  </si>
  <si>
    <t>Produkte</t>
  </si>
  <si>
    <t>2.8.1. Deckungsbeitragsrechnung</t>
  </si>
  <si>
    <t>Stück FIX</t>
  </si>
  <si>
    <t>VK</t>
  </si>
  <si>
    <t>Fix</t>
  </si>
  <si>
    <t>Var Gemein</t>
  </si>
  <si>
    <t>Fertiglöhne</t>
  </si>
  <si>
    <t>Ausstoß Max</t>
  </si>
  <si>
    <t>Ausstoß IST</t>
  </si>
  <si>
    <t>Fix IST</t>
  </si>
  <si>
    <t>Fix MAX</t>
  </si>
  <si>
    <t>VK Stük</t>
  </si>
  <si>
    <t>Breakeven Stück</t>
  </si>
  <si>
    <t>Gewinn IST</t>
  </si>
  <si>
    <t>Gewinn MAX</t>
  </si>
  <si>
    <t>Absatz</t>
  </si>
  <si>
    <t>Umsatz</t>
  </si>
  <si>
    <t>Umsatz gesamt</t>
  </si>
  <si>
    <t>DB1 Vereint</t>
  </si>
  <si>
    <t>Breakeven MIX</t>
  </si>
  <si>
    <t>Gewinn MIX</t>
  </si>
  <si>
    <t>Jahreserfolg</t>
  </si>
  <si>
    <t>Jahr Erfolg MIX</t>
  </si>
  <si>
    <t>Jahreserfolg Mix</t>
  </si>
  <si>
    <t>Normal</t>
  </si>
  <si>
    <t>Zusatz</t>
  </si>
  <si>
    <t>2.82 Brake Even 1</t>
  </si>
  <si>
    <t>Variable K</t>
  </si>
  <si>
    <t>Variable K Gesamt</t>
  </si>
  <si>
    <t>Kosten Gesamt</t>
  </si>
  <si>
    <t>Breakeaven Euro</t>
  </si>
  <si>
    <t>VK Preis PLAN</t>
  </si>
  <si>
    <t>DB 1 Variable K</t>
  </si>
  <si>
    <t>Brakeaven</t>
  </si>
  <si>
    <t>Werbung</t>
  </si>
  <si>
    <t>Aufwan Stunden</t>
  </si>
  <si>
    <t>Kosten gesamt</t>
  </si>
  <si>
    <t>Studensatz Variable</t>
  </si>
  <si>
    <t>FixKosten Gesamt</t>
  </si>
  <si>
    <t>Minus mit Auftrag</t>
  </si>
  <si>
    <t>Mius ohne Auftrag</t>
  </si>
  <si>
    <t>2.83 , 2.84  Brake Even 2 +3</t>
  </si>
  <si>
    <t>02.08.5 Optimierung bei Engpässen</t>
  </si>
  <si>
    <t>Var Kost</t>
  </si>
  <si>
    <t>Max auslatung</t>
  </si>
  <si>
    <t>Mat verb. KG</t>
  </si>
  <si>
    <t>DB1 Varkost</t>
  </si>
  <si>
    <t>Mat vollauslatung</t>
  </si>
  <si>
    <t>Prod. Menge neu</t>
  </si>
  <si>
    <t>DB1 Gesmat</t>
  </si>
  <si>
    <t>G</t>
  </si>
  <si>
    <t>Mat zu DB Euro</t>
  </si>
  <si>
    <t>02.09.2001 Prozesskostenrechnung</t>
  </si>
  <si>
    <t>X</t>
  </si>
  <si>
    <t>Y</t>
  </si>
  <si>
    <t>Fertigungsk</t>
  </si>
  <si>
    <t>Lagerfläche</t>
  </si>
  <si>
    <t>Einlagerung</t>
  </si>
  <si>
    <t>Mängel</t>
  </si>
  <si>
    <t>Reture</t>
  </si>
  <si>
    <t>Diferenz</t>
  </si>
  <si>
    <t>Diff gesamt</t>
  </si>
  <si>
    <t>Mit Prozesskosten</t>
  </si>
  <si>
    <t>Ohne Przesskosten, Pauschal</t>
  </si>
  <si>
    <t>KOST-H Case Study</t>
  </si>
  <si>
    <t>1.0 Vollkosten Rechnung</t>
  </si>
  <si>
    <t>Gehäler</t>
  </si>
  <si>
    <t>PersonalnebenK</t>
  </si>
  <si>
    <t>Kalk Abschreibung</t>
  </si>
  <si>
    <t>Kalk Personalnk</t>
  </si>
  <si>
    <t>Bilanzabschreib</t>
  </si>
  <si>
    <t xml:space="preserve">Sonst. Gemeine </t>
  </si>
  <si>
    <t>Bestandsveränder</t>
  </si>
  <si>
    <t xml:space="preserve">Raum </t>
  </si>
  <si>
    <t>Fertigung 1</t>
  </si>
  <si>
    <t>Fertigung 2</t>
  </si>
  <si>
    <t>Plankosten</t>
  </si>
  <si>
    <t>Kalk Pers NK</t>
  </si>
  <si>
    <t>Sonstige Gemeink</t>
  </si>
  <si>
    <t>Umlage Raum</t>
  </si>
  <si>
    <t>Miete</t>
  </si>
  <si>
    <t>unberücksichtigt durch Kalkulatorisch</t>
  </si>
  <si>
    <t>Kalkulatorsch</t>
  </si>
  <si>
    <t>?</t>
  </si>
  <si>
    <t>Verkaufspreis</t>
  </si>
  <si>
    <t>Gewinn IST Stück</t>
  </si>
  <si>
    <t>Herstell PLAN</t>
  </si>
  <si>
    <t>Herstell IST</t>
  </si>
  <si>
    <t>Herstell Stück</t>
  </si>
  <si>
    <t>Zuschlag IST</t>
  </si>
  <si>
    <t>Zuschlag Plan</t>
  </si>
  <si>
    <t>Gebchter Zinsaufwand</t>
  </si>
  <si>
    <t>Bestand</t>
  </si>
  <si>
    <t>Gesamt Umsatz</t>
  </si>
  <si>
    <t>Produziert (PLAN)</t>
  </si>
  <si>
    <t>Verkauft (IST)</t>
  </si>
  <si>
    <t>DB1 PLAN (Umsatz PLAN)</t>
  </si>
  <si>
    <t>DB1 IST (Umsatz IST)</t>
  </si>
  <si>
    <t>Fertkosten 1</t>
  </si>
  <si>
    <t>Fertkosten 2</t>
  </si>
  <si>
    <t>GuV</t>
  </si>
  <si>
    <t>Verr differenz</t>
  </si>
  <si>
    <t>Verr Kosten PLAN</t>
  </si>
  <si>
    <t>Verwaltung IST</t>
  </si>
  <si>
    <t>Vertrieb IST</t>
  </si>
  <si>
    <t>Verwaltung PLAN</t>
  </si>
  <si>
    <t>Vertrieb PLAN</t>
  </si>
  <si>
    <t>Selbstkosten IST</t>
  </si>
  <si>
    <t>Gewinn IST Menge</t>
  </si>
  <si>
    <t>Gewinn IST Summe</t>
  </si>
  <si>
    <t>IST</t>
  </si>
  <si>
    <t>Selbstkosten PLAN</t>
  </si>
  <si>
    <t>Gewinn Menge PLAN</t>
  </si>
  <si>
    <t>Gewinn Stück PLAN</t>
  </si>
  <si>
    <t>Summe Gewinn PLAN</t>
  </si>
  <si>
    <t>Brücke PLAN</t>
  </si>
  <si>
    <t>Brücke IST</t>
  </si>
  <si>
    <t>PLAN</t>
  </si>
  <si>
    <t>Gewinn Plan</t>
  </si>
  <si>
    <t>UKV</t>
  </si>
  <si>
    <t>Gewinn PLAN</t>
  </si>
  <si>
    <t>Differenz Zinsen +Abschreibung</t>
  </si>
  <si>
    <t>Differenz Personal</t>
  </si>
  <si>
    <t>Abzug Neutral</t>
  </si>
  <si>
    <t>GUV vs UKV</t>
  </si>
  <si>
    <t>Davon Variable Kosten</t>
  </si>
  <si>
    <t>Davon Fixkosten</t>
  </si>
  <si>
    <t>Var Fertk 1</t>
  </si>
  <si>
    <t>Var Fertk 2</t>
  </si>
  <si>
    <t>Db1 Var Kost Stück</t>
  </si>
  <si>
    <t>Db1 Var Kost Gesamt</t>
  </si>
  <si>
    <t>Fixe Fertk Gesamt</t>
  </si>
  <si>
    <t>Fixe Fertk 1</t>
  </si>
  <si>
    <t>Fixe Fertk 2</t>
  </si>
  <si>
    <t>DB2 Gesamt</t>
  </si>
  <si>
    <t>DB 2 Stück</t>
  </si>
  <si>
    <t>DB2  Gesamt</t>
  </si>
  <si>
    <t>DB2  Stück</t>
  </si>
  <si>
    <t>Variable  HK</t>
  </si>
  <si>
    <t xml:space="preserve">Gewinn &amp; Verlustrechnung </t>
  </si>
  <si>
    <t xml:space="preserve">Ertrag Gesamt </t>
  </si>
  <si>
    <t>Aufwand</t>
  </si>
  <si>
    <t>Ertrag</t>
  </si>
  <si>
    <t xml:space="preserve">Aufwand </t>
  </si>
  <si>
    <t>Variable HK</t>
  </si>
  <si>
    <t>Vertriebskosten</t>
  </si>
  <si>
    <t>Bereichsfix</t>
  </si>
  <si>
    <t>Verwaltungsfix</t>
  </si>
  <si>
    <t>DB3</t>
  </si>
  <si>
    <t>Gewinn Verrechnung laut BAB</t>
  </si>
  <si>
    <t>Verrechnungsdifferenz</t>
  </si>
  <si>
    <t>VerDiff</t>
  </si>
  <si>
    <t>Bei</t>
  </si>
  <si>
    <t>Auslastung</t>
  </si>
  <si>
    <t>voller</t>
  </si>
  <si>
    <t>Gesamt Ertrag</t>
  </si>
  <si>
    <t>Gesamt Aufwand</t>
  </si>
  <si>
    <t>Gewinn ALT</t>
  </si>
  <si>
    <t>Gewinn Neu</t>
  </si>
  <si>
    <t>Plan Stückkosten</t>
  </si>
  <si>
    <t>Neu KalkPers Verhältnis zu Bilanz Pers 0,95</t>
  </si>
  <si>
    <t>Basis (stunden)</t>
  </si>
  <si>
    <t>Differenz (Bilanz)Abschreibung</t>
  </si>
  <si>
    <t>Differenz Zinsen</t>
  </si>
  <si>
    <t>Differenz (Bilanz) Abschreibung</t>
  </si>
  <si>
    <t>Gewinn Differenz Maschiene</t>
  </si>
  <si>
    <r>
      <t xml:space="preserve">Maschienen </t>
    </r>
    <r>
      <rPr>
        <b/>
        <i/>
        <sz val="11"/>
        <color theme="1"/>
        <rFont val="Calibri"/>
        <family val="2"/>
        <scheme val="minor"/>
      </rPr>
      <t>INVESTITION</t>
    </r>
  </si>
  <si>
    <t>Zusatz Variable Kosten</t>
  </si>
  <si>
    <t>Zusatz: VOLLKOSTEN vs TEILKOSTEN: (Variable und Fixkosten)</t>
  </si>
  <si>
    <t>Zusatzaufträge</t>
  </si>
  <si>
    <t>Zusatz VK</t>
  </si>
  <si>
    <t>Zusatz Preis</t>
  </si>
  <si>
    <t>DB Zusatz</t>
  </si>
  <si>
    <t>Umsatz Gesamt</t>
  </si>
  <si>
    <t>Zusatz 500 zu 180</t>
  </si>
  <si>
    <t>Zusatz 400 zu 170</t>
  </si>
  <si>
    <t>Zusatz 400 zu 170 und 500 zu 180</t>
  </si>
  <si>
    <t>Zusatz 1 VK</t>
  </si>
  <si>
    <t>Zusatz 2 Preis</t>
  </si>
  <si>
    <t>Zusatz 2 VK</t>
  </si>
  <si>
    <t>Zusatz 3 VK</t>
  </si>
  <si>
    <t>DB Zusatz 2</t>
  </si>
  <si>
    <t>&lt;-- Durch DB</t>
  </si>
  <si>
    <t>&lt;-- Duch DB</t>
  </si>
  <si>
    <t>DBB1 Gesamt</t>
  </si>
  <si>
    <t>DB/Min</t>
  </si>
  <si>
    <t>Rank</t>
  </si>
  <si>
    <t>Original</t>
  </si>
  <si>
    <t>Differenz</t>
  </si>
  <si>
    <t>Engpass</t>
  </si>
  <si>
    <t>Auslagerung</t>
  </si>
  <si>
    <t>Engpasskalkulation / Auslagerung</t>
  </si>
  <si>
    <t>Mehrgewinn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</si>
</sst>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3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3" xfId="0" applyBorder="1"/>
    <xf numFmtId="0" fontId="1" fillId="0" borderId="23" xfId="0" applyFont="1" applyBorder="1"/>
    <xf numFmtId="0" fontId="0" fillId="0" borderId="4" xfId="0" applyBorder="1"/>
    <xf numFmtId="0" fontId="0" fillId="0" borderId="6" xfId="0" applyBorder="1"/>
    <xf numFmtId="0" fontId="1" fillId="0" borderId="21" xfId="0" applyFont="1" applyBorder="1"/>
    <xf numFmtId="0" fontId="0" fillId="0" borderId="14" xfId="0" applyBorder="1"/>
    <xf numFmtId="0" fontId="1" fillId="0" borderId="1" xfId="0" applyFont="1" applyFill="1" applyBorder="1"/>
    <xf numFmtId="0" fontId="0" fillId="0" borderId="24" xfId="0" applyBorder="1"/>
    <xf numFmtId="0" fontId="0" fillId="0" borderId="25" xfId="0" applyBorder="1"/>
    <xf numFmtId="0" fontId="0" fillId="0" borderId="23" xfId="0" applyBorder="1"/>
    <xf numFmtId="0" fontId="1" fillId="0" borderId="28" xfId="0" applyFont="1" applyBorder="1"/>
    <xf numFmtId="0" fontId="1" fillId="0" borderId="29" xfId="0" applyFont="1" applyBorder="1"/>
    <xf numFmtId="0" fontId="0" fillId="0" borderId="30" xfId="0" applyBorder="1"/>
    <xf numFmtId="0" fontId="0" fillId="0" borderId="31" xfId="0" applyBorder="1"/>
    <xf numFmtId="0" fontId="0" fillId="0" borderId="18" xfId="0" applyBorder="1"/>
    <xf numFmtId="0" fontId="0" fillId="0" borderId="28" xfId="0" applyBorder="1"/>
    <xf numFmtId="0" fontId="0" fillId="0" borderId="29" xfId="0" applyBorder="1"/>
    <xf numFmtId="0" fontId="1" fillId="0" borderId="2" xfId="0" applyFont="1" applyBorder="1"/>
    <xf numFmtId="0" fontId="1" fillId="0" borderId="7" xfId="0" applyFont="1" applyBorder="1"/>
    <xf numFmtId="0" fontId="0" fillId="0" borderId="32" xfId="0" applyBorder="1"/>
    <xf numFmtId="0" fontId="0" fillId="0" borderId="33" xfId="0" applyBorder="1"/>
    <xf numFmtId="0" fontId="1" fillId="0" borderId="4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6" xfId="0" applyFont="1" applyBorder="1"/>
    <xf numFmtId="0" fontId="1" fillId="0" borderId="12" xfId="0" applyFont="1" applyBorder="1"/>
    <xf numFmtId="0" fontId="0" fillId="0" borderId="17" xfId="0" applyBorder="1"/>
    <xf numFmtId="0" fontId="1" fillId="0" borderId="22" xfId="0" applyFont="1" applyBorder="1"/>
    <xf numFmtId="0" fontId="1" fillId="0" borderId="40" xfId="0" applyFont="1" applyBorder="1"/>
    <xf numFmtId="0" fontId="1" fillId="0" borderId="4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7" xfId="0" applyFont="1" applyBorder="1"/>
    <xf numFmtId="0" fontId="0" fillId="0" borderId="16" xfId="0" applyFill="1" applyBorder="1"/>
    <xf numFmtId="0" fontId="0" fillId="0" borderId="39" xfId="0" applyBorder="1"/>
    <xf numFmtId="0" fontId="1" fillId="0" borderId="18" xfId="0" applyFont="1" applyBorder="1"/>
    <xf numFmtId="0" fontId="1" fillId="0" borderId="18" xfId="0" applyFont="1" applyFill="1" applyBorder="1"/>
    <xf numFmtId="0" fontId="1" fillId="0" borderId="35" xfId="0" applyFont="1" applyFill="1" applyBorder="1"/>
    <xf numFmtId="0" fontId="1" fillId="0" borderId="3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0" fillId="0" borderId="15" xfId="0" applyFill="1" applyBorder="1"/>
    <xf numFmtId="0" fontId="1" fillId="0" borderId="17" xfId="0" applyFont="1" applyFill="1" applyBorder="1"/>
    <xf numFmtId="0" fontId="1" fillId="0" borderId="31" xfId="0" applyFont="1" applyBorder="1"/>
    <xf numFmtId="0" fontId="1" fillId="0" borderId="32" xfId="0" applyFont="1" applyBorder="1"/>
    <xf numFmtId="0" fontId="1" fillId="0" borderId="43" xfId="0" applyFont="1" applyBorder="1" applyAlignment="1">
      <alignment horizontal="center"/>
    </xf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0" xfId="0" applyFon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27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11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24" xfId="0" applyBorder="1" applyAlignment="1">
      <alignment horizontal="left"/>
    </xf>
    <xf numFmtId="0" fontId="1" fillId="0" borderId="36" xfId="0" applyFont="1" applyFill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3" xfId="0" applyFont="1" applyBorder="1" applyAlignment="1">
      <alignment horizontal="left"/>
    </xf>
    <xf numFmtId="0" fontId="1" fillId="0" borderId="54" xfId="0" applyFont="1" applyBorder="1" applyAlignment="1">
      <alignment horizontal="left"/>
    </xf>
    <xf numFmtId="0" fontId="1" fillId="0" borderId="55" xfId="0" applyFont="1" applyBorder="1" applyAlignment="1">
      <alignment horizontal="left"/>
    </xf>
    <xf numFmtId="0" fontId="0" fillId="0" borderId="1" xfId="0" applyFont="1" applyBorder="1"/>
    <xf numFmtId="0" fontId="1" fillId="0" borderId="30" xfId="0" applyFont="1" applyBorder="1"/>
    <xf numFmtId="0" fontId="1" fillId="0" borderId="15" xfId="0" applyFont="1" applyBorder="1" applyAlignment="1">
      <alignment horizontal="left"/>
    </xf>
    <xf numFmtId="0" fontId="0" fillId="0" borderId="16" xfId="0" applyFont="1" applyBorder="1"/>
    <xf numFmtId="0" fontId="0" fillId="0" borderId="15" xfId="0" applyFont="1" applyBorder="1" applyAlignment="1">
      <alignment horizontal="left"/>
    </xf>
    <xf numFmtId="0" fontId="0" fillId="0" borderId="54" xfId="0" applyFont="1" applyBorder="1" applyAlignment="1">
      <alignment horizontal="left"/>
    </xf>
    <xf numFmtId="0" fontId="1" fillId="0" borderId="3" xfId="0" applyFont="1" applyBorder="1"/>
    <xf numFmtId="0" fontId="1" fillId="0" borderId="13" xfId="0" applyFont="1" applyBorder="1" applyAlignment="1">
      <alignment horizontal="left"/>
    </xf>
    <xf numFmtId="0" fontId="1" fillId="0" borderId="28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38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/>
    <xf numFmtId="0" fontId="0" fillId="0" borderId="8" xfId="0" applyBorder="1" applyAlignment="1">
      <alignment horizontal="left"/>
    </xf>
    <xf numFmtId="0" fontId="0" fillId="0" borderId="43" xfId="0" applyBorder="1"/>
    <xf numFmtId="0" fontId="0" fillId="0" borderId="5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44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0" xfId="0" applyFill="1" applyBorder="1"/>
    <xf numFmtId="0" fontId="1" fillId="0" borderId="40" xfId="0" applyFont="1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54" xfId="0" applyBorder="1" applyAlignment="1">
      <alignment horizontal="left"/>
    </xf>
    <xf numFmtId="0" fontId="1" fillId="0" borderId="53" xfId="0" applyFont="1" applyBorder="1"/>
    <xf numFmtId="0" fontId="1" fillId="0" borderId="54" xfId="0" applyFont="1" applyBorder="1"/>
    <xf numFmtId="0" fontId="1" fillId="0" borderId="55" xfId="0" applyFont="1" applyBorder="1"/>
    <xf numFmtId="0" fontId="0" fillId="0" borderId="20" xfId="0" applyBorder="1"/>
    <xf numFmtId="0" fontId="1" fillId="0" borderId="27" xfId="0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20" xfId="0" applyFont="1" applyBorder="1" applyAlignment="1">
      <alignment horizontal="center"/>
    </xf>
    <xf numFmtId="0" fontId="0" fillId="0" borderId="57" xfId="0" applyBorder="1" applyAlignment="1">
      <alignment horizontal="left"/>
    </xf>
    <xf numFmtId="0" fontId="1" fillId="0" borderId="57" xfId="0" applyFont="1" applyBorder="1"/>
    <xf numFmtId="0" fontId="1" fillId="0" borderId="57" xfId="0" applyFont="1" applyBorder="1" applyAlignment="1">
      <alignment horizontal="left"/>
    </xf>
    <xf numFmtId="0" fontId="0" fillId="0" borderId="58" xfId="0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3" xfId="0" applyBorder="1"/>
    <xf numFmtId="0" fontId="1" fillId="0" borderId="49" xfId="0" applyFont="1" applyBorder="1" applyAlignment="1">
      <alignment horizontal="center"/>
    </xf>
    <xf numFmtId="0" fontId="0" fillId="0" borderId="32" xfId="0" applyFill="1" applyBorder="1"/>
    <xf numFmtId="0" fontId="1" fillId="0" borderId="34" xfId="0" applyFont="1" applyFill="1" applyBorder="1"/>
    <xf numFmtId="0" fontId="0" fillId="0" borderId="13" xfId="0" applyFill="1" applyBorder="1"/>
    <xf numFmtId="0" fontId="0" fillId="0" borderId="36" xfId="0" applyFill="1" applyBorder="1"/>
    <xf numFmtId="0" fontId="1" fillId="0" borderId="36" xfId="0" applyFont="1" applyFill="1" applyBorder="1"/>
    <xf numFmtId="0" fontId="1" fillId="0" borderId="44" xfId="0" applyFont="1" applyBorder="1"/>
    <xf numFmtId="0" fontId="1" fillId="0" borderId="13" xfId="0" applyFont="1" applyFill="1" applyBorder="1"/>
    <xf numFmtId="0" fontId="1" fillId="0" borderId="35" xfId="0" applyFont="1" applyBorder="1"/>
    <xf numFmtId="0" fontId="1" fillId="0" borderId="45" xfId="0" applyFont="1" applyBorder="1"/>
    <xf numFmtId="0" fontId="1" fillId="0" borderId="59" xfId="0" applyFont="1" applyFill="1" applyBorder="1"/>
    <xf numFmtId="0" fontId="0" fillId="0" borderId="14" xfId="0" applyFont="1" applyBorder="1"/>
    <xf numFmtId="0" fontId="0" fillId="0" borderId="18" xfId="0" applyFont="1" applyBorder="1"/>
    <xf numFmtId="0" fontId="1" fillId="0" borderId="62" xfId="0" applyFont="1" applyBorder="1"/>
    <xf numFmtId="0" fontId="1" fillId="0" borderId="63" xfId="0" applyFont="1" applyBorder="1"/>
    <xf numFmtId="0" fontId="0" fillId="0" borderId="13" xfId="0" applyFont="1" applyFill="1" applyBorder="1"/>
    <xf numFmtId="0" fontId="0" fillId="0" borderId="30" xfId="0" applyFont="1" applyBorder="1"/>
    <xf numFmtId="0" fontId="0" fillId="0" borderId="17" xfId="0" applyFont="1" applyFill="1" applyBorder="1"/>
    <xf numFmtId="0" fontId="0" fillId="0" borderId="31" xfId="0" applyFont="1" applyBorder="1"/>
    <xf numFmtId="0" fontId="1" fillId="0" borderId="43" xfId="0" applyFont="1" applyBorder="1"/>
    <xf numFmtId="0" fontId="1" fillId="0" borderId="9" xfId="0" applyFont="1" applyBorder="1"/>
    <xf numFmtId="0" fontId="0" fillId="0" borderId="17" xfId="0" applyFill="1" applyBorder="1"/>
    <xf numFmtId="0" fontId="0" fillId="0" borderId="64" xfId="0" applyBorder="1"/>
    <xf numFmtId="0" fontId="0" fillId="0" borderId="22" xfId="0" applyBorder="1"/>
    <xf numFmtId="0" fontId="1" fillId="0" borderId="61" xfId="0" applyFont="1" applyBorder="1"/>
    <xf numFmtId="0" fontId="0" fillId="0" borderId="50" xfId="0" applyBorder="1"/>
    <xf numFmtId="0" fontId="0" fillId="0" borderId="60" xfId="0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0" fillId="0" borderId="59" xfId="0" applyFill="1" applyBorder="1"/>
    <xf numFmtId="0" fontId="1" fillId="0" borderId="40" xfId="0" applyFont="1" applyBorder="1" applyAlignment="1"/>
    <xf numFmtId="0" fontId="1" fillId="0" borderId="42" xfId="0" applyFont="1" applyBorder="1" applyAlignment="1"/>
    <xf numFmtId="0" fontId="0" fillId="0" borderId="40" xfId="0" applyBorder="1" applyAlignment="1"/>
    <xf numFmtId="0" fontId="0" fillId="0" borderId="42" xfId="0" applyBorder="1" applyAlignment="1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7" xfId="0" applyBorder="1" applyAlignment="1">
      <alignment horizontal="left"/>
    </xf>
    <xf numFmtId="0" fontId="1" fillId="0" borderId="59" xfId="0" applyFont="1" applyBorder="1" applyAlignment="1">
      <alignment horizontal="left"/>
    </xf>
    <xf numFmtId="0" fontId="1" fillId="0" borderId="65" xfId="0" applyFont="1" applyBorder="1" applyAlignment="1">
      <alignment horizontal="center"/>
    </xf>
    <xf numFmtId="0" fontId="0" fillId="0" borderId="15" xfId="0" applyFont="1" applyBorder="1"/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1" fillId="0" borderId="3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0" xfId="0" applyFont="1" applyBorder="1"/>
    <xf numFmtId="0" fontId="0" fillId="0" borderId="8" xfId="0" applyBorder="1"/>
    <xf numFmtId="0" fontId="0" fillId="0" borderId="27" xfId="0" applyFill="1" applyBorder="1" applyAlignment="1">
      <alignment horizontal="left"/>
    </xf>
    <xf numFmtId="0" fontId="0" fillId="0" borderId="54" xfId="0" applyBorder="1"/>
    <xf numFmtId="0" fontId="0" fillId="0" borderId="56" xfId="0" applyBorder="1"/>
    <xf numFmtId="0" fontId="0" fillId="0" borderId="50" xfId="0" applyFill="1" applyBorder="1"/>
    <xf numFmtId="0" fontId="0" fillId="0" borderId="21" xfId="0" applyBorder="1"/>
    <xf numFmtId="0" fontId="1" fillId="0" borderId="19" xfId="0" applyFont="1" applyBorder="1"/>
    <xf numFmtId="0" fontId="0" fillId="0" borderId="41" xfId="0" applyBorder="1"/>
    <xf numFmtId="0" fontId="0" fillId="0" borderId="42" xfId="0" applyBorder="1"/>
    <xf numFmtId="0" fontId="1" fillId="0" borderId="6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0" fillId="0" borderId="67" xfId="0" applyBorder="1"/>
    <xf numFmtId="0" fontId="0" fillId="0" borderId="61" xfId="0" applyBorder="1"/>
    <xf numFmtId="0" fontId="0" fillId="0" borderId="7" xfId="0" applyBorder="1"/>
    <xf numFmtId="0" fontId="0" fillId="0" borderId="0" xfId="0" applyBorder="1" applyAlignment="1">
      <alignment horizontal="center" textRotation="45" wrapText="1"/>
    </xf>
    <xf numFmtId="0" fontId="1" fillId="0" borderId="57" xfId="0" applyFont="1" applyFill="1" applyBorder="1" applyAlignment="1">
      <alignment horizontal="left"/>
    </xf>
    <xf numFmtId="0" fontId="0" fillId="0" borderId="66" xfId="0" applyBorder="1"/>
    <xf numFmtId="0" fontId="0" fillId="0" borderId="57" xfId="0" applyBorder="1"/>
    <xf numFmtId="0" fontId="0" fillId="0" borderId="0" xfId="0" applyFill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3" xfId="0" applyFont="1" applyBorder="1"/>
    <xf numFmtId="0" fontId="0" fillId="0" borderId="15" xfId="0" applyBorder="1" applyAlignment="1">
      <alignment horizontal="left"/>
    </xf>
    <xf numFmtId="0" fontId="0" fillId="0" borderId="31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" fillId="0" borderId="34" xfId="0" applyFont="1" applyBorder="1"/>
    <xf numFmtId="0" fontId="1" fillId="0" borderId="24" xfId="0" applyFont="1" applyBorder="1"/>
    <xf numFmtId="0" fontId="1" fillId="0" borderId="67" xfId="0" applyFont="1" applyBorder="1"/>
    <xf numFmtId="0" fontId="0" fillId="0" borderId="19" xfId="0" applyBorder="1"/>
    <xf numFmtId="0" fontId="1" fillId="0" borderId="66" xfId="0" applyFont="1" applyBorder="1"/>
    <xf numFmtId="0" fontId="1" fillId="0" borderId="33" xfId="0" applyFont="1" applyBorder="1"/>
    <xf numFmtId="0" fontId="0" fillId="0" borderId="11" xfId="0" applyBorder="1"/>
    <xf numFmtId="0" fontId="0" fillId="0" borderId="27" xfId="0" applyBorder="1"/>
    <xf numFmtId="0" fontId="1" fillId="0" borderId="10" xfId="0" applyFont="1" applyBorder="1"/>
    <xf numFmtId="0" fontId="0" fillId="0" borderId="0" xfId="0" applyBorder="1" applyAlignment="1"/>
    <xf numFmtId="0" fontId="0" fillId="0" borderId="25" xfId="0" applyFont="1" applyBorder="1"/>
    <xf numFmtId="0" fontId="0" fillId="0" borderId="45" xfId="0" applyBorder="1"/>
    <xf numFmtId="0" fontId="0" fillId="0" borderId="35" xfId="0" applyBorder="1"/>
    <xf numFmtId="0" fontId="0" fillId="0" borderId="6" xfId="0" applyFont="1" applyBorder="1"/>
    <xf numFmtId="0" fontId="0" fillId="0" borderId="53" xfId="0" applyFont="1" applyBorder="1"/>
    <xf numFmtId="0" fontId="0" fillId="0" borderId="55" xfId="0" applyBorder="1"/>
    <xf numFmtId="0" fontId="0" fillId="0" borderId="53" xfId="0" applyBorder="1"/>
    <xf numFmtId="0" fontId="0" fillId="0" borderId="38" xfId="0" applyBorder="1"/>
    <xf numFmtId="0" fontId="1" fillId="0" borderId="58" xfId="0" applyFont="1" applyBorder="1"/>
    <xf numFmtId="0" fontId="1" fillId="0" borderId="11" xfId="0" applyFont="1" applyBorder="1"/>
    <xf numFmtId="0" fontId="1" fillId="0" borderId="25" xfId="0" applyFont="1" applyBorder="1"/>
    <xf numFmtId="0" fontId="0" fillId="0" borderId="69" xfId="0" applyBorder="1"/>
    <xf numFmtId="0" fontId="1" fillId="0" borderId="70" xfId="0" applyFont="1" applyBorder="1"/>
    <xf numFmtId="0" fontId="1" fillId="0" borderId="56" xfId="0" applyFont="1" applyFill="1" applyBorder="1"/>
    <xf numFmtId="0" fontId="1" fillId="0" borderId="71" xfId="0" applyFont="1" applyBorder="1"/>
    <xf numFmtId="0" fontId="1" fillId="0" borderId="72" xfId="0" applyFont="1" applyBorder="1"/>
    <xf numFmtId="0" fontId="0" fillId="0" borderId="0" xfId="0" applyFont="1"/>
    <xf numFmtId="0" fontId="0" fillId="0" borderId="3" xfId="0" applyFont="1" applyBorder="1"/>
    <xf numFmtId="0" fontId="0" fillId="0" borderId="39" xfId="0" applyFill="1" applyBorder="1"/>
    <xf numFmtId="0" fontId="1" fillId="0" borderId="73" xfId="0" applyFont="1" applyBorder="1"/>
    <xf numFmtId="0" fontId="1" fillId="0" borderId="42" xfId="0" applyFont="1" applyBorder="1"/>
    <xf numFmtId="0" fontId="1" fillId="0" borderId="75" xfId="0" applyFont="1" applyBorder="1"/>
    <xf numFmtId="0" fontId="1" fillId="0" borderId="76" xfId="0" applyFont="1" applyBorder="1"/>
    <xf numFmtId="0" fontId="1" fillId="0" borderId="39" xfId="0" applyFont="1" applyBorder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17" fontId="0" fillId="0" borderId="27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0" fillId="0" borderId="40" xfId="0" applyBorder="1" applyAlignment="1">
      <alignment horizontal="center" textRotation="45"/>
    </xf>
    <xf numFmtId="0" fontId="0" fillId="0" borderId="41" xfId="0" applyBorder="1" applyAlignment="1">
      <alignment horizontal="center" textRotation="45"/>
    </xf>
    <xf numFmtId="0" fontId="0" fillId="0" borderId="42" xfId="0" applyBorder="1" applyAlignment="1">
      <alignment horizontal="center" textRotation="45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3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9" xfId="0" applyBorder="1" applyAlignment="1">
      <alignment horizontal="center" textRotation="45"/>
    </xf>
    <xf numFmtId="0" fontId="0" fillId="0" borderId="10" xfId="0" applyBorder="1" applyAlignment="1">
      <alignment horizontal="center" textRotation="45"/>
    </xf>
    <xf numFmtId="0" fontId="0" fillId="0" borderId="12" xfId="0" applyBorder="1" applyAlignment="1">
      <alignment horizontal="center" textRotation="45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8" xfId="0" applyBorder="1" applyAlignment="1">
      <alignment horizontal="center"/>
    </xf>
    <xf numFmtId="14" fontId="1" fillId="0" borderId="27" xfId="0" applyNumberFormat="1" applyFont="1" applyBorder="1" applyAlignment="1">
      <alignment horizontal="center"/>
    </xf>
    <xf numFmtId="14" fontId="1" fillId="0" borderId="28" xfId="0" applyNumberFormat="1" applyFont="1" applyBorder="1" applyAlignment="1">
      <alignment horizontal="center"/>
    </xf>
    <xf numFmtId="14" fontId="1" fillId="0" borderId="29" xfId="0" applyNumberFormat="1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40" xfId="0" applyBorder="1" applyAlignment="1">
      <alignment horizontal="center" textRotation="45" wrapText="1"/>
    </xf>
    <xf numFmtId="0" fontId="0" fillId="0" borderId="41" xfId="0" applyBorder="1" applyAlignment="1">
      <alignment horizontal="center" textRotation="45" wrapText="1"/>
    </xf>
    <xf numFmtId="0" fontId="0" fillId="0" borderId="42" xfId="0" applyBorder="1" applyAlignment="1">
      <alignment horizontal="center" textRotation="45" wrapText="1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40" xfId="0" applyBorder="1"/>
    <xf numFmtId="0" fontId="0" fillId="0" borderId="28" xfId="0" applyBorder="1" applyAlignment="1"/>
    <xf numFmtId="0" fontId="1" fillId="0" borderId="41" xfId="0" applyFont="1" applyBorder="1"/>
    <xf numFmtId="0" fontId="1" fillId="0" borderId="8" xfId="0" applyFont="1" applyBorder="1"/>
    <xf numFmtId="0" fontId="0" fillId="0" borderId="4" xfId="0" applyBorder="1" applyAlignment="1">
      <alignment horizontal="center"/>
    </xf>
    <xf numFmtId="0" fontId="1" fillId="0" borderId="38" xfId="0" applyFont="1" applyBorder="1"/>
    <xf numFmtId="0" fontId="1" fillId="0" borderId="74" xfId="0" applyFont="1" applyBorder="1"/>
    <xf numFmtId="0" fontId="1" fillId="0" borderId="70" xfId="0" applyFont="1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1" fillId="0" borderId="69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113</xdr:row>
      <xdr:rowOff>0</xdr:rowOff>
    </xdr:from>
    <xdr:to>
      <xdr:col>6</xdr:col>
      <xdr:colOff>628650</xdr:colOff>
      <xdr:row>120</xdr:row>
      <xdr:rowOff>114300</xdr:rowOff>
    </xdr:to>
    <xdr:cxnSp macro="">
      <xdr:nvCxnSpPr>
        <xdr:cNvPr id="3" name="Gerade Verbindung mit Pfeil 2"/>
        <xdr:cNvCxnSpPr/>
      </xdr:nvCxnSpPr>
      <xdr:spPr>
        <a:xfrm>
          <a:off x="3343275" y="21593175"/>
          <a:ext cx="2543175" cy="2219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119</xdr:row>
      <xdr:rowOff>95250</xdr:rowOff>
    </xdr:from>
    <xdr:to>
      <xdr:col>6</xdr:col>
      <xdr:colOff>533400</xdr:colOff>
      <xdr:row>119</xdr:row>
      <xdr:rowOff>104775</xdr:rowOff>
    </xdr:to>
    <xdr:cxnSp macro="">
      <xdr:nvCxnSpPr>
        <xdr:cNvPr id="5" name="Gerade Verbindung mit Pfeil 4"/>
        <xdr:cNvCxnSpPr/>
      </xdr:nvCxnSpPr>
      <xdr:spPr>
        <a:xfrm>
          <a:off x="3829050" y="23612475"/>
          <a:ext cx="19621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118</xdr:row>
      <xdr:rowOff>114300</xdr:rowOff>
    </xdr:from>
    <xdr:to>
      <xdr:col>8</xdr:col>
      <xdr:colOff>219075</xdr:colOff>
      <xdr:row>119</xdr:row>
      <xdr:rowOff>85725</xdr:rowOff>
    </xdr:to>
    <xdr:cxnSp macro="">
      <xdr:nvCxnSpPr>
        <xdr:cNvPr id="7" name="Gerade Verbindung mit Pfeil 6"/>
        <xdr:cNvCxnSpPr/>
      </xdr:nvCxnSpPr>
      <xdr:spPr>
        <a:xfrm flipV="1">
          <a:off x="6391275" y="23431500"/>
          <a:ext cx="60960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248</xdr:row>
      <xdr:rowOff>114300</xdr:rowOff>
    </xdr:from>
    <xdr:to>
      <xdr:col>2</xdr:col>
      <xdr:colOff>171450</xdr:colOff>
      <xdr:row>252</xdr:row>
      <xdr:rowOff>66675</xdr:rowOff>
    </xdr:to>
    <xdr:cxnSp macro="">
      <xdr:nvCxnSpPr>
        <xdr:cNvPr id="4" name="Gerade Verbindung mit Pfeil 3"/>
        <xdr:cNvCxnSpPr/>
      </xdr:nvCxnSpPr>
      <xdr:spPr>
        <a:xfrm>
          <a:off x="1733550" y="47777400"/>
          <a:ext cx="209550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476251</xdr:colOff>
      <xdr:row>252</xdr:row>
      <xdr:rowOff>123825</xdr:rowOff>
    </xdr:from>
    <xdr:to>
      <xdr:col>5</xdr:col>
      <xdr:colOff>552450</xdr:colOff>
      <xdr:row>255</xdr:row>
      <xdr:rowOff>85725</xdr:rowOff>
    </xdr:to>
    <xdr:cxnSp macro="">
      <xdr:nvCxnSpPr>
        <xdr:cNvPr id="8" name="Gerade Verbindung mit Pfeil 7"/>
        <xdr:cNvCxnSpPr/>
      </xdr:nvCxnSpPr>
      <xdr:spPr>
        <a:xfrm flipH="1" flipV="1">
          <a:off x="2247901" y="48567975"/>
          <a:ext cx="2800349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247</xdr:row>
      <xdr:rowOff>104775</xdr:rowOff>
    </xdr:from>
    <xdr:to>
      <xdr:col>1</xdr:col>
      <xdr:colOff>561975</xdr:colOff>
      <xdr:row>251</xdr:row>
      <xdr:rowOff>47625</xdr:rowOff>
    </xdr:to>
    <xdr:cxnSp macro="">
      <xdr:nvCxnSpPr>
        <xdr:cNvPr id="12" name="Gerade Verbindung mit Pfeil 11"/>
        <xdr:cNvCxnSpPr/>
      </xdr:nvCxnSpPr>
      <xdr:spPr>
        <a:xfrm>
          <a:off x="1343025" y="47577375"/>
          <a:ext cx="2286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247</xdr:row>
      <xdr:rowOff>95250</xdr:rowOff>
    </xdr:from>
    <xdr:to>
      <xdr:col>2</xdr:col>
      <xdr:colOff>742950</xdr:colOff>
      <xdr:row>251</xdr:row>
      <xdr:rowOff>76200</xdr:rowOff>
    </xdr:to>
    <xdr:cxnSp macro="">
      <xdr:nvCxnSpPr>
        <xdr:cNvPr id="14" name="Gerade Verbindung mit Pfeil 13"/>
        <xdr:cNvCxnSpPr/>
      </xdr:nvCxnSpPr>
      <xdr:spPr>
        <a:xfrm>
          <a:off x="2314575" y="47567850"/>
          <a:ext cx="200025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495300</xdr:colOff>
      <xdr:row>251</xdr:row>
      <xdr:rowOff>142875</xdr:rowOff>
    </xdr:from>
    <xdr:to>
      <xdr:col>5</xdr:col>
      <xdr:colOff>333375</xdr:colOff>
      <xdr:row>254</xdr:row>
      <xdr:rowOff>76200</xdr:rowOff>
    </xdr:to>
    <xdr:cxnSp macro="">
      <xdr:nvCxnSpPr>
        <xdr:cNvPr id="16" name="Gerade Verbindung mit Pfeil 15"/>
        <xdr:cNvCxnSpPr/>
      </xdr:nvCxnSpPr>
      <xdr:spPr>
        <a:xfrm flipH="1" flipV="1">
          <a:off x="1504950" y="48396525"/>
          <a:ext cx="3324225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838200</xdr:colOff>
      <xdr:row>251</xdr:row>
      <xdr:rowOff>152400</xdr:rowOff>
    </xdr:from>
    <xdr:to>
      <xdr:col>6</xdr:col>
      <xdr:colOff>238126</xdr:colOff>
      <xdr:row>254</xdr:row>
      <xdr:rowOff>66675</xdr:rowOff>
    </xdr:to>
    <xdr:cxnSp macro="">
      <xdr:nvCxnSpPr>
        <xdr:cNvPr id="18" name="Gerade Verbindung mit Pfeil 17"/>
        <xdr:cNvCxnSpPr/>
      </xdr:nvCxnSpPr>
      <xdr:spPr>
        <a:xfrm flipH="1" flipV="1">
          <a:off x="2609850" y="48406050"/>
          <a:ext cx="2914651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790575</xdr:colOff>
      <xdr:row>273</xdr:row>
      <xdr:rowOff>104776</xdr:rowOff>
    </xdr:from>
    <xdr:to>
      <xdr:col>8</xdr:col>
      <xdr:colOff>361950</xdr:colOff>
      <xdr:row>284</xdr:row>
      <xdr:rowOff>104775</xdr:rowOff>
    </xdr:to>
    <xdr:cxnSp macro="">
      <xdr:nvCxnSpPr>
        <xdr:cNvPr id="6" name="Gerade Verbindung mit Pfeil 5"/>
        <xdr:cNvCxnSpPr/>
      </xdr:nvCxnSpPr>
      <xdr:spPr>
        <a:xfrm flipV="1">
          <a:off x="2562225" y="52692301"/>
          <a:ext cx="5334000" cy="21621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819150</xdr:colOff>
      <xdr:row>285</xdr:row>
      <xdr:rowOff>123825</xdr:rowOff>
    </xdr:from>
    <xdr:to>
      <xdr:col>6</xdr:col>
      <xdr:colOff>247650</xdr:colOff>
      <xdr:row>317</xdr:row>
      <xdr:rowOff>85725</xdr:rowOff>
    </xdr:to>
    <xdr:cxnSp macro="">
      <xdr:nvCxnSpPr>
        <xdr:cNvPr id="13" name="Gerade Verbindung mit Pfeil 12"/>
        <xdr:cNvCxnSpPr/>
      </xdr:nvCxnSpPr>
      <xdr:spPr>
        <a:xfrm>
          <a:off x="2590800" y="55064025"/>
          <a:ext cx="3667125" cy="6210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275</xdr:row>
      <xdr:rowOff>180975</xdr:rowOff>
    </xdr:from>
    <xdr:to>
      <xdr:col>2</xdr:col>
      <xdr:colOff>190500</xdr:colOff>
      <xdr:row>288</xdr:row>
      <xdr:rowOff>95251</xdr:rowOff>
    </xdr:to>
    <xdr:cxnSp macro="">
      <xdr:nvCxnSpPr>
        <xdr:cNvPr id="20" name="Gerade Verbindung mit Pfeil 19"/>
        <xdr:cNvCxnSpPr/>
      </xdr:nvCxnSpPr>
      <xdr:spPr>
        <a:xfrm flipV="1">
          <a:off x="1905000" y="53168550"/>
          <a:ext cx="57150" cy="24574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273</xdr:row>
      <xdr:rowOff>9526</xdr:rowOff>
    </xdr:from>
    <xdr:to>
      <xdr:col>3</xdr:col>
      <xdr:colOff>352425</xdr:colOff>
      <xdr:row>278</xdr:row>
      <xdr:rowOff>152401</xdr:rowOff>
    </xdr:to>
    <xdr:sp macro="" textlink="">
      <xdr:nvSpPr>
        <xdr:cNvPr id="23" name="Geschweifte Klammer rechts 22"/>
        <xdr:cNvSpPr/>
      </xdr:nvSpPr>
      <xdr:spPr>
        <a:xfrm>
          <a:off x="3057525" y="52597051"/>
          <a:ext cx="266700" cy="11239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476250</xdr:colOff>
      <xdr:row>275</xdr:row>
      <xdr:rowOff>161925</xdr:rowOff>
    </xdr:from>
    <xdr:to>
      <xdr:col>3</xdr:col>
      <xdr:colOff>466725</xdr:colOff>
      <xdr:row>286</xdr:row>
      <xdr:rowOff>95250</xdr:rowOff>
    </xdr:to>
    <xdr:cxnSp macro="">
      <xdr:nvCxnSpPr>
        <xdr:cNvPr id="27" name="Gerade Verbindung mit Pfeil 26"/>
        <xdr:cNvCxnSpPr/>
      </xdr:nvCxnSpPr>
      <xdr:spPr>
        <a:xfrm flipV="1">
          <a:off x="2247900" y="53149500"/>
          <a:ext cx="1190625" cy="2085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269</xdr:row>
      <xdr:rowOff>123825</xdr:rowOff>
    </xdr:from>
    <xdr:to>
      <xdr:col>4</xdr:col>
      <xdr:colOff>152400</xdr:colOff>
      <xdr:row>279</xdr:row>
      <xdr:rowOff>57151</xdr:rowOff>
    </xdr:to>
    <xdr:sp macro="" textlink="">
      <xdr:nvSpPr>
        <xdr:cNvPr id="29" name="Geschweifte Klammer rechts 28"/>
        <xdr:cNvSpPr/>
      </xdr:nvSpPr>
      <xdr:spPr>
        <a:xfrm>
          <a:off x="1885950" y="51930300"/>
          <a:ext cx="2000250" cy="189547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400050</xdr:colOff>
      <xdr:row>274</xdr:row>
      <xdr:rowOff>104775</xdr:rowOff>
    </xdr:from>
    <xdr:to>
      <xdr:col>4</xdr:col>
      <xdr:colOff>333375</xdr:colOff>
      <xdr:row>287</xdr:row>
      <xdr:rowOff>123827</xdr:rowOff>
    </xdr:to>
    <xdr:cxnSp macro="">
      <xdr:nvCxnSpPr>
        <xdr:cNvPr id="30" name="Gerade Verbindung mit Pfeil 29"/>
        <xdr:cNvCxnSpPr/>
      </xdr:nvCxnSpPr>
      <xdr:spPr>
        <a:xfrm flipV="1">
          <a:off x="2171700" y="52892325"/>
          <a:ext cx="1895475" cy="25717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704850</xdr:colOff>
      <xdr:row>312</xdr:row>
      <xdr:rowOff>123825</xdr:rowOff>
    </xdr:from>
    <xdr:to>
      <xdr:col>2</xdr:col>
      <xdr:colOff>895351</xdr:colOff>
      <xdr:row>318</xdr:row>
      <xdr:rowOff>104776</xdr:rowOff>
    </xdr:to>
    <xdr:cxnSp macro="">
      <xdr:nvCxnSpPr>
        <xdr:cNvPr id="17" name="Gerade Verbindung mit Pfeil 16"/>
        <xdr:cNvCxnSpPr/>
      </xdr:nvCxnSpPr>
      <xdr:spPr>
        <a:xfrm flipH="1" flipV="1">
          <a:off x="2476500" y="60350400"/>
          <a:ext cx="190501" cy="13335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647700</xdr:colOff>
      <xdr:row>318</xdr:row>
      <xdr:rowOff>85725</xdr:rowOff>
    </xdr:from>
    <xdr:to>
      <xdr:col>2</xdr:col>
      <xdr:colOff>885825</xdr:colOff>
      <xdr:row>320</xdr:row>
      <xdr:rowOff>171450</xdr:rowOff>
    </xdr:to>
    <xdr:cxnSp macro="">
      <xdr:nvCxnSpPr>
        <xdr:cNvPr id="22" name="Gerade Verbindung mit Pfeil 21"/>
        <xdr:cNvCxnSpPr/>
      </xdr:nvCxnSpPr>
      <xdr:spPr>
        <a:xfrm flipV="1">
          <a:off x="2419350" y="61664850"/>
          <a:ext cx="238125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319</xdr:row>
      <xdr:rowOff>104776</xdr:rowOff>
    </xdr:from>
    <xdr:to>
      <xdr:col>2</xdr:col>
      <xdr:colOff>371475</xdr:colOff>
      <xdr:row>321</xdr:row>
      <xdr:rowOff>85725</xdr:rowOff>
    </xdr:to>
    <xdr:cxnSp macro="">
      <xdr:nvCxnSpPr>
        <xdr:cNvPr id="25" name="Gerade Verbindung mit Pfeil 24"/>
        <xdr:cNvCxnSpPr/>
      </xdr:nvCxnSpPr>
      <xdr:spPr>
        <a:xfrm flipV="1">
          <a:off x="1952625" y="61883926"/>
          <a:ext cx="190500" cy="3619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312</xdr:row>
      <xdr:rowOff>123825</xdr:rowOff>
    </xdr:from>
    <xdr:to>
      <xdr:col>2</xdr:col>
      <xdr:colOff>581025</xdr:colOff>
      <xdr:row>319</xdr:row>
      <xdr:rowOff>104775</xdr:rowOff>
    </xdr:to>
    <xdr:cxnSp macro="">
      <xdr:nvCxnSpPr>
        <xdr:cNvPr id="31" name="Gerade Verbindung mit Pfeil 30"/>
        <xdr:cNvCxnSpPr/>
      </xdr:nvCxnSpPr>
      <xdr:spPr>
        <a:xfrm flipV="1">
          <a:off x="2152650" y="60350400"/>
          <a:ext cx="200025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322</xdr:row>
      <xdr:rowOff>66675</xdr:rowOff>
    </xdr:from>
    <xdr:to>
      <xdr:col>6</xdr:col>
      <xdr:colOff>571500</xdr:colOff>
      <xdr:row>359</xdr:row>
      <xdr:rowOff>95250</xdr:rowOff>
    </xdr:to>
    <xdr:cxnSp macro="">
      <xdr:nvCxnSpPr>
        <xdr:cNvPr id="35" name="Gerade Verbindung mit Pfeil 34"/>
        <xdr:cNvCxnSpPr/>
      </xdr:nvCxnSpPr>
      <xdr:spPr>
        <a:xfrm>
          <a:off x="6276975" y="62417325"/>
          <a:ext cx="304800" cy="7448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354</xdr:row>
      <xdr:rowOff>190500</xdr:rowOff>
    </xdr:from>
    <xdr:to>
      <xdr:col>8</xdr:col>
      <xdr:colOff>276225</xdr:colOff>
      <xdr:row>359</xdr:row>
      <xdr:rowOff>171450</xdr:rowOff>
    </xdr:to>
    <xdr:sp macro="" textlink="">
      <xdr:nvSpPr>
        <xdr:cNvPr id="37" name="Geschweifte Klammer rechts 36"/>
        <xdr:cNvSpPr/>
      </xdr:nvSpPr>
      <xdr:spPr>
        <a:xfrm>
          <a:off x="7610475" y="69199125"/>
          <a:ext cx="200025" cy="7524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790576</xdr:colOff>
      <xdr:row>287</xdr:row>
      <xdr:rowOff>123827</xdr:rowOff>
    </xdr:from>
    <xdr:to>
      <xdr:col>8</xdr:col>
      <xdr:colOff>276225</xdr:colOff>
      <xdr:row>357</xdr:row>
      <xdr:rowOff>176213</xdr:rowOff>
    </xdr:to>
    <xdr:cxnSp macro="">
      <xdr:nvCxnSpPr>
        <xdr:cNvPr id="39" name="Gerade Verbindung mit Pfeil 38"/>
        <xdr:cNvCxnSpPr>
          <a:stCxn id="37" idx="1"/>
        </xdr:cNvCxnSpPr>
      </xdr:nvCxnSpPr>
      <xdr:spPr>
        <a:xfrm flipH="1" flipV="1">
          <a:off x="4524376" y="55473602"/>
          <a:ext cx="3286124" cy="137112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962025</xdr:colOff>
      <xdr:row>311</xdr:row>
      <xdr:rowOff>114300</xdr:rowOff>
    </xdr:from>
    <xdr:to>
      <xdr:col>6</xdr:col>
      <xdr:colOff>285750</xdr:colOff>
      <xdr:row>353</xdr:row>
      <xdr:rowOff>142875</xdr:rowOff>
    </xdr:to>
    <xdr:cxnSp macro="">
      <xdr:nvCxnSpPr>
        <xdr:cNvPr id="44" name="Gerade Verbindung mit Pfeil 43"/>
        <xdr:cNvCxnSpPr/>
      </xdr:nvCxnSpPr>
      <xdr:spPr>
        <a:xfrm>
          <a:off x="4695825" y="60159900"/>
          <a:ext cx="1600200" cy="840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311</xdr:row>
      <xdr:rowOff>85725</xdr:rowOff>
    </xdr:from>
    <xdr:to>
      <xdr:col>7</xdr:col>
      <xdr:colOff>85725</xdr:colOff>
      <xdr:row>348</xdr:row>
      <xdr:rowOff>161925</xdr:rowOff>
    </xdr:to>
    <xdr:cxnSp macro="">
      <xdr:nvCxnSpPr>
        <xdr:cNvPr id="49" name="Gerade Verbindung mit Pfeil 48"/>
        <xdr:cNvCxnSpPr>
          <a:endCxn id="50" idx="1"/>
        </xdr:cNvCxnSpPr>
      </xdr:nvCxnSpPr>
      <xdr:spPr>
        <a:xfrm>
          <a:off x="5372100" y="60131325"/>
          <a:ext cx="1485900" cy="7496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514350</xdr:colOff>
      <xdr:row>348</xdr:row>
      <xdr:rowOff>161925</xdr:rowOff>
    </xdr:from>
    <xdr:to>
      <xdr:col>7</xdr:col>
      <xdr:colOff>419100</xdr:colOff>
      <xdr:row>350</xdr:row>
      <xdr:rowOff>85725</xdr:rowOff>
    </xdr:to>
    <xdr:sp macro="" textlink="">
      <xdr:nvSpPr>
        <xdr:cNvPr id="50" name="Geschweifte Klammer links 49"/>
        <xdr:cNvSpPr/>
      </xdr:nvSpPr>
      <xdr:spPr>
        <a:xfrm rot="5400000">
          <a:off x="6705600" y="67446525"/>
          <a:ext cx="304800" cy="6667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871537</xdr:colOff>
      <xdr:row>321</xdr:row>
      <xdr:rowOff>185739</xdr:rowOff>
    </xdr:from>
    <xdr:to>
      <xdr:col>3</xdr:col>
      <xdr:colOff>652462</xdr:colOff>
      <xdr:row>323</xdr:row>
      <xdr:rowOff>109539</xdr:rowOff>
    </xdr:to>
    <xdr:sp macro="" textlink="">
      <xdr:nvSpPr>
        <xdr:cNvPr id="9" name="Geschweifte Klammer rechts 8"/>
        <xdr:cNvSpPr/>
      </xdr:nvSpPr>
      <xdr:spPr>
        <a:xfrm rot="5400000">
          <a:off x="2971800" y="62017276"/>
          <a:ext cx="323850" cy="981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161925</xdr:colOff>
      <xdr:row>323</xdr:row>
      <xdr:rowOff>109539</xdr:rowOff>
    </xdr:from>
    <xdr:to>
      <xdr:col>8</xdr:col>
      <xdr:colOff>257175</xdr:colOff>
      <xdr:row>349</xdr:row>
      <xdr:rowOff>123825</xdr:rowOff>
    </xdr:to>
    <xdr:cxnSp macro="">
      <xdr:nvCxnSpPr>
        <xdr:cNvPr id="11" name="Gerade Verbindung mit Pfeil 10"/>
        <xdr:cNvCxnSpPr>
          <a:stCxn id="9" idx="1"/>
        </xdr:cNvCxnSpPr>
      </xdr:nvCxnSpPr>
      <xdr:spPr>
        <a:xfrm>
          <a:off x="3133725" y="62669739"/>
          <a:ext cx="4657725" cy="51101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876300</xdr:colOff>
      <xdr:row>320</xdr:row>
      <xdr:rowOff>123826</xdr:rowOff>
    </xdr:from>
    <xdr:to>
      <xdr:col>3</xdr:col>
      <xdr:colOff>657225</xdr:colOff>
      <xdr:row>322</xdr:row>
      <xdr:rowOff>57151</xdr:rowOff>
    </xdr:to>
    <xdr:sp macro="" textlink="">
      <xdr:nvSpPr>
        <xdr:cNvPr id="33" name="Geschweifte Klammer rechts 32"/>
        <xdr:cNvSpPr/>
      </xdr:nvSpPr>
      <xdr:spPr>
        <a:xfrm rot="5400000">
          <a:off x="2976563" y="61764863"/>
          <a:ext cx="323850" cy="981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157163</xdr:colOff>
      <xdr:row>322</xdr:row>
      <xdr:rowOff>57151</xdr:rowOff>
    </xdr:from>
    <xdr:to>
      <xdr:col>3</xdr:col>
      <xdr:colOff>676275</xdr:colOff>
      <xdr:row>331</xdr:row>
      <xdr:rowOff>190500</xdr:rowOff>
    </xdr:to>
    <xdr:cxnSp macro="">
      <xdr:nvCxnSpPr>
        <xdr:cNvPr id="21" name="Gerade Verbindung mit Pfeil 20"/>
        <xdr:cNvCxnSpPr/>
      </xdr:nvCxnSpPr>
      <xdr:spPr>
        <a:xfrm>
          <a:off x="3128963" y="62417326"/>
          <a:ext cx="519112" cy="1914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438150</xdr:colOff>
      <xdr:row>332</xdr:row>
      <xdr:rowOff>85725</xdr:rowOff>
    </xdr:from>
    <xdr:to>
      <xdr:col>2</xdr:col>
      <xdr:colOff>542925</xdr:colOff>
      <xdr:row>333</xdr:row>
      <xdr:rowOff>123825</xdr:rowOff>
    </xdr:to>
    <xdr:sp macro="" textlink="">
      <xdr:nvSpPr>
        <xdr:cNvPr id="24" name="Geschweifte Klammer rechts 23"/>
        <xdr:cNvSpPr/>
      </xdr:nvSpPr>
      <xdr:spPr>
        <a:xfrm>
          <a:off x="2209800" y="64427100"/>
          <a:ext cx="104775" cy="2286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561975</xdr:colOff>
      <xdr:row>333</xdr:row>
      <xdr:rowOff>38100</xdr:rowOff>
    </xdr:from>
    <xdr:to>
      <xdr:col>3</xdr:col>
      <xdr:colOff>219075</xdr:colOff>
      <xdr:row>333</xdr:row>
      <xdr:rowOff>123825</xdr:rowOff>
    </xdr:to>
    <xdr:cxnSp macro="">
      <xdr:nvCxnSpPr>
        <xdr:cNvPr id="28" name="Gerade Verbindung mit Pfeil 27"/>
        <xdr:cNvCxnSpPr/>
      </xdr:nvCxnSpPr>
      <xdr:spPr>
        <a:xfrm>
          <a:off x="2333625" y="64379475"/>
          <a:ext cx="8572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372</xdr:row>
      <xdr:rowOff>133350</xdr:rowOff>
    </xdr:from>
    <xdr:to>
      <xdr:col>6</xdr:col>
      <xdr:colOff>123825</xdr:colOff>
      <xdr:row>393</xdr:row>
      <xdr:rowOff>152400</xdr:rowOff>
    </xdr:to>
    <xdr:cxnSp macro="">
      <xdr:nvCxnSpPr>
        <xdr:cNvPr id="38" name="Gerade Verbindung mit Pfeil 37"/>
        <xdr:cNvCxnSpPr/>
      </xdr:nvCxnSpPr>
      <xdr:spPr>
        <a:xfrm>
          <a:off x="5438775" y="71847075"/>
          <a:ext cx="695325" cy="408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762001</xdr:colOff>
      <xdr:row>372</xdr:row>
      <xdr:rowOff>95250</xdr:rowOff>
    </xdr:from>
    <xdr:to>
      <xdr:col>4</xdr:col>
      <xdr:colOff>885825</xdr:colOff>
      <xdr:row>396</xdr:row>
      <xdr:rowOff>85725</xdr:rowOff>
    </xdr:to>
    <xdr:cxnSp macro="">
      <xdr:nvCxnSpPr>
        <xdr:cNvPr id="56" name="Gerade Verbindung mit Pfeil 55"/>
        <xdr:cNvCxnSpPr/>
      </xdr:nvCxnSpPr>
      <xdr:spPr>
        <a:xfrm flipH="1">
          <a:off x="4495801" y="71828025"/>
          <a:ext cx="123824" cy="4667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1352550</xdr:colOff>
      <xdr:row>383</xdr:row>
      <xdr:rowOff>95250</xdr:rowOff>
    </xdr:from>
    <xdr:to>
      <xdr:col>6</xdr:col>
      <xdr:colOff>276225</xdr:colOff>
      <xdr:row>402</xdr:row>
      <xdr:rowOff>104775</xdr:rowOff>
    </xdr:to>
    <xdr:cxnSp macro="">
      <xdr:nvCxnSpPr>
        <xdr:cNvPr id="60" name="Gerade Verbindung mit Pfeil 59"/>
        <xdr:cNvCxnSpPr/>
      </xdr:nvCxnSpPr>
      <xdr:spPr>
        <a:xfrm flipH="1">
          <a:off x="5086350" y="73942575"/>
          <a:ext cx="1200150" cy="3733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477</xdr:row>
      <xdr:rowOff>85725</xdr:rowOff>
    </xdr:from>
    <xdr:to>
      <xdr:col>9</xdr:col>
      <xdr:colOff>533401</xdr:colOff>
      <xdr:row>483</xdr:row>
      <xdr:rowOff>142875</xdr:rowOff>
    </xdr:to>
    <xdr:cxnSp macro="">
      <xdr:nvCxnSpPr>
        <xdr:cNvPr id="10" name="Gerade Verbindung mit Pfeil 9"/>
        <xdr:cNvCxnSpPr/>
      </xdr:nvCxnSpPr>
      <xdr:spPr>
        <a:xfrm>
          <a:off x="8829675" y="92621100"/>
          <a:ext cx="1" cy="12287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92"/>
  <sheetViews>
    <sheetView tabSelected="1" topLeftCell="A452" workbookViewId="0">
      <selection activeCell="K468" sqref="K468"/>
    </sheetView>
  </sheetViews>
  <sheetFormatPr baseColWidth="10" defaultRowHeight="15" x14ac:dyDescent="0.25"/>
  <cols>
    <col min="1" max="1" width="15.140625" style="72" bestFit="1" customWidth="1"/>
    <col min="3" max="3" width="18" customWidth="1"/>
    <col min="5" max="5" width="22.28515625" bestFit="1" customWidth="1"/>
    <col min="6" max="6" width="11.85546875" customWidth="1"/>
  </cols>
  <sheetData>
    <row r="1" spans="1:13" x14ac:dyDescent="0.25">
      <c r="A1" s="135"/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/>
      <c r="L1" s="17" t="s">
        <v>9</v>
      </c>
    </row>
    <row r="2" spans="1:13" x14ac:dyDescent="0.25">
      <c r="A2" s="136" t="s">
        <v>10</v>
      </c>
      <c r="B2" s="61"/>
      <c r="C2" s="61"/>
      <c r="D2" s="61"/>
      <c r="E2" s="61">
        <v>100000</v>
      </c>
      <c r="F2" s="61">
        <v>70000</v>
      </c>
      <c r="G2" s="61">
        <v>200000</v>
      </c>
      <c r="H2" s="61"/>
      <c r="I2" s="61"/>
      <c r="J2" s="61"/>
      <c r="K2" s="62">
        <f t="shared" ref="K2:K7" si="0">SUM(B2:J2)</f>
        <v>370000</v>
      </c>
      <c r="L2" s="11">
        <v>4</v>
      </c>
    </row>
    <row r="3" spans="1:13" x14ac:dyDescent="0.25">
      <c r="A3" s="136" t="s">
        <v>11</v>
      </c>
      <c r="B3" s="61">
        <f>140000/35*$L2</f>
        <v>16000</v>
      </c>
      <c r="C3" s="61">
        <f>140000/35*$L3</f>
        <v>2000</v>
      </c>
      <c r="D3" s="61">
        <f>140000/35*$L4</f>
        <v>10000</v>
      </c>
      <c r="E3" s="61">
        <f>140000/35*$L5</f>
        <v>12000</v>
      </c>
      <c r="F3" s="61">
        <f>140000/35*$L6</f>
        <v>40000</v>
      </c>
      <c r="G3" s="61">
        <f>140000/35*$L7</f>
        <v>48000</v>
      </c>
      <c r="H3" s="61">
        <f>140000/35*$L8</f>
        <v>4000</v>
      </c>
      <c r="I3" s="61">
        <f>140000/35*$L9</f>
        <v>6000</v>
      </c>
      <c r="J3" s="61">
        <f>140000/35*$L10</f>
        <v>2000</v>
      </c>
      <c r="K3" s="62">
        <f t="shared" si="0"/>
        <v>140000</v>
      </c>
      <c r="L3" s="11">
        <v>0.5</v>
      </c>
    </row>
    <row r="4" spans="1:13" x14ac:dyDescent="0.25">
      <c r="A4" s="136" t="s">
        <v>12</v>
      </c>
      <c r="B4" s="61"/>
      <c r="C4" s="61"/>
      <c r="D4" s="61"/>
      <c r="E4" s="61"/>
      <c r="F4" s="61"/>
      <c r="G4" s="61"/>
      <c r="H4" s="61">
        <v>10000</v>
      </c>
      <c r="I4" s="61">
        <v>40000</v>
      </c>
      <c r="J4" s="61">
        <v>12000</v>
      </c>
      <c r="K4" s="62">
        <f t="shared" si="0"/>
        <v>62000</v>
      </c>
      <c r="L4" s="11">
        <v>2.5</v>
      </c>
    </row>
    <row r="5" spans="1:13" x14ac:dyDescent="0.25">
      <c r="A5" s="136" t="s">
        <v>13</v>
      </c>
      <c r="B5" s="61">
        <f>SUM(B3:B4)*0.7</f>
        <v>11200</v>
      </c>
      <c r="C5" s="61">
        <f>SUM(C3:C4)*0.7</f>
        <v>1400</v>
      </c>
      <c r="D5" s="61">
        <f>SUM(D3:D4)*0.7</f>
        <v>7000</v>
      </c>
      <c r="E5" s="61">
        <f>SUM(E2:E4)*0.7</f>
        <v>78400</v>
      </c>
      <c r="F5" s="61">
        <f>SUM(F2:F4)*0.7</f>
        <v>77000</v>
      </c>
      <c r="G5" s="61">
        <f>SUM(G2:G4)*0.7</f>
        <v>173600</v>
      </c>
      <c r="H5" s="61">
        <f>SUM(H3:H4)*0.7</f>
        <v>9800</v>
      </c>
      <c r="I5" s="61">
        <f>SUM(I3:I4)*0.7</f>
        <v>32199.999999999996</v>
      </c>
      <c r="J5" s="61">
        <f>SUM(J3:J4)*0.7</f>
        <v>9800</v>
      </c>
      <c r="K5" s="62">
        <f t="shared" si="0"/>
        <v>400400</v>
      </c>
      <c r="L5" s="11">
        <v>3</v>
      </c>
    </row>
    <row r="6" spans="1:13" x14ac:dyDescent="0.25">
      <c r="A6" s="136" t="s">
        <v>14</v>
      </c>
      <c r="B6" s="61">
        <v>1000</v>
      </c>
      <c r="C6" s="61">
        <v>2000</v>
      </c>
      <c r="D6" s="61">
        <v>0</v>
      </c>
      <c r="E6" s="61">
        <v>6000</v>
      </c>
      <c r="F6" s="61">
        <v>5000</v>
      </c>
      <c r="G6" s="61">
        <v>2000</v>
      </c>
      <c r="H6" s="61">
        <v>0</v>
      </c>
      <c r="I6" s="61">
        <v>1000</v>
      </c>
      <c r="J6" s="61">
        <v>1000</v>
      </c>
      <c r="K6" s="62">
        <f>SUM(B6:J6)</f>
        <v>18000</v>
      </c>
      <c r="L6" s="11">
        <v>10</v>
      </c>
    </row>
    <row r="7" spans="1:13" x14ac:dyDescent="0.25">
      <c r="A7" s="136" t="s">
        <v>15</v>
      </c>
      <c r="B7" s="61">
        <v>7800</v>
      </c>
      <c r="C7" s="61">
        <v>4200</v>
      </c>
      <c r="D7" s="61">
        <v>3000</v>
      </c>
      <c r="E7" s="61">
        <v>1900</v>
      </c>
      <c r="F7" s="61">
        <v>2500</v>
      </c>
      <c r="G7" s="61">
        <v>5200</v>
      </c>
      <c r="H7" s="61">
        <v>8000</v>
      </c>
      <c r="I7" s="61">
        <v>1900</v>
      </c>
      <c r="J7" s="61">
        <v>50800</v>
      </c>
      <c r="K7" s="62">
        <f t="shared" si="0"/>
        <v>85300</v>
      </c>
      <c r="L7" s="11">
        <v>12</v>
      </c>
      <c r="M7">
        <f>SUM(K2:K7)</f>
        <v>1075700</v>
      </c>
    </row>
    <row r="8" spans="1:13" s="1" customFormat="1" x14ac:dyDescent="0.25">
      <c r="A8" s="99" t="s">
        <v>16</v>
      </c>
      <c r="B8" s="62">
        <f>SUM(B2:B7)</f>
        <v>36000</v>
      </c>
      <c r="C8" s="62">
        <f t="shared" ref="C8:J8" si="1">SUM(C2:C7)</f>
        <v>9600</v>
      </c>
      <c r="D8" s="62">
        <f t="shared" si="1"/>
        <v>20000</v>
      </c>
      <c r="E8" s="62">
        <f t="shared" si="1"/>
        <v>198300</v>
      </c>
      <c r="F8" s="62">
        <f t="shared" si="1"/>
        <v>194500</v>
      </c>
      <c r="G8" s="62">
        <f t="shared" si="1"/>
        <v>428800</v>
      </c>
      <c r="H8" s="62">
        <f t="shared" si="1"/>
        <v>31800</v>
      </c>
      <c r="I8" s="62">
        <f t="shared" si="1"/>
        <v>81100</v>
      </c>
      <c r="J8" s="62">
        <f t="shared" si="1"/>
        <v>75600</v>
      </c>
      <c r="K8" s="62">
        <f>SUM(K2:K7)</f>
        <v>1075700</v>
      </c>
      <c r="L8" s="54">
        <v>1</v>
      </c>
    </row>
    <row r="9" spans="1:13" x14ac:dyDescent="0.25">
      <c r="A9" s="136" t="s">
        <v>17</v>
      </c>
      <c r="B9" s="4" t="s">
        <v>19</v>
      </c>
      <c r="C9" s="61">
        <f>B8/900*60+C8</f>
        <v>12000</v>
      </c>
      <c r="D9" s="61">
        <f>B8/900*40+D8</f>
        <v>21600</v>
      </c>
      <c r="E9" s="61">
        <f>B8/900*240+E8</f>
        <v>207900</v>
      </c>
      <c r="F9" s="61">
        <f>B8/900*140+F8</f>
        <v>200100</v>
      </c>
      <c r="G9" s="61">
        <f>B8/900*195+G8</f>
        <v>436600</v>
      </c>
      <c r="H9" s="61">
        <f>B8/900*150+H8</f>
        <v>37800</v>
      </c>
      <c r="I9" s="61">
        <f>B8/900*65+I8</f>
        <v>83700</v>
      </c>
      <c r="J9" s="61">
        <f>B8/900*10+J8</f>
        <v>76000</v>
      </c>
      <c r="K9" s="62"/>
      <c r="L9" s="11">
        <v>1.5</v>
      </c>
    </row>
    <row r="10" spans="1:13" x14ac:dyDescent="0.25">
      <c r="A10" s="136" t="s">
        <v>18</v>
      </c>
      <c r="B10" s="61"/>
      <c r="C10" s="4" t="s">
        <v>19</v>
      </c>
      <c r="D10" s="61">
        <f>D9+($C$9/120*4)</f>
        <v>22000</v>
      </c>
      <c r="E10" s="61">
        <f>E9+($C$9/120*36)</f>
        <v>211500</v>
      </c>
      <c r="F10" s="61">
        <f>F9+($C$9/120*24)</f>
        <v>202500</v>
      </c>
      <c r="G10" s="61">
        <f>G9+($C$9/120*18)</f>
        <v>438400</v>
      </c>
      <c r="H10" s="61">
        <f>H9+($C$9/120*10)</f>
        <v>38800</v>
      </c>
      <c r="I10" s="61">
        <f>I9+($C$9/120*8)</f>
        <v>84500</v>
      </c>
      <c r="J10" s="61">
        <f>J9+($C$9/120*20)</f>
        <v>78000</v>
      </c>
      <c r="K10" s="61"/>
      <c r="L10" s="11">
        <v>0.5</v>
      </c>
    </row>
    <row r="11" spans="1:13" x14ac:dyDescent="0.25">
      <c r="A11" s="136" t="s">
        <v>21</v>
      </c>
      <c r="B11" s="61"/>
      <c r="C11" s="61"/>
      <c r="D11" s="4" t="s">
        <v>19</v>
      </c>
      <c r="E11" s="61">
        <f>E10+($D$10/100*30)</f>
        <v>218100</v>
      </c>
      <c r="F11" s="61">
        <f>F10+($D$10/100*45)</f>
        <v>212400</v>
      </c>
      <c r="G11" s="61">
        <f>G10+($D$10/100*25)</f>
        <v>443900</v>
      </c>
      <c r="H11" s="61">
        <f>H10</f>
        <v>38800</v>
      </c>
      <c r="I11" s="61">
        <f>I10</f>
        <v>84500</v>
      </c>
      <c r="J11" s="61">
        <f>J10</f>
        <v>78000</v>
      </c>
      <c r="K11" s="61"/>
      <c r="L11" s="11">
        <f>SUM(L2:L10)</f>
        <v>35</v>
      </c>
    </row>
    <row r="12" spans="1:13" x14ac:dyDescent="0.25">
      <c r="A12" s="136" t="s">
        <v>20</v>
      </c>
      <c r="B12" s="61"/>
      <c r="C12" s="61"/>
      <c r="D12" s="61"/>
      <c r="E12" s="61">
        <v>2400</v>
      </c>
      <c r="F12" s="61">
        <v>2000</v>
      </c>
      <c r="G12" s="61">
        <v>4000</v>
      </c>
      <c r="H12" s="61">
        <v>280000</v>
      </c>
      <c r="I12" s="61">
        <f>H12+H10+G11+F11+E11-SUM(E17:H17)</f>
        <v>1180000</v>
      </c>
      <c r="J12" s="61">
        <f>I12</f>
        <v>1180000</v>
      </c>
      <c r="K12" s="61"/>
      <c r="L12" s="11"/>
    </row>
    <row r="13" spans="1:13" x14ac:dyDescent="0.25">
      <c r="A13" s="136" t="s">
        <v>22</v>
      </c>
      <c r="B13" s="61"/>
      <c r="C13" s="61"/>
      <c r="D13" s="61"/>
      <c r="E13" s="61">
        <f>E11/E12</f>
        <v>90.875</v>
      </c>
      <c r="F13" s="61">
        <f>F11/F12</f>
        <v>106.2</v>
      </c>
      <c r="G13" s="61">
        <f>G11/G12</f>
        <v>110.97499999999999</v>
      </c>
      <c r="H13" s="61">
        <f>H10/H12</f>
        <v>0.13857142857142857</v>
      </c>
      <c r="I13" s="61">
        <f>I10/I12</f>
        <v>7.1610169491525419E-2</v>
      </c>
      <c r="J13" s="61">
        <f>J10/J12</f>
        <v>6.6101694915254236E-2</v>
      </c>
      <c r="K13" s="61"/>
      <c r="L13" s="11"/>
    </row>
    <row r="14" spans="1:13" x14ac:dyDescent="0.25">
      <c r="A14" s="136" t="s">
        <v>25</v>
      </c>
      <c r="B14" s="61"/>
      <c r="C14" s="61"/>
      <c r="D14" s="61"/>
      <c r="E14" s="61">
        <f t="shared" ref="E14:J14" si="2">SUM(E11:E12)</f>
        <v>220500</v>
      </c>
      <c r="F14" s="61">
        <f t="shared" si="2"/>
        <v>214400</v>
      </c>
      <c r="G14" s="61">
        <f t="shared" si="2"/>
        <v>447900</v>
      </c>
      <c r="H14" s="61">
        <f t="shared" si="2"/>
        <v>318800</v>
      </c>
      <c r="I14" s="61">
        <f t="shared" si="2"/>
        <v>1264500</v>
      </c>
      <c r="J14" s="61">
        <f t="shared" si="2"/>
        <v>1258000</v>
      </c>
      <c r="K14" s="61"/>
      <c r="L14" s="11"/>
    </row>
    <row r="15" spans="1:13" x14ac:dyDescent="0.25">
      <c r="A15" s="136" t="s">
        <v>23</v>
      </c>
      <c r="B15" s="62"/>
      <c r="C15" s="62"/>
      <c r="D15" s="62"/>
      <c r="E15" s="62">
        <v>80</v>
      </c>
      <c r="F15" s="62">
        <v>100</v>
      </c>
      <c r="G15" s="62">
        <v>120</v>
      </c>
      <c r="H15" s="62">
        <v>0.1</v>
      </c>
      <c r="I15" s="62">
        <v>0.05</v>
      </c>
      <c r="J15" s="62">
        <v>0.09</v>
      </c>
      <c r="K15" s="61"/>
      <c r="L15" s="11"/>
    </row>
    <row r="16" spans="1:13" x14ac:dyDescent="0.25">
      <c r="A16" s="136" t="s">
        <v>26</v>
      </c>
      <c r="B16" s="61"/>
      <c r="C16" s="61"/>
      <c r="D16" s="61"/>
      <c r="E16" s="61">
        <f t="shared" ref="E16:J16" si="3">E15*E12</f>
        <v>192000</v>
      </c>
      <c r="F16" s="61">
        <f t="shared" si="3"/>
        <v>200000</v>
      </c>
      <c r="G16" s="61">
        <f t="shared" si="3"/>
        <v>480000</v>
      </c>
      <c r="H16" s="61">
        <f t="shared" si="3"/>
        <v>28000</v>
      </c>
      <c r="I16" s="61">
        <f t="shared" si="3"/>
        <v>59000</v>
      </c>
      <c r="J16" s="61">
        <f t="shared" si="3"/>
        <v>106200</v>
      </c>
      <c r="K16" s="61"/>
      <c r="L16" s="11"/>
    </row>
    <row r="17" spans="1:12" ht="15.75" thickBot="1" x14ac:dyDescent="0.3">
      <c r="A17" s="137" t="s">
        <v>24</v>
      </c>
      <c r="B17" s="25"/>
      <c r="C17" s="25"/>
      <c r="D17" s="25"/>
      <c r="E17" s="25">
        <f t="shared" ref="E17:J17" si="4">E11-E16</f>
        <v>26100</v>
      </c>
      <c r="F17" s="25">
        <f t="shared" si="4"/>
        <v>12400</v>
      </c>
      <c r="G17" s="25">
        <f t="shared" si="4"/>
        <v>-36100</v>
      </c>
      <c r="H17" s="25">
        <f t="shared" si="4"/>
        <v>10800</v>
      </c>
      <c r="I17" s="25">
        <f t="shared" si="4"/>
        <v>25500</v>
      </c>
      <c r="J17" s="25">
        <f t="shared" si="4"/>
        <v>-28200</v>
      </c>
      <c r="K17" s="25"/>
      <c r="L17" s="26">
        <f>SUM(E17:K17)</f>
        <v>10500</v>
      </c>
    </row>
    <row r="21" spans="1:12" x14ac:dyDescent="0.25">
      <c r="A21" s="72" t="s">
        <v>31</v>
      </c>
      <c r="B21" s="3" t="s">
        <v>0</v>
      </c>
      <c r="C21" s="3" t="s">
        <v>27</v>
      </c>
      <c r="D21" s="3" t="s">
        <v>28</v>
      </c>
      <c r="E21" s="3" t="s">
        <v>29</v>
      </c>
      <c r="F21" s="3" t="s">
        <v>6</v>
      </c>
      <c r="G21" s="3" t="s">
        <v>7</v>
      </c>
      <c r="H21" s="3" t="s">
        <v>8</v>
      </c>
      <c r="I21" t="s">
        <v>30</v>
      </c>
    </row>
    <row r="22" spans="1:12" x14ac:dyDescent="0.25">
      <c r="A22" s="72" t="s">
        <v>32</v>
      </c>
      <c r="B22" s="2">
        <v>0</v>
      </c>
      <c r="C22" s="2">
        <v>0</v>
      </c>
      <c r="D22" s="2">
        <v>80000</v>
      </c>
      <c r="E22" s="2">
        <v>60000</v>
      </c>
      <c r="F22" s="2">
        <v>0</v>
      </c>
      <c r="G22" s="2">
        <v>0</v>
      </c>
      <c r="H22" s="2">
        <v>0</v>
      </c>
      <c r="I22">
        <f>SUM(B22:H22)</f>
        <v>140000</v>
      </c>
    </row>
    <row r="23" spans="1:12" x14ac:dyDescent="0.25">
      <c r="A23" s="72" t="s">
        <v>33</v>
      </c>
      <c r="B23" s="2">
        <f>41000/20.5*4</f>
        <v>8000</v>
      </c>
      <c r="C23" s="2">
        <f>41000/20.5*0.5</f>
        <v>1000</v>
      </c>
      <c r="D23" s="2">
        <f>41000/20.5*3</f>
        <v>6000</v>
      </c>
      <c r="E23" s="2">
        <f>41000/20.5*10</f>
        <v>20000</v>
      </c>
      <c r="F23" s="2">
        <f>41000/20.5*1</f>
        <v>2000</v>
      </c>
      <c r="G23" s="2">
        <f>41000/20.5*1.5</f>
        <v>3000</v>
      </c>
      <c r="H23" s="2">
        <f>41000/20.5*0.5</f>
        <v>1000</v>
      </c>
      <c r="I23">
        <f>SUM(B23:H23)</f>
        <v>41000</v>
      </c>
    </row>
    <row r="24" spans="1:12" x14ac:dyDescent="0.25">
      <c r="A24" s="72" t="s">
        <v>34</v>
      </c>
      <c r="B24" s="2">
        <v>0</v>
      </c>
      <c r="C24" s="2">
        <v>0</v>
      </c>
      <c r="D24" s="2">
        <v>0</v>
      </c>
      <c r="E24" s="2">
        <v>0</v>
      </c>
      <c r="F24" s="2">
        <v>8000</v>
      </c>
      <c r="G24" s="2">
        <v>25000</v>
      </c>
      <c r="H24" s="2">
        <v>7000</v>
      </c>
      <c r="I24">
        <f t="shared" ref="I24:I40" si="5">SUM(B24:H24)</f>
        <v>40000</v>
      </c>
    </row>
    <row r="25" spans="1:12" x14ac:dyDescent="0.25">
      <c r="A25" s="72" t="s">
        <v>35</v>
      </c>
      <c r="B25" s="2">
        <v>1600</v>
      </c>
      <c r="C25" s="2">
        <v>0</v>
      </c>
      <c r="D25" s="2">
        <v>8000</v>
      </c>
      <c r="E25" s="2">
        <v>5000</v>
      </c>
      <c r="F25" s="2">
        <v>0</v>
      </c>
      <c r="G25" s="2">
        <v>0</v>
      </c>
      <c r="H25" s="2">
        <v>0</v>
      </c>
      <c r="I25">
        <f t="shared" si="5"/>
        <v>14600</v>
      </c>
    </row>
    <row r="26" spans="1:12" x14ac:dyDescent="0.25">
      <c r="A26" s="72" t="s">
        <v>36</v>
      </c>
      <c r="B26" s="2">
        <v>0</v>
      </c>
      <c r="C26" s="2">
        <v>10000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>
        <f t="shared" si="5"/>
        <v>10000</v>
      </c>
    </row>
    <row r="27" spans="1:12" x14ac:dyDescent="0.25">
      <c r="A27" s="72" t="s">
        <v>37</v>
      </c>
      <c r="B27" s="2">
        <f>SUM(B22:B24)*0.8</f>
        <v>6400</v>
      </c>
      <c r="C27" s="2">
        <f t="shared" ref="C27:H27" si="6">SUM(C22:C24)*0.8</f>
        <v>800</v>
      </c>
      <c r="D27" s="2">
        <f t="shared" si="6"/>
        <v>68800</v>
      </c>
      <c r="E27" s="2">
        <f t="shared" si="6"/>
        <v>64000</v>
      </c>
      <c r="F27" s="2">
        <f t="shared" si="6"/>
        <v>8000</v>
      </c>
      <c r="G27" s="2">
        <f t="shared" si="6"/>
        <v>22400</v>
      </c>
      <c r="H27" s="2">
        <f t="shared" si="6"/>
        <v>6400</v>
      </c>
      <c r="I27">
        <f t="shared" si="5"/>
        <v>176800</v>
      </c>
    </row>
    <row r="28" spans="1:12" x14ac:dyDescent="0.25">
      <c r="A28" s="72" t="s">
        <v>38</v>
      </c>
      <c r="B28" s="2">
        <v>1000</v>
      </c>
      <c r="C28" s="2">
        <v>2000</v>
      </c>
      <c r="D28" s="2">
        <v>6000</v>
      </c>
      <c r="E28" s="2">
        <v>5000</v>
      </c>
      <c r="F28" s="2">
        <v>0</v>
      </c>
      <c r="G28" s="2">
        <v>1000</v>
      </c>
      <c r="H28" s="2">
        <v>1000</v>
      </c>
      <c r="I28">
        <f t="shared" si="5"/>
        <v>16000</v>
      </c>
    </row>
    <row r="29" spans="1:12" x14ac:dyDescent="0.25">
      <c r="A29" s="72" t="s">
        <v>39</v>
      </c>
      <c r="B29" s="2">
        <v>1000</v>
      </c>
      <c r="C29" s="2">
        <v>400</v>
      </c>
      <c r="D29" s="2">
        <v>1800</v>
      </c>
      <c r="E29" s="2">
        <v>2800</v>
      </c>
      <c r="F29" s="2">
        <v>8000</v>
      </c>
      <c r="G29" s="2">
        <v>1900</v>
      </c>
      <c r="H29" s="2">
        <v>50800</v>
      </c>
      <c r="I29">
        <f t="shared" si="5"/>
        <v>66700</v>
      </c>
    </row>
    <row r="30" spans="1:12" x14ac:dyDescent="0.25">
      <c r="A30" s="73" t="s">
        <v>16</v>
      </c>
      <c r="B30" s="3">
        <f>SUM(B22:B29)</f>
        <v>18000</v>
      </c>
      <c r="C30" s="3">
        <f t="shared" ref="C30:H30" si="7">SUM(C22:C29)</f>
        <v>14200</v>
      </c>
      <c r="D30" s="3">
        <f t="shared" si="7"/>
        <v>170600</v>
      </c>
      <c r="E30" s="3">
        <f t="shared" si="7"/>
        <v>156800</v>
      </c>
      <c r="F30" s="3">
        <f t="shared" si="7"/>
        <v>26000</v>
      </c>
      <c r="G30" s="3">
        <f t="shared" si="7"/>
        <v>53300</v>
      </c>
      <c r="H30" s="3">
        <f t="shared" si="7"/>
        <v>66200</v>
      </c>
      <c r="I30">
        <f t="shared" si="5"/>
        <v>505100</v>
      </c>
    </row>
    <row r="31" spans="1:12" x14ac:dyDescent="0.25">
      <c r="A31" s="72" t="s">
        <v>40</v>
      </c>
      <c r="B31" s="4" t="s">
        <v>41</v>
      </c>
      <c r="C31" s="2">
        <f>$B$30/600*60</f>
        <v>1800</v>
      </c>
      <c r="D31" s="2">
        <f>$B$30/600*180</f>
        <v>5400</v>
      </c>
      <c r="E31" s="2">
        <f>$B$30/600*140</f>
        <v>4200</v>
      </c>
      <c r="F31" s="2">
        <f>$B$30/600*150</f>
        <v>4500</v>
      </c>
      <c r="G31" s="2">
        <f>$B$30/600*60</f>
        <v>1800</v>
      </c>
      <c r="H31" s="2">
        <f>$B$30/600*10</f>
        <v>300</v>
      </c>
      <c r="I31">
        <f t="shared" si="5"/>
        <v>18000</v>
      </c>
    </row>
    <row r="32" spans="1:12" x14ac:dyDescent="0.25">
      <c r="A32" s="72" t="s">
        <v>42</v>
      </c>
      <c r="B32" s="2"/>
      <c r="C32" s="4" t="s">
        <v>41</v>
      </c>
      <c r="D32" s="2">
        <f>($C$30+$C$31)/8000*5000</f>
        <v>10000</v>
      </c>
      <c r="E32" s="2">
        <f>($C$30+$C$31)/8000*2000</f>
        <v>4000</v>
      </c>
      <c r="F32" s="2">
        <f>($C$30+$C$31)/8000*600</f>
        <v>1200</v>
      </c>
      <c r="G32" s="2">
        <f>($C$30+$C$31)/8000*200</f>
        <v>400</v>
      </c>
      <c r="H32" s="2">
        <f>($C$30+$C$31)/8000*200</f>
        <v>400</v>
      </c>
      <c r="I32">
        <f t="shared" si="5"/>
        <v>16000</v>
      </c>
    </row>
    <row r="33" spans="1:10" x14ac:dyDescent="0.25">
      <c r="A33" s="73" t="s">
        <v>43</v>
      </c>
      <c r="B33" s="3"/>
      <c r="C33" s="3"/>
      <c r="D33" s="3">
        <f>SUM(D30:D32)</f>
        <v>186000</v>
      </c>
      <c r="E33" s="3">
        <f>SUM(E30:E32)</f>
        <v>165000</v>
      </c>
      <c r="F33" s="3">
        <f>SUM(F30:F32)</f>
        <v>31700</v>
      </c>
      <c r="G33" s="3">
        <f>SUM(G30:G32)</f>
        <v>55500</v>
      </c>
      <c r="H33" s="3">
        <f>SUM(H30:H32)</f>
        <v>66900</v>
      </c>
      <c r="I33">
        <f t="shared" si="5"/>
        <v>505100</v>
      </c>
    </row>
    <row r="34" spans="1:10" x14ac:dyDescent="0.25">
      <c r="A34" s="72" t="s">
        <v>20</v>
      </c>
      <c r="B34" s="2"/>
      <c r="C34" s="2"/>
      <c r="D34" s="2">
        <v>3000</v>
      </c>
      <c r="E34" s="2">
        <v>2000</v>
      </c>
      <c r="F34" s="2">
        <v>275000</v>
      </c>
      <c r="G34" s="2">
        <f>(((SUM(D33:F33)+F34)/10*9)-((SUM(D38:F38)))/10*9)</f>
        <v>604350</v>
      </c>
      <c r="H34" s="2">
        <f>G34</f>
        <v>604350</v>
      </c>
      <c r="I34">
        <f>SUM(B34:H34)</f>
        <v>1488700</v>
      </c>
    </row>
    <row r="35" spans="1:10" x14ac:dyDescent="0.25">
      <c r="A35" s="72" t="s">
        <v>44</v>
      </c>
      <c r="B35" s="2"/>
      <c r="C35" s="2"/>
      <c r="D35" s="2">
        <f>D33/D34</f>
        <v>62</v>
      </c>
      <c r="E35" s="2">
        <f>E33/E34</f>
        <v>82.5</v>
      </c>
      <c r="F35" s="2">
        <f>F33/F34</f>
        <v>0.11527272727272728</v>
      </c>
      <c r="G35" s="2">
        <f>G33/G34</f>
        <v>9.1834202035244478E-2</v>
      </c>
      <c r="H35" s="2">
        <f>H33/H34</f>
        <v>0.11069744353437577</v>
      </c>
    </row>
    <row r="36" spans="1:10" x14ac:dyDescent="0.25">
      <c r="A36" s="72" t="s">
        <v>45</v>
      </c>
      <c r="B36" s="2"/>
      <c r="C36" s="2"/>
      <c r="D36" s="2">
        <v>63</v>
      </c>
      <c r="E36" s="2">
        <v>90</v>
      </c>
      <c r="F36" s="2">
        <v>0.1</v>
      </c>
      <c r="G36" s="2">
        <v>0.05</v>
      </c>
      <c r="H36" s="2">
        <v>0.09</v>
      </c>
    </row>
    <row r="37" spans="1:10" x14ac:dyDescent="0.25">
      <c r="A37" s="72" t="s">
        <v>46</v>
      </c>
      <c r="B37" s="2"/>
      <c r="C37" s="2"/>
      <c r="D37" s="2">
        <f>D36*D34</f>
        <v>189000</v>
      </c>
      <c r="E37" s="2">
        <f>E36*E34</f>
        <v>180000</v>
      </c>
      <c r="F37" s="2">
        <f>F36*F34</f>
        <v>27500</v>
      </c>
      <c r="G37" s="2">
        <f>G36*G34/9*10</f>
        <v>33575</v>
      </c>
      <c r="H37" s="2">
        <f>H36*H34/9*10</f>
        <v>60435</v>
      </c>
      <c r="I37">
        <f t="shared" si="5"/>
        <v>490510</v>
      </c>
    </row>
    <row r="38" spans="1:10" x14ac:dyDescent="0.25">
      <c r="A38" s="72" t="s">
        <v>47</v>
      </c>
      <c r="B38" s="2"/>
      <c r="C38" s="2"/>
      <c r="D38" s="2">
        <f>D33-D37</f>
        <v>-3000</v>
      </c>
      <c r="E38" s="2">
        <f>E33-E37</f>
        <v>-15000</v>
      </c>
      <c r="F38" s="2">
        <f>F33-F37</f>
        <v>4200</v>
      </c>
      <c r="G38" s="2">
        <f>G33-G37</f>
        <v>21925</v>
      </c>
      <c r="H38" s="2">
        <f>H33-H37</f>
        <v>6465</v>
      </c>
      <c r="I38">
        <f t="shared" si="5"/>
        <v>14590</v>
      </c>
    </row>
    <row r="39" spans="1:10" x14ac:dyDescent="0.25">
      <c r="B39" s="2"/>
      <c r="C39" s="2"/>
      <c r="D39" s="2"/>
      <c r="E39" s="2"/>
      <c r="F39" s="2"/>
      <c r="G39" s="2"/>
      <c r="H39" s="2"/>
      <c r="I39">
        <f t="shared" si="5"/>
        <v>0</v>
      </c>
    </row>
    <row r="40" spans="1:10" x14ac:dyDescent="0.25">
      <c r="B40" s="2"/>
      <c r="C40" s="2"/>
      <c r="D40" s="2"/>
      <c r="E40" s="2"/>
      <c r="F40" s="2"/>
      <c r="G40" s="2"/>
      <c r="H40" s="2"/>
      <c r="I40">
        <f t="shared" si="5"/>
        <v>0</v>
      </c>
    </row>
    <row r="44" spans="1:10" x14ac:dyDescent="0.25">
      <c r="A44" s="295" t="s">
        <v>72</v>
      </c>
      <c r="B44" s="295"/>
      <c r="C44" s="295"/>
      <c r="D44" s="295"/>
      <c r="E44" s="295"/>
      <c r="F44" s="295"/>
      <c r="G44" s="295"/>
      <c r="H44" s="295"/>
      <c r="I44" s="295"/>
    </row>
    <row r="45" spans="1:10" x14ac:dyDescent="0.25">
      <c r="A45" s="74" t="s">
        <v>58</v>
      </c>
      <c r="B45" s="3"/>
      <c r="C45" s="1"/>
      <c r="D45" s="3" t="s">
        <v>55</v>
      </c>
      <c r="E45" s="3"/>
      <c r="F45" s="3" t="s">
        <v>48</v>
      </c>
      <c r="G45" s="5"/>
      <c r="H45" s="6"/>
      <c r="I45" s="6"/>
      <c r="J45" s="6"/>
    </row>
    <row r="46" spans="1:10" x14ac:dyDescent="0.25">
      <c r="A46" s="75">
        <v>64000</v>
      </c>
      <c r="B46" s="2" t="s">
        <v>51</v>
      </c>
      <c r="D46" s="2">
        <v>80000</v>
      </c>
      <c r="E46" s="2" t="s">
        <v>71</v>
      </c>
      <c r="F46" s="2">
        <v>758000</v>
      </c>
      <c r="G46" s="5" t="s">
        <v>56</v>
      </c>
      <c r="H46" s="6"/>
      <c r="I46" s="6"/>
      <c r="J46" s="6"/>
    </row>
    <row r="47" spans="1:10" x14ac:dyDescent="0.25">
      <c r="A47" s="75">
        <v>2300</v>
      </c>
      <c r="B47" s="2" t="s">
        <v>61</v>
      </c>
      <c r="D47" s="2">
        <v>15000</v>
      </c>
      <c r="E47" s="2" t="s">
        <v>70</v>
      </c>
      <c r="F47" s="2">
        <v>84000</v>
      </c>
      <c r="G47" s="5" t="s">
        <v>57</v>
      </c>
      <c r="H47" s="6"/>
      <c r="I47" s="6"/>
      <c r="J47" s="6"/>
    </row>
    <row r="48" spans="1:10" x14ac:dyDescent="0.25">
      <c r="A48" s="75">
        <v>12900</v>
      </c>
      <c r="B48" s="2" t="s">
        <v>60</v>
      </c>
      <c r="D48" s="2">
        <v>139000</v>
      </c>
      <c r="E48" s="2" t="s">
        <v>34</v>
      </c>
      <c r="F48" s="2">
        <v>30000</v>
      </c>
      <c r="G48" s="5" t="s">
        <v>49</v>
      </c>
      <c r="H48" s="6"/>
      <c r="I48" s="6"/>
      <c r="J48" s="6"/>
    </row>
    <row r="49" spans="1:10" x14ac:dyDescent="0.25">
      <c r="A49" s="75">
        <v>24000</v>
      </c>
      <c r="B49" s="2" t="s">
        <v>59</v>
      </c>
      <c r="D49" s="2">
        <v>150800</v>
      </c>
      <c r="E49" s="2" t="s">
        <v>69</v>
      </c>
      <c r="F49" s="2">
        <v>4000</v>
      </c>
      <c r="G49" s="5" t="s">
        <v>50</v>
      </c>
      <c r="H49" s="6"/>
      <c r="I49" s="6"/>
      <c r="J49" s="6"/>
    </row>
    <row r="50" spans="1:10" x14ac:dyDescent="0.25">
      <c r="A50" s="75">
        <v>35600</v>
      </c>
      <c r="B50" s="2" t="s">
        <v>62</v>
      </c>
      <c r="D50" s="2">
        <v>256000</v>
      </c>
      <c r="E50" s="2" t="s">
        <v>68</v>
      </c>
      <c r="F50" s="2"/>
      <c r="G50" s="5"/>
      <c r="H50" s="6"/>
      <c r="I50" s="6"/>
      <c r="J50" s="6"/>
    </row>
    <row r="51" spans="1:10" x14ac:dyDescent="0.25">
      <c r="D51" s="2">
        <v>15000</v>
      </c>
      <c r="E51" s="2" t="s">
        <v>67</v>
      </c>
      <c r="F51" s="2"/>
      <c r="G51" s="5"/>
      <c r="H51" s="6"/>
      <c r="I51" s="6"/>
      <c r="J51" s="6"/>
    </row>
    <row r="52" spans="1:10" x14ac:dyDescent="0.25">
      <c r="D52" s="2">
        <v>25000</v>
      </c>
      <c r="E52" s="2" t="s">
        <v>66</v>
      </c>
      <c r="F52" s="2"/>
      <c r="G52" s="5"/>
      <c r="H52" s="6"/>
      <c r="I52" s="6"/>
      <c r="J52" s="6"/>
    </row>
    <row r="53" spans="1:10" x14ac:dyDescent="0.25">
      <c r="D53" s="2">
        <v>19000</v>
      </c>
      <c r="E53" s="2" t="s">
        <v>65</v>
      </c>
      <c r="F53" s="2"/>
      <c r="G53" s="5"/>
      <c r="H53" s="6"/>
      <c r="I53" s="6"/>
      <c r="J53" s="6"/>
    </row>
    <row r="54" spans="1:10" x14ac:dyDescent="0.25">
      <c r="D54" s="2">
        <v>87620</v>
      </c>
      <c r="E54" s="2" t="s">
        <v>64</v>
      </c>
      <c r="F54" s="2"/>
      <c r="G54" s="5"/>
      <c r="H54" s="6"/>
      <c r="I54" s="6"/>
      <c r="J54" s="6"/>
    </row>
    <row r="55" spans="1:10" x14ac:dyDescent="0.25">
      <c r="D55" s="2">
        <v>24500</v>
      </c>
      <c r="E55" s="2" t="s">
        <v>63</v>
      </c>
      <c r="F55" s="2"/>
      <c r="G55" s="5"/>
      <c r="H55" s="6"/>
      <c r="I55" s="6"/>
      <c r="J55" s="6"/>
    </row>
    <row r="56" spans="1:10" x14ac:dyDescent="0.25">
      <c r="D56" s="2">
        <v>7000</v>
      </c>
      <c r="E56" s="2" t="s">
        <v>52</v>
      </c>
      <c r="F56" s="2"/>
      <c r="G56" s="5"/>
      <c r="H56" s="6"/>
      <c r="I56" s="6"/>
      <c r="J56" s="6"/>
    </row>
    <row r="57" spans="1:10" x14ac:dyDescent="0.25">
      <c r="D57" s="3">
        <f>SUM(D46:D56)</f>
        <v>818920</v>
      </c>
      <c r="E57" s="3" t="s">
        <v>53</v>
      </c>
      <c r="F57" s="3">
        <f>SUM(F46:F56)</f>
        <v>876000</v>
      </c>
      <c r="G57" s="5"/>
      <c r="H57" s="6"/>
      <c r="I57" s="6"/>
      <c r="J57" s="6"/>
    </row>
    <row r="58" spans="1:10" x14ac:dyDescent="0.25">
      <c r="D58" s="2"/>
      <c r="E58" s="3" t="s">
        <v>54</v>
      </c>
      <c r="F58" s="3">
        <f>F57-D57</f>
        <v>57080</v>
      </c>
      <c r="G58" s="5"/>
      <c r="H58" s="6"/>
      <c r="I58" s="6"/>
      <c r="J58" s="6"/>
    </row>
    <row r="59" spans="1:10" x14ac:dyDescent="0.25">
      <c r="H59" s="6"/>
      <c r="I59" s="6"/>
      <c r="J59" s="6"/>
    </row>
    <row r="60" spans="1:10" x14ac:dyDescent="0.25">
      <c r="H60" s="6"/>
      <c r="I60" s="6"/>
      <c r="J60" s="6"/>
    </row>
    <row r="61" spans="1:10" x14ac:dyDescent="0.25">
      <c r="H61" s="6"/>
      <c r="I61" s="6"/>
      <c r="J61" s="6"/>
    </row>
    <row r="62" spans="1:10" x14ac:dyDescent="0.25">
      <c r="A62" s="295" t="s">
        <v>73</v>
      </c>
      <c r="B62" s="295"/>
      <c r="C62" s="295"/>
      <c r="D62" s="295"/>
      <c r="E62" s="295"/>
      <c r="F62" s="295"/>
      <c r="G62" s="295"/>
      <c r="H62" s="295"/>
      <c r="I62" s="295"/>
    </row>
    <row r="63" spans="1:10" x14ac:dyDescent="0.25">
      <c r="A63" s="296" t="s">
        <v>81</v>
      </c>
      <c r="B63" s="296"/>
      <c r="C63" s="296"/>
      <c r="D63" s="296"/>
      <c r="E63" s="296"/>
      <c r="F63" s="296"/>
      <c r="H63" s="296" t="s">
        <v>81</v>
      </c>
      <c r="I63" s="296"/>
    </row>
    <row r="64" spans="1:10" x14ac:dyDescent="0.25">
      <c r="A64" s="75"/>
      <c r="B64" s="2" t="s">
        <v>74</v>
      </c>
      <c r="C64" s="2" t="s">
        <v>75</v>
      </c>
      <c r="D64" s="2" t="s">
        <v>76</v>
      </c>
      <c r="E64" s="2" t="s">
        <v>77</v>
      </c>
      <c r="F64" s="2" t="s">
        <v>53</v>
      </c>
      <c r="H64" s="2"/>
      <c r="I64" s="2"/>
    </row>
    <row r="65" spans="1:9" x14ac:dyDescent="0.25">
      <c r="A65" s="75" t="s">
        <v>78</v>
      </c>
      <c r="B65" s="2">
        <v>50000</v>
      </c>
      <c r="C65" s="2">
        <v>80000</v>
      </c>
      <c r="D65" s="2">
        <v>30000</v>
      </c>
      <c r="E65" s="2">
        <v>40000</v>
      </c>
      <c r="F65" s="3">
        <f>SUM(B65:E65)</f>
        <v>200000</v>
      </c>
      <c r="H65" s="2">
        <f>B66*B65+C66*C65+D66*D65+E66*E65</f>
        <v>1930000</v>
      </c>
      <c r="I65" s="2" t="s">
        <v>82</v>
      </c>
    </row>
    <row r="66" spans="1:9" x14ac:dyDescent="0.25">
      <c r="A66" s="75" t="s">
        <v>79</v>
      </c>
      <c r="B66" s="2">
        <v>5</v>
      </c>
      <c r="C66" s="2">
        <v>7</v>
      </c>
      <c r="D66" s="2">
        <v>12</v>
      </c>
      <c r="E66" s="2">
        <v>19</v>
      </c>
      <c r="F66" s="3">
        <f>SUM(B66:E66)</f>
        <v>43</v>
      </c>
      <c r="H66" s="2">
        <f>-(B67*B65+C67*C65+D67*D65+E67*E65)</f>
        <v>-1929000</v>
      </c>
      <c r="I66" s="2" t="s">
        <v>83</v>
      </c>
    </row>
    <row r="67" spans="1:9" x14ac:dyDescent="0.25">
      <c r="A67" s="75" t="s">
        <v>80</v>
      </c>
      <c r="B67" s="2">
        <v>4.7</v>
      </c>
      <c r="C67" s="2">
        <v>7.2</v>
      </c>
      <c r="D67" s="2">
        <v>13.4</v>
      </c>
      <c r="E67" s="2">
        <v>17.899999999999999</v>
      </c>
      <c r="F67" s="3">
        <f>SUM(B67:E67)</f>
        <v>43.2</v>
      </c>
      <c r="H67" s="2"/>
      <c r="I67" s="2"/>
    </row>
    <row r="68" spans="1:9" x14ac:dyDescent="0.25">
      <c r="A68" s="74" t="s">
        <v>104</v>
      </c>
      <c r="B68" s="3">
        <f>B66*B65-B67*B65</f>
        <v>15000</v>
      </c>
      <c r="C68" s="3">
        <f>C66*C65-C67*C65</f>
        <v>-16000</v>
      </c>
      <c r="D68" s="3">
        <f>D66*D65-D67*D65</f>
        <v>-42000</v>
      </c>
      <c r="E68" s="3">
        <f>E66*E65-E67*E65</f>
        <v>44000</v>
      </c>
      <c r="F68" s="3">
        <f>SUM(B68:E68)</f>
        <v>1000</v>
      </c>
      <c r="H68" s="3">
        <f>SUM(H65:H67)</f>
        <v>1000</v>
      </c>
      <c r="I68" s="3" t="s">
        <v>54</v>
      </c>
    </row>
    <row r="69" spans="1:9" x14ac:dyDescent="0.25">
      <c r="A69" s="74" t="s">
        <v>105</v>
      </c>
      <c r="B69" s="296">
        <f>SUM(B68:E68)</f>
        <v>1000</v>
      </c>
      <c r="C69" s="296"/>
      <c r="D69" s="296"/>
      <c r="E69" s="296"/>
      <c r="F69" s="3"/>
    </row>
    <row r="71" spans="1:9" x14ac:dyDescent="0.25">
      <c r="A71" s="296" t="s">
        <v>84</v>
      </c>
      <c r="B71" s="296"/>
      <c r="C71" s="296"/>
      <c r="D71" s="296"/>
      <c r="E71" s="296"/>
      <c r="F71" s="296"/>
    </row>
    <row r="72" spans="1:9" x14ac:dyDescent="0.25">
      <c r="A72" s="75"/>
      <c r="B72" s="2" t="s">
        <v>74</v>
      </c>
      <c r="C72" s="2" t="s">
        <v>75</v>
      </c>
      <c r="D72" s="2" t="s">
        <v>76</v>
      </c>
      <c r="E72" s="2" t="s">
        <v>77</v>
      </c>
      <c r="F72" s="2" t="s">
        <v>53</v>
      </c>
    </row>
    <row r="73" spans="1:9" x14ac:dyDescent="0.25">
      <c r="A73" s="75" t="s">
        <v>78</v>
      </c>
      <c r="B73" s="2">
        <v>50000</v>
      </c>
      <c r="C73" s="2">
        <v>80000</v>
      </c>
      <c r="D73" s="2">
        <v>30000</v>
      </c>
      <c r="E73" s="2">
        <v>40000</v>
      </c>
      <c r="F73" s="3">
        <f>SUM(B73:E73)</f>
        <v>200000</v>
      </c>
    </row>
    <row r="74" spans="1:9" x14ac:dyDescent="0.25">
      <c r="A74" s="75" t="s">
        <v>79</v>
      </c>
      <c r="B74" s="2">
        <v>5</v>
      </c>
      <c r="C74" s="2">
        <v>7</v>
      </c>
      <c r="D74" s="2">
        <v>12</v>
      </c>
      <c r="E74" s="2">
        <v>19</v>
      </c>
      <c r="F74" s="3">
        <f>SUM(B74:E74)</f>
        <v>43</v>
      </c>
    </row>
    <row r="75" spans="1:9" x14ac:dyDescent="0.25">
      <c r="A75" s="75" t="s">
        <v>80</v>
      </c>
      <c r="B75" s="2">
        <v>4.7</v>
      </c>
      <c r="C75" s="2">
        <v>7.2</v>
      </c>
      <c r="D75" s="2">
        <v>13.4</v>
      </c>
      <c r="E75" s="2">
        <v>17.899999999999999</v>
      </c>
      <c r="F75" s="3">
        <f>SUM(B75:E75)</f>
        <v>43.2</v>
      </c>
    </row>
    <row r="76" spans="1:9" x14ac:dyDescent="0.25">
      <c r="A76" s="75"/>
      <c r="B76" s="2"/>
      <c r="C76" s="2"/>
      <c r="D76" s="2"/>
      <c r="E76" s="2"/>
      <c r="F76" s="2"/>
    </row>
    <row r="77" spans="1:9" x14ac:dyDescent="0.25">
      <c r="A77" s="75" t="s">
        <v>85</v>
      </c>
      <c r="B77" s="2">
        <v>3.5</v>
      </c>
      <c r="C77" s="2">
        <v>5</v>
      </c>
      <c r="D77" s="2">
        <v>8.1999999999999993</v>
      </c>
      <c r="E77" s="2">
        <v>16.100000000000001</v>
      </c>
      <c r="F77" s="3">
        <f>SUM(B77:E77)</f>
        <v>32.799999999999997</v>
      </c>
    </row>
    <row r="78" spans="1:9" x14ac:dyDescent="0.25">
      <c r="A78" s="74" t="s">
        <v>104</v>
      </c>
      <c r="B78" s="3">
        <f>B74*B73-B77*B73</f>
        <v>75000</v>
      </c>
      <c r="C78" s="3">
        <f>C74*C73-C77*C73</f>
        <v>160000</v>
      </c>
      <c r="D78" s="3">
        <f>D74*D73-D77*D73</f>
        <v>114000.00000000003</v>
      </c>
      <c r="E78" s="3">
        <f>E74*E73-E77*E73</f>
        <v>116000</v>
      </c>
      <c r="F78" s="3">
        <f>SUM(B78:E78)</f>
        <v>465000</v>
      </c>
    </row>
    <row r="79" spans="1:9" x14ac:dyDescent="0.25">
      <c r="A79" s="75" t="s">
        <v>86</v>
      </c>
      <c r="B79" s="297">
        <v>464000</v>
      </c>
      <c r="C79" s="297"/>
      <c r="D79" s="297"/>
      <c r="E79" s="297"/>
      <c r="F79" s="2"/>
    </row>
    <row r="80" spans="1:9" x14ac:dyDescent="0.25">
      <c r="A80" s="74" t="s">
        <v>105</v>
      </c>
      <c r="B80" s="296">
        <f>F78-B79</f>
        <v>1000</v>
      </c>
      <c r="C80" s="296"/>
      <c r="D80" s="296"/>
      <c r="E80" s="296"/>
      <c r="F80" s="3"/>
    </row>
    <row r="83" spans="1:9" x14ac:dyDescent="0.25">
      <c r="A83" s="296" t="s">
        <v>106</v>
      </c>
      <c r="B83" s="297"/>
      <c r="C83" s="297"/>
      <c r="D83" s="297"/>
      <c r="E83" s="297"/>
      <c r="F83" s="297"/>
      <c r="G83" s="297"/>
      <c r="H83" s="297"/>
      <c r="I83" s="297"/>
    </row>
    <row r="84" spans="1:9" x14ac:dyDescent="0.25">
      <c r="A84" s="298" t="s">
        <v>87</v>
      </c>
      <c r="B84" s="299"/>
      <c r="C84" s="299"/>
      <c r="D84" s="300"/>
      <c r="F84" s="296" t="s">
        <v>95</v>
      </c>
      <c r="G84" s="296"/>
      <c r="H84" s="296"/>
      <c r="I84" s="296"/>
    </row>
    <row r="85" spans="1:9" x14ac:dyDescent="0.25">
      <c r="A85" s="75"/>
      <c r="B85" s="9" t="s">
        <v>88</v>
      </c>
      <c r="C85" s="3" t="s">
        <v>89</v>
      </c>
      <c r="D85" s="2"/>
      <c r="F85" s="2" t="s">
        <v>96</v>
      </c>
      <c r="G85" s="2">
        <v>128000</v>
      </c>
      <c r="H85" s="2">
        <v>180000</v>
      </c>
      <c r="I85" s="2" t="s">
        <v>94</v>
      </c>
    </row>
    <row r="86" spans="1:9" x14ac:dyDescent="0.25">
      <c r="A86" s="75" t="s">
        <v>88</v>
      </c>
      <c r="B86" s="2">
        <v>140000</v>
      </c>
      <c r="C86" s="2">
        <v>180000</v>
      </c>
      <c r="D86" s="2" t="s">
        <v>48</v>
      </c>
      <c r="F86" s="2" t="s">
        <v>103</v>
      </c>
      <c r="G86" s="2">
        <v>15000</v>
      </c>
      <c r="H86" s="2"/>
      <c r="I86" s="2"/>
    </row>
    <row r="87" spans="1:9" x14ac:dyDescent="0.25">
      <c r="A87" s="75" t="s">
        <v>90</v>
      </c>
      <c r="B87" s="2">
        <v>12000</v>
      </c>
      <c r="C87" s="2">
        <v>5000</v>
      </c>
      <c r="D87" s="2" t="s">
        <v>93</v>
      </c>
      <c r="F87" s="2" t="s">
        <v>102</v>
      </c>
      <c r="G87" s="2">
        <v>5000</v>
      </c>
      <c r="H87" s="2"/>
      <c r="I87" s="2"/>
    </row>
    <row r="88" spans="1:9" x14ac:dyDescent="0.25">
      <c r="A88" s="74" t="s">
        <v>53</v>
      </c>
      <c r="B88" s="3">
        <f>SUM(B86:B87)</f>
        <v>152000</v>
      </c>
      <c r="C88" s="3">
        <f>SUM(C86:C87)</f>
        <v>185000</v>
      </c>
      <c r="D88" s="3" t="s">
        <v>91</v>
      </c>
      <c r="F88" s="3" t="s">
        <v>53</v>
      </c>
      <c r="G88" s="3">
        <f>SUM(G85:G87)</f>
        <v>148000</v>
      </c>
      <c r="H88" s="3">
        <f>SUM(H85:H87)</f>
        <v>180000</v>
      </c>
      <c r="I88" s="3" t="s">
        <v>53</v>
      </c>
    </row>
    <row r="89" spans="1:9" x14ac:dyDescent="0.25">
      <c r="A89" s="74" t="s">
        <v>92</v>
      </c>
      <c r="B89" s="296">
        <f>C88-B88</f>
        <v>33000</v>
      </c>
      <c r="C89" s="296"/>
      <c r="D89" s="3" t="s">
        <v>92</v>
      </c>
      <c r="F89" s="3" t="s">
        <v>54</v>
      </c>
      <c r="G89" s="296">
        <f>H88-G88</f>
        <v>32000</v>
      </c>
      <c r="H89" s="296"/>
      <c r="I89" s="3" t="s">
        <v>54</v>
      </c>
    </row>
    <row r="92" spans="1:9" x14ac:dyDescent="0.25">
      <c r="C92" s="301" t="s">
        <v>96</v>
      </c>
      <c r="D92" s="302"/>
      <c r="E92" s="301" t="s">
        <v>97</v>
      </c>
      <c r="F92" s="302"/>
    </row>
    <row r="93" spans="1:9" x14ac:dyDescent="0.25">
      <c r="C93" s="2" t="s">
        <v>98</v>
      </c>
      <c r="D93" s="2">
        <v>30000</v>
      </c>
      <c r="E93" s="2">
        <v>15000</v>
      </c>
      <c r="F93" s="2" t="s">
        <v>102</v>
      </c>
    </row>
    <row r="94" spans="1:9" x14ac:dyDescent="0.25">
      <c r="C94" s="2" t="s">
        <v>99</v>
      </c>
      <c r="D94" s="2">
        <v>50000</v>
      </c>
      <c r="E94" s="2">
        <v>5000</v>
      </c>
      <c r="F94" s="2" t="s">
        <v>103</v>
      </c>
    </row>
    <row r="95" spans="1:9" x14ac:dyDescent="0.25">
      <c r="C95" s="2" t="s">
        <v>100</v>
      </c>
      <c r="D95" s="2">
        <v>15000</v>
      </c>
      <c r="E95" s="2"/>
      <c r="F95" s="2"/>
    </row>
    <row r="96" spans="1:9" x14ac:dyDescent="0.25">
      <c r="C96" s="2" t="s">
        <v>101</v>
      </c>
      <c r="D96" s="2">
        <v>25000</v>
      </c>
      <c r="E96" s="2"/>
      <c r="F96" s="2"/>
    </row>
    <row r="97" spans="1:9" x14ac:dyDescent="0.25">
      <c r="C97" s="3" t="s">
        <v>53</v>
      </c>
      <c r="D97" s="3">
        <f>SUM(D93:D96)</f>
        <v>120000</v>
      </c>
      <c r="E97" s="3">
        <f>SUM(E93:E96)</f>
        <v>20000</v>
      </c>
      <c r="F97" s="3" t="s">
        <v>53</v>
      </c>
    </row>
    <row r="101" spans="1:9" x14ac:dyDescent="0.25">
      <c r="A101" s="284" t="s">
        <v>107</v>
      </c>
      <c r="B101" s="284"/>
      <c r="C101" s="284"/>
      <c r="D101" s="284"/>
      <c r="E101" s="284"/>
      <c r="F101" s="284"/>
      <c r="G101" s="284"/>
      <c r="H101" s="284"/>
      <c r="I101" s="284"/>
    </row>
    <row r="102" spans="1:9" ht="15.75" thickBot="1" x14ac:dyDescent="0.3"/>
    <row r="103" spans="1:9" ht="15.75" thickBot="1" x14ac:dyDescent="0.3">
      <c r="A103" s="255" t="s">
        <v>132</v>
      </c>
      <c r="B103" s="256"/>
      <c r="C103" s="256"/>
      <c r="D103" s="257"/>
      <c r="F103" s="255" t="s">
        <v>121</v>
      </c>
      <c r="G103" s="256"/>
      <c r="H103" s="27"/>
      <c r="I103" s="28"/>
    </row>
    <row r="104" spans="1:9" x14ac:dyDescent="0.25">
      <c r="A104" s="315" t="s">
        <v>129</v>
      </c>
      <c r="B104" s="318">
        <f>SUM(D104:D109)</f>
        <v>898300</v>
      </c>
      <c r="C104" s="24" t="s">
        <v>108</v>
      </c>
      <c r="D104" s="17">
        <v>127000</v>
      </c>
      <c r="F104" s="280" t="s">
        <v>130</v>
      </c>
      <c r="G104" s="309">
        <f>SUM(I104:I106)</f>
        <v>128800</v>
      </c>
      <c r="H104" s="24" t="s">
        <v>113</v>
      </c>
      <c r="I104" s="17">
        <v>62650</v>
      </c>
    </row>
    <row r="105" spans="1:9" x14ac:dyDescent="0.25">
      <c r="A105" s="316"/>
      <c r="B105" s="319"/>
      <c r="C105" s="2" t="s">
        <v>109</v>
      </c>
      <c r="D105" s="11">
        <v>5800</v>
      </c>
      <c r="F105" s="281"/>
      <c r="G105" s="297"/>
      <c r="H105" s="2" t="s">
        <v>112</v>
      </c>
      <c r="I105" s="11">
        <v>53650</v>
      </c>
    </row>
    <row r="106" spans="1:9" ht="15.75" thickBot="1" x14ac:dyDescent="0.3">
      <c r="A106" s="316"/>
      <c r="B106" s="319"/>
      <c r="C106" s="2" t="s">
        <v>65</v>
      </c>
      <c r="D106" s="11">
        <v>14500</v>
      </c>
      <c r="F106" s="282"/>
      <c r="G106" s="310"/>
      <c r="H106" s="25" t="s">
        <v>62</v>
      </c>
      <c r="I106" s="26">
        <v>12500</v>
      </c>
    </row>
    <row r="107" spans="1:9" x14ac:dyDescent="0.25">
      <c r="A107" s="316"/>
      <c r="B107" s="319"/>
      <c r="C107" s="2" t="s">
        <v>110</v>
      </c>
      <c r="D107" s="11">
        <v>20800</v>
      </c>
      <c r="F107" s="311" t="s">
        <v>133</v>
      </c>
      <c r="G107" s="309">
        <f>SUM(I107:I108)</f>
        <v>157980</v>
      </c>
      <c r="H107" s="24" t="s">
        <v>119</v>
      </c>
      <c r="I107" s="17">
        <v>127980</v>
      </c>
    </row>
    <row r="108" spans="1:9" ht="15.75" thickBot="1" x14ac:dyDescent="0.3">
      <c r="A108" s="316"/>
      <c r="B108" s="319"/>
      <c r="C108" s="2" t="s">
        <v>111</v>
      </c>
      <c r="D108" s="11">
        <v>119700</v>
      </c>
      <c r="F108" s="312"/>
      <c r="G108" s="310"/>
      <c r="H108" s="25" t="s">
        <v>115</v>
      </c>
      <c r="I108" s="26">
        <v>30000</v>
      </c>
    </row>
    <row r="109" spans="1:9" ht="15.75" thickBot="1" x14ac:dyDescent="0.3">
      <c r="A109" s="317"/>
      <c r="B109" s="320"/>
      <c r="C109" s="25" t="s">
        <v>114</v>
      </c>
      <c r="D109" s="26">
        <v>610500</v>
      </c>
      <c r="F109" s="133" t="s">
        <v>53</v>
      </c>
      <c r="G109" s="22">
        <f>SUM(G104:G108)</f>
        <v>286780</v>
      </c>
      <c r="H109" s="22" t="s">
        <v>53</v>
      </c>
      <c r="I109" s="23">
        <f>SUM(I104:I108)</f>
        <v>286780</v>
      </c>
    </row>
    <row r="110" spans="1:9" x14ac:dyDescent="0.25">
      <c r="A110" s="315" t="s">
        <v>128</v>
      </c>
      <c r="B110" s="309">
        <f>SUM(D110:D112)</f>
        <v>290000</v>
      </c>
      <c r="C110" s="24" t="s">
        <v>116</v>
      </c>
      <c r="D110" s="17">
        <v>150000</v>
      </c>
    </row>
    <row r="111" spans="1:9" x14ac:dyDescent="0.25">
      <c r="A111" s="316"/>
      <c r="B111" s="297"/>
      <c r="C111" s="2" t="s">
        <v>117</v>
      </c>
      <c r="D111" s="11">
        <v>50000</v>
      </c>
    </row>
    <row r="112" spans="1:9" ht="15.75" thickBot="1" x14ac:dyDescent="0.3">
      <c r="A112" s="317"/>
      <c r="B112" s="310"/>
      <c r="C112" s="25" t="s">
        <v>118</v>
      </c>
      <c r="D112" s="26">
        <v>90000</v>
      </c>
    </row>
    <row r="113" spans="1:9" ht="15.75" thickBot="1" x14ac:dyDescent="0.3">
      <c r="A113" s="76" t="s">
        <v>53</v>
      </c>
      <c r="B113" s="22">
        <f>SUM(B104:B112)</f>
        <v>1188300</v>
      </c>
      <c r="C113" s="22"/>
      <c r="D113" s="23">
        <f>SUM(D104:D112)</f>
        <v>1188300</v>
      </c>
    </row>
    <row r="116" spans="1:9" ht="15.75" thickBot="1" x14ac:dyDescent="0.3">
      <c r="A116" s="297" t="s">
        <v>88</v>
      </c>
      <c r="B116" s="297"/>
      <c r="C116" s="297"/>
      <c r="D116" s="297"/>
      <c r="F116" s="301" t="s">
        <v>124</v>
      </c>
      <c r="G116" s="264"/>
      <c r="H116" s="264"/>
      <c r="I116" s="302"/>
    </row>
    <row r="117" spans="1:9" x14ac:dyDescent="0.25">
      <c r="A117" s="74" t="s">
        <v>120</v>
      </c>
      <c r="B117" s="3" t="s">
        <v>74</v>
      </c>
      <c r="C117" s="3" t="s">
        <v>75</v>
      </c>
      <c r="D117" s="3" t="s">
        <v>53</v>
      </c>
      <c r="E117" s="1"/>
      <c r="F117" s="33" t="s">
        <v>127</v>
      </c>
      <c r="G117" s="34" t="s">
        <v>122</v>
      </c>
      <c r="H117" s="35" t="s">
        <v>125</v>
      </c>
      <c r="I117" s="36" t="s">
        <v>126</v>
      </c>
    </row>
    <row r="118" spans="1:9" x14ac:dyDescent="0.25">
      <c r="A118" s="75" t="s">
        <v>78</v>
      </c>
      <c r="B118" s="2">
        <v>1500</v>
      </c>
      <c r="C118" s="2">
        <v>1600</v>
      </c>
      <c r="D118" s="2">
        <f>SUM(B118:C118)</f>
        <v>3100</v>
      </c>
      <c r="F118" s="14" t="s">
        <v>122</v>
      </c>
      <c r="G118" s="313">
        <f>D120</f>
        <v>119700</v>
      </c>
      <c r="H118" s="314"/>
      <c r="I118" s="15"/>
    </row>
    <row r="119" spans="1:9" ht="15.75" thickBot="1" x14ac:dyDescent="0.3">
      <c r="A119" s="75" t="s">
        <v>122</v>
      </c>
      <c r="B119" s="2">
        <v>35</v>
      </c>
      <c r="C119" s="2">
        <v>42</v>
      </c>
      <c r="D119" s="21">
        <f>SUM(B119:C119)</f>
        <v>77</v>
      </c>
      <c r="F119" s="5" t="s">
        <v>114</v>
      </c>
      <c r="G119" s="31">
        <v>243300</v>
      </c>
      <c r="H119" s="32">
        <v>425300</v>
      </c>
      <c r="I119" s="12">
        <f>D113-G120</f>
        <v>400000</v>
      </c>
    </row>
    <row r="120" spans="1:9" ht="15.75" thickBot="1" x14ac:dyDescent="0.3">
      <c r="A120" s="74" t="s">
        <v>123</v>
      </c>
      <c r="B120" s="3">
        <f>B119*B118</f>
        <v>52500</v>
      </c>
      <c r="C120" s="29">
        <f>C119*C118</f>
        <v>67200</v>
      </c>
      <c r="D120" s="30">
        <f>SUM(B120:C120)</f>
        <v>119700</v>
      </c>
      <c r="F120" s="5" t="s">
        <v>134</v>
      </c>
      <c r="G120" s="321">
        <f>G118+H119+G119</f>
        <v>788300</v>
      </c>
      <c r="H120" s="322"/>
      <c r="I120" s="16"/>
    </row>
    <row r="121" spans="1:9" x14ac:dyDescent="0.25">
      <c r="F121" s="18" t="s">
        <v>53</v>
      </c>
      <c r="G121" s="323">
        <f>SUM(G120,I119)</f>
        <v>1188300</v>
      </c>
      <c r="H121" s="323"/>
      <c r="I121" s="296"/>
    </row>
    <row r="124" spans="1:9" ht="15.75" thickBot="1" x14ac:dyDescent="0.3"/>
    <row r="125" spans="1:9" ht="15.75" thickBot="1" x14ac:dyDescent="0.3">
      <c r="A125" s="277" t="s">
        <v>135</v>
      </c>
      <c r="B125" s="278"/>
      <c r="C125" s="278"/>
      <c r="D125" s="278"/>
      <c r="E125" s="278"/>
      <c r="F125" s="278"/>
      <c r="G125" s="278"/>
      <c r="H125" s="278"/>
      <c r="I125" s="279"/>
    </row>
    <row r="126" spans="1:9" ht="15.75" thickBot="1" x14ac:dyDescent="0.3">
      <c r="A126" s="324" t="s">
        <v>96</v>
      </c>
      <c r="B126" s="325"/>
      <c r="C126" s="325"/>
      <c r="D126" s="326"/>
    </row>
    <row r="127" spans="1:9" ht="15" customHeight="1" thickBot="1" x14ac:dyDescent="0.3">
      <c r="A127" s="77" t="s">
        <v>67</v>
      </c>
      <c r="B127" s="17">
        <v>127000</v>
      </c>
      <c r="C127" s="306">
        <f>SUM(B127:B131)</f>
        <v>743640</v>
      </c>
      <c r="D127" s="327" t="s">
        <v>55</v>
      </c>
    </row>
    <row r="128" spans="1:9" x14ac:dyDescent="0.25">
      <c r="A128" s="78" t="s">
        <v>109</v>
      </c>
      <c r="B128" s="11">
        <v>6100</v>
      </c>
      <c r="C128" s="307"/>
      <c r="D128" s="328"/>
      <c r="F128" s="303" t="s">
        <v>88</v>
      </c>
      <c r="G128" s="304"/>
      <c r="H128" s="304"/>
      <c r="I128" s="305"/>
    </row>
    <row r="129" spans="1:9" x14ac:dyDescent="0.25">
      <c r="A129" s="78" t="s">
        <v>110</v>
      </c>
      <c r="B129" s="11">
        <v>20840</v>
      </c>
      <c r="C129" s="307"/>
      <c r="D129" s="328"/>
      <c r="F129" s="53" t="s">
        <v>120</v>
      </c>
      <c r="G129" s="3" t="s">
        <v>74</v>
      </c>
      <c r="H129" s="3" t="s">
        <v>75</v>
      </c>
      <c r="I129" s="54" t="s">
        <v>53</v>
      </c>
    </row>
    <row r="130" spans="1:9" x14ac:dyDescent="0.25">
      <c r="A130" s="78" t="s">
        <v>136</v>
      </c>
      <c r="B130" s="11">
        <v>119700</v>
      </c>
      <c r="C130" s="307"/>
      <c r="D130" s="328"/>
      <c r="F130" s="10" t="s">
        <v>78</v>
      </c>
      <c r="G130" s="2">
        <v>1500</v>
      </c>
      <c r="H130" s="2">
        <v>1600</v>
      </c>
      <c r="I130" s="11">
        <f>SUM(G130:H130)</f>
        <v>3100</v>
      </c>
    </row>
    <row r="131" spans="1:9" ht="15.75" thickBot="1" x14ac:dyDescent="0.3">
      <c r="A131" s="79" t="s">
        <v>143</v>
      </c>
      <c r="B131" s="26">
        <v>470000</v>
      </c>
      <c r="C131" s="308"/>
      <c r="D131" s="329"/>
      <c r="F131" s="10" t="s">
        <v>122</v>
      </c>
      <c r="G131" s="2">
        <v>35</v>
      </c>
      <c r="H131" s="2">
        <v>42</v>
      </c>
      <c r="I131" s="32">
        <f>SUM(G131:H131)</f>
        <v>77</v>
      </c>
    </row>
    <row r="132" spans="1:9" x14ac:dyDescent="0.25">
      <c r="A132" s="77" t="s">
        <v>151</v>
      </c>
      <c r="B132" s="17">
        <v>53650</v>
      </c>
      <c r="C132" s="306">
        <f>SUM(B132:B133)</f>
        <v>181630</v>
      </c>
      <c r="D132" s="330" t="s">
        <v>144</v>
      </c>
      <c r="F132" s="58" t="s">
        <v>123</v>
      </c>
      <c r="G132" s="13">
        <f>G131*G130</f>
        <v>52500</v>
      </c>
      <c r="H132" s="39">
        <f>H131*H130</f>
        <v>67200</v>
      </c>
      <c r="I132" s="40">
        <f>SUM(G132:H132)</f>
        <v>119700</v>
      </c>
    </row>
    <row r="133" spans="1:9" ht="15.75" thickBot="1" x14ac:dyDescent="0.3">
      <c r="A133" s="79" t="s">
        <v>137</v>
      </c>
      <c r="B133" s="26">
        <v>127980</v>
      </c>
      <c r="C133" s="308"/>
      <c r="D133" s="331"/>
      <c r="F133" s="10" t="s">
        <v>147</v>
      </c>
      <c r="G133" s="2">
        <f>2*H140</f>
        <v>120</v>
      </c>
      <c r="H133" s="2">
        <f>H134/H130</f>
        <v>262.5</v>
      </c>
      <c r="I133" s="11">
        <f>SUM(G133:H133)</f>
        <v>382.5</v>
      </c>
    </row>
    <row r="134" spans="1:9" ht="15.75" thickBot="1" x14ac:dyDescent="0.3">
      <c r="A134" s="80" t="s">
        <v>131</v>
      </c>
      <c r="B134" s="37">
        <f>SUM(B127:B133)</f>
        <v>925270</v>
      </c>
      <c r="C134" s="255">
        <f>SUM(C127:C133)</f>
        <v>925270</v>
      </c>
      <c r="D134" s="257"/>
      <c r="F134" s="38" t="s">
        <v>148</v>
      </c>
      <c r="G134" s="25">
        <f>G133*G130</f>
        <v>180000</v>
      </c>
      <c r="H134" s="25">
        <f>H139-G134</f>
        <v>420000</v>
      </c>
      <c r="I134" s="26">
        <f>SUM(G134:H134)</f>
        <v>600000</v>
      </c>
    </row>
    <row r="135" spans="1:9" ht="15.75" thickBot="1" x14ac:dyDescent="0.3"/>
    <row r="136" spans="1:9" ht="15.75" thickBot="1" x14ac:dyDescent="0.3">
      <c r="A136" s="260" t="s">
        <v>97</v>
      </c>
      <c r="B136" s="261"/>
      <c r="C136" s="256"/>
      <c r="D136" s="257"/>
    </row>
    <row r="137" spans="1:9" x14ac:dyDescent="0.25">
      <c r="A137" s="77" t="s">
        <v>138</v>
      </c>
      <c r="B137" s="17">
        <v>14500</v>
      </c>
      <c r="C137" s="330">
        <f>SUM(B137:B142)</f>
        <v>371820</v>
      </c>
      <c r="D137" s="292" t="s">
        <v>145</v>
      </c>
      <c r="F137" s="337" t="s">
        <v>124</v>
      </c>
      <c r="G137" s="338"/>
      <c r="H137" s="338"/>
      <c r="I137" s="339"/>
    </row>
    <row r="138" spans="1:9" x14ac:dyDescent="0.25">
      <c r="A138" s="78" t="s">
        <v>139</v>
      </c>
      <c r="B138" s="11">
        <v>259020</v>
      </c>
      <c r="C138" s="332"/>
      <c r="D138" s="293"/>
      <c r="F138" s="53" t="s">
        <v>127</v>
      </c>
      <c r="G138" s="3" t="s">
        <v>122</v>
      </c>
      <c r="H138" s="3" t="s">
        <v>125</v>
      </c>
      <c r="I138" s="54" t="s">
        <v>126</v>
      </c>
    </row>
    <row r="139" spans="1:9" x14ac:dyDescent="0.25">
      <c r="A139" s="78" t="s">
        <v>117</v>
      </c>
      <c r="B139" s="11">
        <v>50000</v>
      </c>
      <c r="C139" s="332"/>
      <c r="D139" s="293"/>
      <c r="F139" s="10" t="s">
        <v>146</v>
      </c>
      <c r="G139" s="2">
        <v>23940</v>
      </c>
      <c r="H139" s="2">
        <f>C127-G139-G140</f>
        <v>600000</v>
      </c>
      <c r="I139" s="11">
        <f>C137</f>
        <v>371820</v>
      </c>
    </row>
    <row r="140" spans="1:9" x14ac:dyDescent="0.25">
      <c r="A140" s="78" t="s">
        <v>142</v>
      </c>
      <c r="B140" s="11">
        <v>40000</v>
      </c>
      <c r="C140" s="332"/>
      <c r="D140" s="293"/>
      <c r="F140" s="55" t="s">
        <v>20</v>
      </c>
      <c r="G140" s="8">
        <f>I132</f>
        <v>119700</v>
      </c>
      <c r="H140" s="2">
        <f>H139/10000</f>
        <v>60</v>
      </c>
      <c r="I140" s="11">
        <f>H139+G139+G140</f>
        <v>743640</v>
      </c>
    </row>
    <row r="141" spans="1:9" x14ac:dyDescent="0.25">
      <c r="A141" s="78" t="s">
        <v>170</v>
      </c>
      <c r="B141" s="11">
        <v>7000</v>
      </c>
      <c r="C141" s="332"/>
      <c r="D141" s="293"/>
      <c r="F141" s="55"/>
      <c r="G141" s="8"/>
      <c r="H141" s="2"/>
      <c r="I141" s="11"/>
    </row>
    <row r="142" spans="1:9" ht="15.75" thickBot="1" x14ac:dyDescent="0.3">
      <c r="A142" s="81" t="s">
        <v>169</v>
      </c>
      <c r="B142" s="45">
        <v>1300</v>
      </c>
      <c r="C142" s="331"/>
      <c r="D142" s="294"/>
      <c r="F142" s="55" t="s">
        <v>149</v>
      </c>
      <c r="G142" s="2">
        <f>G140/G139</f>
        <v>5</v>
      </c>
      <c r="H142" s="2">
        <f>H140/H139</f>
        <v>1E-4</v>
      </c>
      <c r="I142" s="11">
        <f>I140/I139</f>
        <v>2</v>
      </c>
    </row>
    <row r="143" spans="1:9" ht="15.75" thickBot="1" x14ac:dyDescent="0.3">
      <c r="A143" s="82" t="s">
        <v>140</v>
      </c>
      <c r="B143" s="20">
        <v>62650</v>
      </c>
      <c r="C143" s="332">
        <f>SUM(B143:B146)</f>
        <v>125150</v>
      </c>
      <c r="D143" s="333" t="s">
        <v>144</v>
      </c>
      <c r="F143" s="56" t="s">
        <v>154</v>
      </c>
      <c r="G143" s="57">
        <f>100/G142</f>
        <v>20</v>
      </c>
      <c r="H143" s="57">
        <f>100/H142</f>
        <v>1000000</v>
      </c>
      <c r="I143" s="46">
        <f>100/I142</f>
        <v>50</v>
      </c>
    </row>
    <row r="144" spans="1:9" x14ac:dyDescent="0.25">
      <c r="A144" s="78" t="s">
        <v>62</v>
      </c>
      <c r="B144" s="11">
        <v>12500</v>
      </c>
      <c r="C144" s="332"/>
      <c r="D144" s="333"/>
    </row>
    <row r="145" spans="1:11" ht="15.75" thickBot="1" x14ac:dyDescent="0.3">
      <c r="A145" s="78" t="s">
        <v>61</v>
      </c>
      <c r="B145" s="11">
        <v>20000</v>
      </c>
      <c r="C145" s="332"/>
      <c r="D145" s="333"/>
    </row>
    <row r="146" spans="1:11" ht="15.75" thickBot="1" x14ac:dyDescent="0.3">
      <c r="A146" s="78" t="s">
        <v>141</v>
      </c>
      <c r="B146" s="11">
        <v>30000</v>
      </c>
      <c r="C146" s="331"/>
      <c r="D146" s="334"/>
      <c r="F146" s="287" t="s">
        <v>160</v>
      </c>
      <c r="G146" s="278"/>
      <c r="H146" s="278"/>
      <c r="I146" s="279"/>
    </row>
    <row r="147" spans="1:11" ht="15.75" thickBot="1" x14ac:dyDescent="0.3">
      <c r="A147" s="83" t="s">
        <v>131</v>
      </c>
      <c r="B147" s="37">
        <f>SUM(B137:B146)</f>
        <v>496970</v>
      </c>
      <c r="C147" s="255">
        <f>SUM(C137:C146)</f>
        <v>496970</v>
      </c>
      <c r="D147" s="257"/>
      <c r="F147" s="313" t="s">
        <v>158</v>
      </c>
      <c r="G147" s="340"/>
      <c r="H147" s="51" t="s">
        <v>74</v>
      </c>
      <c r="I147" s="52" t="s">
        <v>75</v>
      </c>
    </row>
    <row r="148" spans="1:11" x14ac:dyDescent="0.25">
      <c r="F148" s="281" t="s">
        <v>122</v>
      </c>
      <c r="G148" s="297"/>
      <c r="H148" s="7">
        <v>35</v>
      </c>
      <c r="I148" s="42">
        <v>42</v>
      </c>
    </row>
    <row r="149" spans="1:11" ht="15.75" thickBot="1" x14ac:dyDescent="0.3">
      <c r="F149" s="281" t="s">
        <v>155</v>
      </c>
      <c r="G149" s="297"/>
      <c r="H149" s="7">
        <f>G133</f>
        <v>120</v>
      </c>
      <c r="I149" s="42">
        <f>H133</f>
        <v>262.5</v>
      </c>
    </row>
    <row r="150" spans="1:11" ht="15.75" thickBot="1" x14ac:dyDescent="0.3">
      <c r="A150" s="255" t="s">
        <v>172</v>
      </c>
      <c r="B150" s="256"/>
      <c r="C150" s="256"/>
      <c r="D150" s="257"/>
      <c r="F150" s="281" t="s">
        <v>156</v>
      </c>
      <c r="G150" s="297"/>
      <c r="H150" s="7">
        <f>H148/100*G143</f>
        <v>7</v>
      </c>
      <c r="I150" s="42">
        <f>I148/100*G143</f>
        <v>8.4</v>
      </c>
    </row>
    <row r="151" spans="1:11" ht="15.75" thickBot="1" x14ac:dyDescent="0.3">
      <c r="A151" s="255" t="s">
        <v>54</v>
      </c>
      <c r="B151" s="257"/>
      <c r="C151" s="255" t="s">
        <v>171</v>
      </c>
      <c r="D151" s="257"/>
      <c r="F151" s="281" t="s">
        <v>159</v>
      </c>
      <c r="G151" s="297"/>
      <c r="H151" s="7">
        <f>SUM(H148:H150)</f>
        <v>162</v>
      </c>
      <c r="I151" s="42">
        <f>SUM(I148:I150)</f>
        <v>312.89999999999998</v>
      </c>
    </row>
    <row r="152" spans="1:11" x14ac:dyDescent="0.25">
      <c r="A152" s="82" t="s">
        <v>167</v>
      </c>
      <c r="B152" s="20">
        <f>G159</f>
        <v>450000</v>
      </c>
      <c r="C152" s="19">
        <v>127000</v>
      </c>
      <c r="D152" s="20" t="s">
        <v>67</v>
      </c>
      <c r="F152" s="281" t="s">
        <v>157</v>
      </c>
      <c r="G152" s="297"/>
      <c r="H152" s="7">
        <f>H151/100*I143</f>
        <v>81</v>
      </c>
      <c r="I152" s="42">
        <f>I151/100*I143</f>
        <v>156.44999999999999</v>
      </c>
    </row>
    <row r="153" spans="1:11" ht="15.75" thickBot="1" x14ac:dyDescent="0.3">
      <c r="A153" s="78" t="s">
        <v>168</v>
      </c>
      <c r="B153" s="11">
        <f>H159</f>
        <v>800000</v>
      </c>
      <c r="C153" s="10">
        <v>6100</v>
      </c>
      <c r="D153" s="11" t="s">
        <v>178</v>
      </c>
      <c r="F153" s="290" t="s">
        <v>161</v>
      </c>
      <c r="G153" s="335"/>
      <c r="H153" s="49">
        <f>SUM(H151:H152)</f>
        <v>243</v>
      </c>
      <c r="I153" s="50">
        <f>SUM(I151:I152)</f>
        <v>469.34999999999997</v>
      </c>
    </row>
    <row r="154" spans="1:11" ht="15.75" thickBot="1" x14ac:dyDescent="0.3">
      <c r="A154" s="78"/>
      <c r="B154" s="11"/>
      <c r="C154" s="10">
        <v>20840</v>
      </c>
      <c r="D154" s="11" t="s">
        <v>179</v>
      </c>
    </row>
    <row r="155" spans="1:11" ht="15.75" thickBot="1" x14ac:dyDescent="0.3">
      <c r="A155" s="78"/>
      <c r="B155" s="11"/>
      <c r="C155" s="10">
        <v>119700</v>
      </c>
      <c r="D155" s="11" t="s">
        <v>180</v>
      </c>
      <c r="F155" s="255" t="s">
        <v>173</v>
      </c>
      <c r="G155" s="256"/>
      <c r="H155" s="256"/>
      <c r="I155" s="256"/>
      <c r="J155" s="256"/>
      <c r="K155" s="257"/>
    </row>
    <row r="156" spans="1:11" x14ac:dyDescent="0.25">
      <c r="A156" s="78"/>
      <c r="B156" s="11"/>
      <c r="C156" s="10">
        <v>14500</v>
      </c>
      <c r="D156" s="11" t="s">
        <v>138</v>
      </c>
      <c r="F156" s="271" t="s">
        <v>87</v>
      </c>
      <c r="G156" s="344"/>
      <c r="H156" s="272"/>
      <c r="I156" s="271" t="s">
        <v>84</v>
      </c>
      <c r="J156" s="344"/>
      <c r="K156" s="272"/>
    </row>
    <row r="157" spans="1:11" x14ac:dyDescent="0.25">
      <c r="A157" s="78"/>
      <c r="B157" s="11"/>
      <c r="C157" s="10">
        <v>259020</v>
      </c>
      <c r="D157" s="11" t="s">
        <v>181</v>
      </c>
      <c r="F157" s="10" t="s">
        <v>120</v>
      </c>
      <c r="G157" s="2" t="s">
        <v>74</v>
      </c>
      <c r="H157" s="11" t="s">
        <v>75</v>
      </c>
      <c r="I157" s="10" t="s">
        <v>74</v>
      </c>
      <c r="J157" s="2" t="s">
        <v>75</v>
      </c>
      <c r="K157" s="44" t="s">
        <v>120</v>
      </c>
    </row>
    <row r="158" spans="1:11" x14ac:dyDescent="0.25">
      <c r="A158" s="78"/>
      <c r="B158" s="11"/>
      <c r="C158" s="10">
        <v>53650</v>
      </c>
      <c r="D158" s="11" t="s">
        <v>174</v>
      </c>
      <c r="F158" s="10" t="s">
        <v>150</v>
      </c>
      <c r="G158" s="2">
        <v>300</v>
      </c>
      <c r="H158" s="11">
        <v>500</v>
      </c>
      <c r="I158" s="10">
        <v>300</v>
      </c>
      <c r="J158" s="2">
        <v>500</v>
      </c>
      <c r="K158" s="11" t="s">
        <v>79</v>
      </c>
    </row>
    <row r="159" spans="1:11" x14ac:dyDescent="0.25">
      <c r="A159" s="78"/>
      <c r="B159" s="11"/>
      <c r="C159" s="10">
        <v>127980</v>
      </c>
      <c r="D159" s="11" t="s">
        <v>175</v>
      </c>
      <c r="F159" s="10" t="s">
        <v>162</v>
      </c>
      <c r="G159" s="2">
        <f>G130*G158</f>
        <v>450000</v>
      </c>
      <c r="H159" s="11">
        <f>H130*H158</f>
        <v>800000</v>
      </c>
      <c r="I159" s="10">
        <f>H153</f>
        <v>243</v>
      </c>
      <c r="J159" s="2">
        <f>I153</f>
        <v>469.34999999999997</v>
      </c>
      <c r="K159" s="11" t="s">
        <v>165</v>
      </c>
    </row>
    <row r="160" spans="1:11" x14ac:dyDescent="0.25">
      <c r="A160" s="78"/>
      <c r="B160" s="11"/>
      <c r="C160" s="10">
        <v>62650</v>
      </c>
      <c r="D160" s="11" t="s">
        <v>176</v>
      </c>
      <c r="F160" s="10" t="s">
        <v>96</v>
      </c>
      <c r="G160" s="297">
        <f>G140+H139+G139</f>
        <v>743640</v>
      </c>
      <c r="H160" s="336"/>
      <c r="I160" s="10">
        <f>I158-I159</f>
        <v>57</v>
      </c>
      <c r="J160" s="2">
        <f>J158-J159</f>
        <v>30.650000000000034</v>
      </c>
      <c r="K160" s="11" t="s">
        <v>166</v>
      </c>
    </row>
    <row r="161" spans="1:11" x14ac:dyDescent="0.25">
      <c r="A161" s="78"/>
      <c r="B161" s="11"/>
      <c r="C161" s="10">
        <v>12500</v>
      </c>
      <c r="D161" s="11" t="s">
        <v>182</v>
      </c>
      <c r="F161" s="10" t="s">
        <v>152</v>
      </c>
      <c r="G161" s="297">
        <f>I139</f>
        <v>371820</v>
      </c>
      <c r="H161" s="336"/>
      <c r="I161" s="10">
        <f>I160*G130</f>
        <v>85500</v>
      </c>
      <c r="J161" s="2">
        <f>J160*H130</f>
        <v>49040.000000000058</v>
      </c>
      <c r="K161" s="11" t="s">
        <v>164</v>
      </c>
    </row>
    <row r="162" spans="1:11" ht="15.75" thickBot="1" x14ac:dyDescent="0.3">
      <c r="A162" s="78"/>
      <c r="B162" s="11"/>
      <c r="C162" s="10">
        <v>20000</v>
      </c>
      <c r="D162" s="11" t="s">
        <v>61</v>
      </c>
      <c r="F162" s="43" t="s">
        <v>153</v>
      </c>
      <c r="G162" s="341">
        <f>G159+H159-G160-G161</f>
        <v>134540</v>
      </c>
      <c r="H162" s="342"/>
      <c r="I162" s="343">
        <f>I161+J161</f>
        <v>134540.00000000006</v>
      </c>
      <c r="J162" s="341"/>
      <c r="K162" s="26" t="s">
        <v>163</v>
      </c>
    </row>
    <row r="163" spans="1:11" x14ac:dyDescent="0.25">
      <c r="A163" s="78"/>
      <c r="B163" s="11"/>
      <c r="C163" s="10">
        <v>30000</v>
      </c>
      <c r="D163" s="11" t="s">
        <v>183</v>
      </c>
    </row>
    <row r="164" spans="1:11" ht="15.75" thickBot="1" x14ac:dyDescent="0.3">
      <c r="A164" s="84" t="s">
        <v>48</v>
      </c>
      <c r="B164" s="46">
        <f>SUM(B152:B153)</f>
        <v>1250000</v>
      </c>
      <c r="C164" s="43">
        <f>SUM(C152:C163)</f>
        <v>853940</v>
      </c>
      <c r="D164" s="47" t="s">
        <v>177</v>
      </c>
    </row>
    <row r="165" spans="1:11" ht="15.75" thickBot="1" x14ac:dyDescent="0.3">
      <c r="A165" s="85" t="s">
        <v>54</v>
      </c>
      <c r="B165" s="41">
        <f>B164-C164</f>
        <v>396060</v>
      </c>
      <c r="C165" s="41"/>
      <c r="D165" s="48" t="s">
        <v>54</v>
      </c>
      <c r="F165" s="255" t="s">
        <v>184</v>
      </c>
      <c r="G165" s="256"/>
      <c r="H165" s="256"/>
      <c r="I165" s="23">
        <f>B165-G162</f>
        <v>261520</v>
      </c>
    </row>
    <row r="167" spans="1:11" ht="15.75" thickBot="1" x14ac:dyDescent="0.3"/>
    <row r="168" spans="1:11" x14ac:dyDescent="0.25">
      <c r="A168" s="303" t="s">
        <v>203</v>
      </c>
      <c r="B168" s="304"/>
      <c r="C168" s="304"/>
      <c r="D168" s="305"/>
      <c r="E168" s="91"/>
      <c r="F168" s="91"/>
      <c r="G168" s="91"/>
      <c r="H168" s="91"/>
      <c r="I168" s="91"/>
    </row>
    <row r="169" spans="1:11" x14ac:dyDescent="0.25">
      <c r="A169" s="111" t="s">
        <v>202</v>
      </c>
      <c r="B169" s="109" t="s">
        <v>74</v>
      </c>
      <c r="C169" s="109" t="s">
        <v>75</v>
      </c>
      <c r="D169" s="115" t="s">
        <v>76</v>
      </c>
    </row>
    <row r="170" spans="1:11" x14ac:dyDescent="0.25">
      <c r="A170" s="111" t="s">
        <v>185</v>
      </c>
      <c r="B170" s="61">
        <v>345.2</v>
      </c>
      <c r="C170" s="61">
        <v>223.5</v>
      </c>
      <c r="D170" s="11">
        <v>220</v>
      </c>
    </row>
    <row r="171" spans="1:11" x14ac:dyDescent="0.25">
      <c r="A171" s="111" t="s">
        <v>186</v>
      </c>
      <c r="B171" s="61">
        <v>150</v>
      </c>
      <c r="C171" s="61">
        <v>100</v>
      </c>
      <c r="D171" s="11">
        <v>125</v>
      </c>
    </row>
    <row r="172" spans="1:11" x14ac:dyDescent="0.25">
      <c r="A172" s="111" t="s">
        <v>187</v>
      </c>
      <c r="B172" s="61">
        <v>85000</v>
      </c>
      <c r="C172" s="61">
        <v>53300</v>
      </c>
      <c r="D172" s="11">
        <v>31700</v>
      </c>
    </row>
    <row r="173" spans="1:11" x14ac:dyDescent="0.25">
      <c r="A173" s="111" t="s">
        <v>188</v>
      </c>
      <c r="B173" s="61">
        <v>1000</v>
      </c>
      <c r="C173" s="61">
        <v>800</v>
      </c>
      <c r="D173" s="11">
        <v>800</v>
      </c>
    </row>
    <row r="174" spans="1:11" ht="15.75" thickBot="1" x14ac:dyDescent="0.3">
      <c r="A174" s="112" t="s">
        <v>189</v>
      </c>
      <c r="B174" s="25">
        <v>1100</v>
      </c>
      <c r="C174" s="25">
        <v>980</v>
      </c>
      <c r="D174" s="26">
        <v>1200</v>
      </c>
    </row>
    <row r="175" spans="1:11" ht="15.75" thickBot="1" x14ac:dyDescent="0.3"/>
    <row r="176" spans="1:11" x14ac:dyDescent="0.25">
      <c r="A176" s="303" t="s">
        <v>194</v>
      </c>
      <c r="B176" s="304"/>
      <c r="C176" s="304"/>
      <c r="D176" s="305"/>
      <c r="F176" s="303" t="s">
        <v>195</v>
      </c>
      <c r="G176" s="304"/>
      <c r="H176" s="304"/>
      <c r="I176" s="305"/>
    </row>
    <row r="177" spans="1:12" s="60" customFormat="1" x14ac:dyDescent="0.25">
      <c r="A177" s="99" t="s">
        <v>120</v>
      </c>
      <c r="B177" s="107" t="s">
        <v>74</v>
      </c>
      <c r="C177" s="107" t="s">
        <v>75</v>
      </c>
      <c r="D177" s="144" t="s">
        <v>76</v>
      </c>
      <c r="F177" s="143" t="s">
        <v>120</v>
      </c>
      <c r="G177" s="107" t="s">
        <v>74</v>
      </c>
      <c r="H177" s="107" t="s">
        <v>75</v>
      </c>
      <c r="I177" s="144" t="s">
        <v>76</v>
      </c>
    </row>
    <row r="178" spans="1:12" x14ac:dyDescent="0.25">
      <c r="A178" s="111" t="s">
        <v>48</v>
      </c>
      <c r="B178" s="61">
        <f>B173*B170</f>
        <v>345200</v>
      </c>
      <c r="C178" s="61">
        <f>C173*C170</f>
        <v>178800</v>
      </c>
      <c r="D178" s="11">
        <f>D173*D170</f>
        <v>176000</v>
      </c>
      <c r="F178" s="10" t="str">
        <f>A178</f>
        <v>Erlöse</v>
      </c>
      <c r="G178" s="61">
        <f>B178</f>
        <v>345200</v>
      </c>
      <c r="H178" s="61">
        <f>C178</f>
        <v>178800</v>
      </c>
      <c r="I178" s="11">
        <f>D173*D170</f>
        <v>176000</v>
      </c>
    </row>
    <row r="179" spans="1:12" x14ac:dyDescent="0.25">
      <c r="A179" s="111" t="s">
        <v>190</v>
      </c>
      <c r="B179" s="61">
        <f>B173*B171</f>
        <v>150000</v>
      </c>
      <c r="C179" s="61">
        <f>C173*C171</f>
        <v>80000</v>
      </c>
      <c r="D179" s="11">
        <f>D173*D171</f>
        <v>100000</v>
      </c>
      <c r="F179" s="10" t="s">
        <v>196</v>
      </c>
      <c r="G179" s="61"/>
      <c r="H179" s="61">
        <f>150*120</f>
        <v>18000</v>
      </c>
      <c r="I179" s="11">
        <f>200*180</f>
        <v>36000</v>
      </c>
    </row>
    <row r="180" spans="1:12" x14ac:dyDescent="0.25">
      <c r="A180" s="111" t="s">
        <v>193</v>
      </c>
      <c r="B180" s="61">
        <f>B178-B179</f>
        <v>195200</v>
      </c>
      <c r="C180" s="61">
        <f>C178-C179</f>
        <v>98800</v>
      </c>
      <c r="D180" s="11">
        <f>D178-D179</f>
        <v>76000</v>
      </c>
      <c r="F180" s="10" t="str">
        <f>A179</f>
        <v>Variable Kosten</v>
      </c>
      <c r="G180" s="61">
        <f>B179</f>
        <v>150000</v>
      </c>
      <c r="H180" s="61">
        <f>C179</f>
        <v>80000</v>
      </c>
      <c r="I180" s="11">
        <f>D179</f>
        <v>100000</v>
      </c>
    </row>
    <row r="181" spans="1:12" x14ac:dyDescent="0.25">
      <c r="A181" s="111" t="s">
        <v>192</v>
      </c>
      <c r="B181" s="61">
        <f>B180/B173</f>
        <v>195.2</v>
      </c>
      <c r="C181" s="61">
        <f>C180/C173</f>
        <v>123.5</v>
      </c>
      <c r="D181" s="11">
        <f>D180/D173</f>
        <v>95</v>
      </c>
      <c r="F181" s="10" t="s">
        <v>200</v>
      </c>
      <c r="G181" s="61"/>
      <c r="H181" s="61">
        <f>150*C171</f>
        <v>15000</v>
      </c>
      <c r="I181" s="11">
        <f>D171*200</f>
        <v>25000</v>
      </c>
    </row>
    <row r="182" spans="1:12" x14ac:dyDescent="0.25">
      <c r="A182" s="111" t="s">
        <v>191</v>
      </c>
      <c r="B182" s="61">
        <v>85000</v>
      </c>
      <c r="C182" s="61">
        <v>53300</v>
      </c>
      <c r="D182" s="11">
        <v>31700</v>
      </c>
      <c r="F182" s="10" t="str">
        <f t="shared" ref="F182:G184" si="8">A180</f>
        <v>DB1 Gesamt</v>
      </c>
      <c r="G182" s="61">
        <f t="shared" si="8"/>
        <v>195200</v>
      </c>
      <c r="H182" s="61">
        <f>H178+H179-H180-H181</f>
        <v>101800</v>
      </c>
      <c r="I182" s="11">
        <f>I178+I179-I180-I181</f>
        <v>87000</v>
      </c>
    </row>
    <row r="183" spans="1:12" x14ac:dyDescent="0.25">
      <c r="A183" s="111" t="s">
        <v>204</v>
      </c>
      <c r="B183" s="61">
        <f>B182/B173</f>
        <v>85</v>
      </c>
      <c r="C183" s="61">
        <f>C182/C173</f>
        <v>66.625</v>
      </c>
      <c r="D183" s="11">
        <f>D182/D173</f>
        <v>39.625</v>
      </c>
      <c r="F183" s="10" t="str">
        <f t="shared" si="8"/>
        <v>DB1 Stück</v>
      </c>
      <c r="G183" s="61">
        <f t="shared" si="8"/>
        <v>195.2</v>
      </c>
      <c r="H183" s="61">
        <f>H182/(C173+150)</f>
        <v>107.15789473684211</v>
      </c>
      <c r="I183" s="11">
        <f>I182/(D173+200)</f>
        <v>87</v>
      </c>
    </row>
    <row r="184" spans="1:12" x14ac:dyDescent="0.25">
      <c r="A184" s="99" t="s">
        <v>198</v>
      </c>
      <c r="B184" s="62">
        <f>B181+B183</f>
        <v>280.2</v>
      </c>
      <c r="C184" s="62">
        <f>C181+C183</f>
        <v>190.125</v>
      </c>
      <c r="D184" s="54">
        <f>D181+D183</f>
        <v>134.625</v>
      </c>
      <c r="F184" s="10" t="str">
        <f t="shared" si="8"/>
        <v>Fixkosten</v>
      </c>
      <c r="G184" s="61">
        <f t="shared" si="8"/>
        <v>85000</v>
      </c>
      <c r="H184" s="61">
        <f>C182</f>
        <v>53300</v>
      </c>
      <c r="I184" s="11">
        <f>D182</f>
        <v>31700</v>
      </c>
    </row>
    <row r="185" spans="1:12" x14ac:dyDescent="0.25">
      <c r="A185" s="111" t="s">
        <v>199</v>
      </c>
      <c r="B185" s="61">
        <f>B184*B173</f>
        <v>280200</v>
      </c>
      <c r="C185" s="61">
        <f>C184*C173</f>
        <v>152100</v>
      </c>
      <c r="D185" s="11">
        <f>D184*D173</f>
        <v>107700</v>
      </c>
      <c r="F185" s="10" t="s">
        <v>201</v>
      </c>
      <c r="G185" s="61">
        <v>0</v>
      </c>
      <c r="H185" s="61">
        <v>3500</v>
      </c>
      <c r="I185" s="11">
        <v>0</v>
      </c>
    </row>
    <row r="186" spans="1:12" x14ac:dyDescent="0.25">
      <c r="A186" s="99" t="s">
        <v>197</v>
      </c>
      <c r="B186" s="62">
        <f>B170-B171-B183</f>
        <v>110.19999999999999</v>
      </c>
      <c r="C186" s="62">
        <f>C170-C171-C183</f>
        <v>56.875</v>
      </c>
      <c r="D186" s="54">
        <f>D170-D171-D183</f>
        <v>55.375</v>
      </c>
      <c r="F186" s="10" t="str">
        <f>A183</f>
        <v>Stück FIX</v>
      </c>
      <c r="G186" s="61">
        <f>B183</f>
        <v>85</v>
      </c>
      <c r="H186" s="61">
        <f>(H184+H185)/950</f>
        <v>59.789473684210527</v>
      </c>
      <c r="I186" s="11">
        <f>I184/1000</f>
        <v>31.7</v>
      </c>
    </row>
    <row r="187" spans="1:12" ht="15.75" thickBot="1" x14ac:dyDescent="0.3">
      <c r="A187" s="84" t="s">
        <v>163</v>
      </c>
      <c r="B187" s="57">
        <f>B186*B173</f>
        <v>110199.99999999999</v>
      </c>
      <c r="C187" s="57">
        <f>C186*C173</f>
        <v>45500</v>
      </c>
      <c r="D187" s="46">
        <f>D186*D173</f>
        <v>44300</v>
      </c>
      <c r="F187" s="10" t="s">
        <v>197</v>
      </c>
      <c r="G187" s="61">
        <f>B170-B171-G186</f>
        <v>110.19999999999999</v>
      </c>
      <c r="H187" s="61">
        <f>(H178+H179-H180-H181-H184-H185)/950</f>
        <v>47.368421052631582</v>
      </c>
      <c r="I187" s="11">
        <f>I188/1000</f>
        <v>55.3</v>
      </c>
    </row>
    <row r="188" spans="1:12" ht="15.75" thickBot="1" x14ac:dyDescent="0.3">
      <c r="F188" s="38" t="s">
        <v>163</v>
      </c>
      <c r="G188" s="25"/>
      <c r="H188" s="25">
        <f>H187*950</f>
        <v>45000</v>
      </c>
      <c r="I188" s="26">
        <f>I178+I179-I180-I181-I184</f>
        <v>55300</v>
      </c>
    </row>
    <row r="191" spans="1:12" ht="15.75" thickBot="1" x14ac:dyDescent="0.3"/>
    <row r="192" spans="1:12" ht="15.75" thickBot="1" x14ac:dyDescent="0.3">
      <c r="A192" s="255" t="s">
        <v>228</v>
      </c>
      <c r="B192" s="256"/>
      <c r="C192" s="256"/>
      <c r="D192" s="256"/>
      <c r="E192" s="256"/>
      <c r="F192" s="256"/>
      <c r="G192" s="256"/>
      <c r="H192" s="256"/>
      <c r="I192" s="256"/>
      <c r="J192" s="256"/>
      <c r="K192" s="256"/>
      <c r="L192" s="257"/>
    </row>
    <row r="193" spans="1:12" x14ac:dyDescent="0.25">
      <c r="B193" t="s">
        <v>226</v>
      </c>
      <c r="C193" t="s">
        <v>227</v>
      </c>
      <c r="F193" s="71" t="s">
        <v>217</v>
      </c>
      <c r="G193" s="71">
        <v>9600</v>
      </c>
      <c r="H193" s="71">
        <v>1500</v>
      </c>
      <c r="J193" s="71" t="str">
        <f t="shared" ref="J193:K195" si="9">F193</f>
        <v>Absatz</v>
      </c>
      <c r="K193" s="71">
        <f t="shared" si="9"/>
        <v>9600</v>
      </c>
      <c r="L193" s="71">
        <v>900</v>
      </c>
    </row>
    <row r="194" spans="1:12" x14ac:dyDescent="0.25">
      <c r="A194" s="75" t="s">
        <v>209</v>
      </c>
      <c r="B194" s="61">
        <v>12000</v>
      </c>
      <c r="C194" s="61"/>
      <c r="F194" s="62" t="s">
        <v>213</v>
      </c>
      <c r="G194" s="61">
        <v>90</v>
      </c>
      <c r="H194" s="61">
        <v>80</v>
      </c>
      <c r="J194" s="62" t="str">
        <f t="shared" si="9"/>
        <v>VK Stük</v>
      </c>
      <c r="K194" s="61">
        <f t="shared" si="9"/>
        <v>90</v>
      </c>
      <c r="L194" s="61">
        <v>112</v>
      </c>
    </row>
    <row r="195" spans="1:12" x14ac:dyDescent="0.25">
      <c r="A195" s="75" t="s">
        <v>210</v>
      </c>
      <c r="B195" s="61">
        <v>9600</v>
      </c>
      <c r="C195" s="61">
        <v>1500</v>
      </c>
      <c r="D195">
        <v>900</v>
      </c>
      <c r="F195" s="62" t="s">
        <v>218</v>
      </c>
      <c r="G195" s="61">
        <f>G194*G193</f>
        <v>864000</v>
      </c>
      <c r="H195" s="61">
        <f>H194*H193</f>
        <v>120000</v>
      </c>
      <c r="J195" s="62" t="str">
        <f t="shared" si="9"/>
        <v>Umsatz</v>
      </c>
      <c r="K195" s="61">
        <f t="shared" si="9"/>
        <v>864000</v>
      </c>
      <c r="L195" s="61">
        <f>H195</f>
        <v>120000</v>
      </c>
    </row>
    <row r="196" spans="1:12" x14ac:dyDescent="0.25">
      <c r="A196" s="75" t="s">
        <v>122</v>
      </c>
      <c r="B196" s="61">
        <v>40</v>
      </c>
      <c r="C196" s="61"/>
      <c r="F196" s="62" t="s">
        <v>219</v>
      </c>
      <c r="G196" s="297">
        <f>SUM(G195:H195)</f>
        <v>984000</v>
      </c>
      <c r="H196" s="297"/>
      <c r="J196" s="62" t="str">
        <f t="shared" ref="J196:J202" si="10">F196</f>
        <v>Umsatz gesamt</v>
      </c>
      <c r="K196" s="297">
        <f>SUM(K195:L195)</f>
        <v>984000</v>
      </c>
      <c r="L196" s="297"/>
    </row>
    <row r="197" spans="1:12" x14ac:dyDescent="0.25">
      <c r="A197" s="75" t="s">
        <v>208</v>
      </c>
      <c r="B197" s="61">
        <v>20</v>
      </c>
      <c r="C197" s="61"/>
      <c r="F197" s="62" t="s">
        <v>122</v>
      </c>
      <c r="G197" s="61">
        <v>40</v>
      </c>
      <c r="H197" s="61">
        <v>40</v>
      </c>
      <c r="J197" s="62" t="str">
        <f t="shared" si="10"/>
        <v>Material</v>
      </c>
      <c r="K197" s="61">
        <f>G197</f>
        <v>40</v>
      </c>
      <c r="L197" s="61">
        <v>48</v>
      </c>
    </row>
    <row r="198" spans="1:12" x14ac:dyDescent="0.25">
      <c r="A198" s="75" t="s">
        <v>207</v>
      </c>
      <c r="B198" s="61">
        <v>16</v>
      </c>
      <c r="C198" s="61"/>
      <c r="F198" s="62" t="s">
        <v>208</v>
      </c>
      <c r="G198" s="61">
        <v>20</v>
      </c>
      <c r="H198" s="61">
        <v>20</v>
      </c>
      <c r="J198" s="62" t="str">
        <f t="shared" si="10"/>
        <v>Fertiglöhne</v>
      </c>
      <c r="K198" s="61">
        <f>G198</f>
        <v>20</v>
      </c>
      <c r="L198" s="61">
        <f>H198</f>
        <v>20</v>
      </c>
    </row>
    <row r="199" spans="1:12" x14ac:dyDescent="0.25">
      <c r="A199" s="75" t="s">
        <v>206</v>
      </c>
      <c r="B199" s="61">
        <v>84000</v>
      </c>
      <c r="C199" s="61"/>
      <c r="D199">
        <v>12000</v>
      </c>
      <c r="F199" s="62" t="s">
        <v>207</v>
      </c>
      <c r="G199" s="61">
        <v>16</v>
      </c>
      <c r="H199" s="61">
        <v>16</v>
      </c>
      <c r="J199" s="62" t="str">
        <f t="shared" si="10"/>
        <v>Var Gemein</v>
      </c>
      <c r="K199" s="61">
        <f>G199</f>
        <v>16</v>
      </c>
      <c r="L199" s="61">
        <f>H199</f>
        <v>16</v>
      </c>
    </row>
    <row r="200" spans="1:12" x14ac:dyDescent="0.25">
      <c r="A200" s="75" t="s">
        <v>211</v>
      </c>
      <c r="B200" s="61">
        <f>B199/B195</f>
        <v>8.75</v>
      </c>
      <c r="C200" s="61">
        <f>B199/(B195+C195)</f>
        <v>7.5675675675675675</v>
      </c>
      <c r="F200" s="62" t="s">
        <v>16</v>
      </c>
      <c r="G200" s="61">
        <f>G194-SUM(G197:G199)</f>
        <v>14</v>
      </c>
      <c r="H200" s="61">
        <f>H194-SUM(H197:H199)</f>
        <v>4</v>
      </c>
      <c r="J200" s="62" t="str">
        <f t="shared" si="10"/>
        <v>DB1</v>
      </c>
      <c r="K200" s="61">
        <f>G200</f>
        <v>14</v>
      </c>
      <c r="L200" s="61">
        <f>L194-L197-L198-L199</f>
        <v>28</v>
      </c>
    </row>
    <row r="201" spans="1:12" x14ac:dyDescent="0.25">
      <c r="A201" s="75" t="s">
        <v>212</v>
      </c>
      <c r="B201" s="61">
        <f>B199/B194</f>
        <v>7</v>
      </c>
      <c r="C201" s="61"/>
      <c r="F201" s="62" t="s">
        <v>220</v>
      </c>
      <c r="G201" s="297">
        <f>(G200*G193+H200*H193)/(G193+H193)</f>
        <v>12.648648648648649</v>
      </c>
      <c r="H201" s="297"/>
      <c r="J201" s="62" t="str">
        <f t="shared" si="10"/>
        <v>DB1 Vereint</v>
      </c>
      <c r="K201" s="297">
        <f>(K200*K193+L200*L193)/(9600+900)</f>
        <v>15.2</v>
      </c>
      <c r="L201" s="297"/>
    </row>
    <row r="202" spans="1:12" x14ac:dyDescent="0.25">
      <c r="A202" s="75" t="s">
        <v>205</v>
      </c>
      <c r="B202" s="61">
        <v>90</v>
      </c>
      <c r="C202" s="61">
        <v>80</v>
      </c>
      <c r="F202" s="62" t="s">
        <v>214</v>
      </c>
      <c r="G202" s="61">
        <f>B199/G200</f>
        <v>6000</v>
      </c>
      <c r="H202" s="61">
        <f>B199/H200</f>
        <v>21000</v>
      </c>
      <c r="J202" s="62" t="str">
        <f t="shared" si="10"/>
        <v>Breakeven Stück</v>
      </c>
      <c r="K202" s="61">
        <f>G202</f>
        <v>6000</v>
      </c>
      <c r="L202" s="61">
        <f>12000/28</f>
        <v>428.57142857142856</v>
      </c>
    </row>
    <row r="203" spans="1:12" x14ac:dyDescent="0.25">
      <c r="F203" s="62" t="s">
        <v>221</v>
      </c>
      <c r="G203" s="297">
        <f>B199/G201</f>
        <v>6641.0256410256407</v>
      </c>
      <c r="H203" s="297"/>
      <c r="J203" s="62" t="s">
        <v>221</v>
      </c>
      <c r="K203" s="297">
        <f>96000/K201</f>
        <v>6315.7894736842109</v>
      </c>
      <c r="L203" s="297"/>
    </row>
    <row r="204" spans="1:12" x14ac:dyDescent="0.25">
      <c r="F204" s="62" t="s">
        <v>215</v>
      </c>
      <c r="G204" s="61">
        <f>(9600-G202)*G200</f>
        <v>50400</v>
      </c>
      <c r="H204" s="61">
        <f>(H193-H202)*H200</f>
        <v>-78000</v>
      </c>
      <c r="J204" s="62" t="str">
        <f>F204</f>
        <v>Gewinn IST</v>
      </c>
      <c r="K204" s="61">
        <f>G204</f>
        <v>50400</v>
      </c>
      <c r="L204" s="61">
        <f>(L193-L202)*L194</f>
        <v>52800</v>
      </c>
    </row>
    <row r="205" spans="1:12" x14ac:dyDescent="0.25">
      <c r="F205" s="62" t="s">
        <v>222</v>
      </c>
      <c r="G205" s="297">
        <f>(SUM(G193:H193)-G203)*G201</f>
        <v>56400.000000000007</v>
      </c>
      <c r="H205" s="297"/>
      <c r="J205" s="62" t="s">
        <v>222</v>
      </c>
      <c r="K205" s="297">
        <f>(K193+L193-K203)*K201</f>
        <v>63599.999999999993</v>
      </c>
      <c r="L205" s="297"/>
    </row>
    <row r="206" spans="1:12" x14ac:dyDescent="0.25">
      <c r="F206" s="62" t="s">
        <v>216</v>
      </c>
      <c r="G206" s="61">
        <f>(B194-G202)*G200</f>
        <v>84000</v>
      </c>
      <c r="H206" s="61"/>
      <c r="J206" s="62" t="str">
        <f>F206</f>
        <v>Gewinn MAX</v>
      </c>
      <c r="K206" s="61">
        <f>G206</f>
        <v>84000</v>
      </c>
      <c r="L206" s="61"/>
    </row>
    <row r="207" spans="1:12" x14ac:dyDescent="0.25">
      <c r="F207" s="62" t="s">
        <v>222</v>
      </c>
      <c r="G207" s="297">
        <f>(H193+B194-G203)*G201</f>
        <v>86756.75675675676</v>
      </c>
      <c r="H207" s="297"/>
      <c r="J207" s="62" t="s">
        <v>222</v>
      </c>
      <c r="K207" s="297">
        <f>(B194+L193-K203)*K201</f>
        <v>100079.99999999999</v>
      </c>
      <c r="L207" s="297"/>
    </row>
    <row r="208" spans="1:12" x14ac:dyDescent="0.25">
      <c r="F208" s="62" t="s">
        <v>223</v>
      </c>
      <c r="G208" s="61">
        <f>G204*12</f>
        <v>604800</v>
      </c>
      <c r="H208" s="61"/>
      <c r="J208" s="62" t="s">
        <v>223</v>
      </c>
      <c r="K208" s="61">
        <f>K204*12</f>
        <v>604800</v>
      </c>
      <c r="L208" s="61"/>
    </row>
    <row r="209" spans="1:12" x14ac:dyDescent="0.25">
      <c r="F209" s="62" t="s">
        <v>224</v>
      </c>
      <c r="G209" s="297">
        <f>G205*12</f>
        <v>676800.00000000012</v>
      </c>
      <c r="H209" s="297"/>
      <c r="J209" s="62" t="s">
        <v>225</v>
      </c>
      <c r="K209" s="297">
        <f>K205*12</f>
        <v>763199.99999999988</v>
      </c>
      <c r="L209" s="297"/>
    </row>
    <row r="211" spans="1:12" ht="15.75" thickBot="1" x14ac:dyDescent="0.3"/>
    <row r="212" spans="1:12" ht="15.75" thickBot="1" x14ac:dyDescent="0.3">
      <c r="A212" s="255" t="s">
        <v>243</v>
      </c>
      <c r="B212" s="256"/>
      <c r="C212" s="256"/>
      <c r="D212" s="256"/>
      <c r="E212" s="256"/>
      <c r="F212" s="256"/>
      <c r="G212" s="256"/>
      <c r="H212" s="256"/>
      <c r="I212" s="256"/>
      <c r="J212" s="256"/>
      <c r="K212" s="256"/>
      <c r="L212" s="257"/>
    </row>
    <row r="213" spans="1:12" ht="15.75" thickBot="1" x14ac:dyDescent="0.3">
      <c r="A213" s="183"/>
      <c r="B213" s="71" t="s">
        <v>226</v>
      </c>
      <c r="C213" s="71" t="s">
        <v>236</v>
      </c>
    </row>
    <row r="214" spans="1:12" x14ac:dyDescent="0.25">
      <c r="A214" s="74" t="s">
        <v>217</v>
      </c>
      <c r="B214" s="61">
        <v>110000</v>
      </c>
      <c r="C214" s="61">
        <v>118000</v>
      </c>
      <c r="F214" s="145" t="s">
        <v>218</v>
      </c>
      <c r="G214" s="17">
        <v>300000</v>
      </c>
    </row>
    <row r="215" spans="1:12" x14ac:dyDescent="0.25">
      <c r="A215" s="74" t="s">
        <v>233</v>
      </c>
      <c r="B215" s="61">
        <v>123</v>
      </c>
      <c r="C215" s="61">
        <v>126</v>
      </c>
      <c r="F215" s="10" t="s">
        <v>237</v>
      </c>
      <c r="G215" s="11">
        <v>12000</v>
      </c>
    </row>
    <row r="216" spans="1:12" x14ac:dyDescent="0.25">
      <c r="A216" s="74" t="s">
        <v>229</v>
      </c>
      <c r="B216" s="61">
        <v>87</v>
      </c>
      <c r="C216" s="61">
        <v>87</v>
      </c>
      <c r="F216" s="10" t="s">
        <v>239</v>
      </c>
      <c r="G216" s="11">
        <v>20</v>
      </c>
    </row>
    <row r="217" spans="1:12" x14ac:dyDescent="0.25">
      <c r="A217" s="74" t="s">
        <v>234</v>
      </c>
      <c r="B217" s="61">
        <f>B215-B216</f>
        <v>36</v>
      </c>
      <c r="C217" s="61">
        <f>C215-C216</f>
        <v>39</v>
      </c>
      <c r="F217" s="10" t="s">
        <v>191</v>
      </c>
      <c r="G217" s="11">
        <v>10</v>
      </c>
    </row>
    <row r="218" spans="1:12" x14ac:dyDescent="0.25">
      <c r="A218" s="74" t="s">
        <v>230</v>
      </c>
      <c r="B218" s="61">
        <f>B216*B214</f>
        <v>9570000</v>
      </c>
      <c r="C218" s="61">
        <f>C216*C214</f>
        <v>10266000</v>
      </c>
      <c r="F218" s="10" t="s">
        <v>240</v>
      </c>
      <c r="G218" s="11">
        <f>G217*G215</f>
        <v>120000</v>
      </c>
    </row>
    <row r="219" spans="1:12" x14ac:dyDescent="0.25">
      <c r="A219" s="74" t="s">
        <v>191</v>
      </c>
      <c r="B219" s="61">
        <v>4320000</v>
      </c>
      <c r="C219" s="61">
        <f>(4320000+700000)</f>
        <v>5020000</v>
      </c>
      <c r="F219" s="10" t="s">
        <v>190</v>
      </c>
      <c r="G219" s="11">
        <f>G216*G215</f>
        <v>240000</v>
      </c>
    </row>
    <row r="220" spans="1:12" x14ac:dyDescent="0.25">
      <c r="A220" s="74" t="s">
        <v>231</v>
      </c>
      <c r="B220" s="61">
        <f>SUM(B218:B219)</f>
        <v>13890000</v>
      </c>
      <c r="C220" s="61">
        <f>C219+C218</f>
        <v>15286000</v>
      </c>
      <c r="F220" s="10" t="s">
        <v>238</v>
      </c>
      <c r="G220" s="11">
        <f>G219+G218</f>
        <v>360000</v>
      </c>
    </row>
    <row r="221" spans="1:12" x14ac:dyDescent="0.25">
      <c r="A221" s="74" t="s">
        <v>232</v>
      </c>
      <c r="B221" s="61">
        <f>B220/B214</f>
        <v>126.27272727272727</v>
      </c>
      <c r="C221" s="61">
        <f>C220/C214</f>
        <v>129.54237288135593</v>
      </c>
      <c r="F221" s="10" t="s">
        <v>241</v>
      </c>
      <c r="G221" s="11">
        <f>G220-G214</f>
        <v>60000</v>
      </c>
    </row>
    <row r="222" spans="1:12" ht="15.75" thickBot="1" x14ac:dyDescent="0.3">
      <c r="A222" s="74" t="s">
        <v>235</v>
      </c>
      <c r="B222" s="61">
        <f>B219/B217</f>
        <v>120000</v>
      </c>
      <c r="C222" s="61">
        <f>C219/C217</f>
        <v>128717.94871794872</v>
      </c>
      <c r="F222" s="38" t="s">
        <v>242</v>
      </c>
      <c r="G222" s="26">
        <f>G218</f>
        <v>120000</v>
      </c>
    </row>
    <row r="226" spans="1:12" ht="15.75" thickBot="1" x14ac:dyDescent="0.3"/>
    <row r="227" spans="1:12" ht="15.75" thickBot="1" x14ac:dyDescent="0.3">
      <c r="A227" s="347" t="s">
        <v>244</v>
      </c>
      <c r="B227" s="348"/>
      <c r="C227" s="348"/>
      <c r="D227" s="348"/>
      <c r="E227" s="348"/>
      <c r="F227" s="348"/>
      <c r="G227" s="348"/>
      <c r="H227" s="348"/>
      <c r="I227" s="349"/>
      <c r="J227" s="91"/>
      <c r="K227" s="91"/>
      <c r="L227" s="91"/>
    </row>
    <row r="228" spans="1:12" ht="15.75" thickBot="1" x14ac:dyDescent="0.3">
      <c r="A228" s="82"/>
      <c r="B228" s="65" t="s">
        <v>74</v>
      </c>
      <c r="C228" s="65" t="s">
        <v>75</v>
      </c>
      <c r="D228" s="66" t="s">
        <v>252</v>
      </c>
    </row>
    <row r="229" spans="1:12" x14ac:dyDescent="0.25">
      <c r="A229" s="78" t="s">
        <v>246</v>
      </c>
      <c r="B229" s="63">
        <v>1000</v>
      </c>
      <c r="C229" s="63">
        <v>800</v>
      </c>
      <c r="D229" s="64">
        <v>120</v>
      </c>
      <c r="F229" s="77"/>
      <c r="G229" s="68" t="s">
        <v>74</v>
      </c>
      <c r="H229" s="68" t="s">
        <v>75</v>
      </c>
      <c r="I229" s="88" t="s">
        <v>252</v>
      </c>
    </row>
    <row r="230" spans="1:12" x14ac:dyDescent="0.25">
      <c r="A230" s="78" t="s">
        <v>79</v>
      </c>
      <c r="B230" s="63">
        <v>90</v>
      </c>
      <c r="C230" s="63">
        <v>180</v>
      </c>
      <c r="D230" s="64">
        <v>630</v>
      </c>
      <c r="F230" s="78" t="s">
        <v>250</v>
      </c>
      <c r="G230" s="63">
        <v>1000</v>
      </c>
      <c r="H230" s="63">
        <v>800</v>
      </c>
      <c r="I230" s="64">
        <f>(5332-B236-C236)/12</f>
        <v>36</v>
      </c>
    </row>
    <row r="231" spans="1:12" x14ac:dyDescent="0.25">
      <c r="A231" s="78" t="s">
        <v>245</v>
      </c>
      <c r="B231" s="63">
        <v>60</v>
      </c>
      <c r="C231" s="63">
        <v>120</v>
      </c>
      <c r="D231" s="64">
        <v>510</v>
      </c>
      <c r="F231" s="78" t="s">
        <v>79</v>
      </c>
      <c r="G231" s="63">
        <v>90</v>
      </c>
      <c r="H231" s="63">
        <v>180</v>
      </c>
      <c r="I231" s="64">
        <v>630</v>
      </c>
    </row>
    <row r="232" spans="1:12" x14ac:dyDescent="0.25">
      <c r="A232" s="78" t="s">
        <v>248</v>
      </c>
      <c r="B232" s="63">
        <f>B230-B231</f>
        <v>30</v>
      </c>
      <c r="C232" s="63">
        <f>C230-C231</f>
        <v>60</v>
      </c>
      <c r="D232" s="64">
        <f>D230-D231</f>
        <v>120</v>
      </c>
      <c r="F232" s="78" t="s">
        <v>245</v>
      </c>
      <c r="G232" s="63">
        <v>60</v>
      </c>
      <c r="H232" s="63">
        <v>120</v>
      </c>
      <c r="I232" s="64">
        <v>510</v>
      </c>
    </row>
    <row r="233" spans="1:12" x14ac:dyDescent="0.25">
      <c r="A233" s="67" t="s">
        <v>193</v>
      </c>
      <c r="B233" s="63">
        <f>B232*B229</f>
        <v>30000</v>
      </c>
      <c r="C233" s="63">
        <f>C232*C229</f>
        <v>48000</v>
      </c>
      <c r="D233" s="64">
        <f>D232*D229</f>
        <v>14400</v>
      </c>
      <c r="F233" s="78" t="s">
        <v>248</v>
      </c>
      <c r="G233" s="63">
        <f>G231-G232</f>
        <v>30</v>
      </c>
      <c r="H233" s="63">
        <f>H231-H232</f>
        <v>60</v>
      </c>
      <c r="I233" s="64">
        <f>I231-I232</f>
        <v>120</v>
      </c>
    </row>
    <row r="234" spans="1:12" x14ac:dyDescent="0.25">
      <c r="A234" s="78" t="s">
        <v>191</v>
      </c>
      <c r="B234" s="297">
        <v>72320</v>
      </c>
      <c r="C234" s="297"/>
      <c r="D234" s="336"/>
      <c r="F234" s="67" t="s">
        <v>193</v>
      </c>
      <c r="G234" s="63">
        <f>G233*G230</f>
        <v>30000</v>
      </c>
      <c r="H234" s="63">
        <f>H233*H230</f>
        <v>48000</v>
      </c>
      <c r="I234" s="64">
        <f>I233*I230</f>
        <v>4320</v>
      </c>
    </row>
    <row r="235" spans="1:12" x14ac:dyDescent="0.25">
      <c r="A235" s="78" t="s">
        <v>247</v>
      </c>
      <c r="B235" s="86">
        <v>2.5</v>
      </c>
      <c r="C235" s="86">
        <v>3</v>
      </c>
      <c r="D235" s="89">
        <v>12</v>
      </c>
      <c r="F235" s="78" t="s">
        <v>251</v>
      </c>
      <c r="G235" s="345">
        <f>SUM(G234:I234)</f>
        <v>82320</v>
      </c>
      <c r="H235" s="346"/>
      <c r="I235" s="274"/>
    </row>
    <row r="236" spans="1:12" x14ac:dyDescent="0.25">
      <c r="A236" s="78" t="s">
        <v>249</v>
      </c>
      <c r="B236" s="63">
        <f>B235*B229</f>
        <v>2500</v>
      </c>
      <c r="C236" s="63">
        <f>C235*C229</f>
        <v>2400</v>
      </c>
      <c r="D236" s="64">
        <f>D235*D229</f>
        <v>1440</v>
      </c>
      <c r="F236" s="78" t="s">
        <v>191</v>
      </c>
      <c r="G236" s="345">
        <v>72320</v>
      </c>
      <c r="H236" s="346"/>
      <c r="I236" s="274"/>
    </row>
    <row r="237" spans="1:12" ht="15.75" thickBot="1" x14ac:dyDescent="0.3">
      <c r="A237" s="79" t="s">
        <v>253</v>
      </c>
      <c r="B237" s="69">
        <f>B236/B233</f>
        <v>8.3333333333333329E-2</v>
      </c>
      <c r="C237" s="69">
        <f>C236/C233</f>
        <v>0.05</v>
      </c>
      <c r="D237" s="90">
        <f>D236/D233</f>
        <v>0.1</v>
      </c>
      <c r="F237" s="79" t="s">
        <v>54</v>
      </c>
      <c r="G237" s="288">
        <f>G235-G236</f>
        <v>10000</v>
      </c>
      <c r="H237" s="350"/>
      <c r="I237" s="289"/>
    </row>
    <row r="238" spans="1:12" s="60" customFormat="1" x14ac:dyDescent="0.25">
      <c r="A238" s="87"/>
      <c r="B238" s="70"/>
      <c r="C238" s="70"/>
      <c r="D238" s="70"/>
    </row>
    <row r="240" spans="1:12" ht="15.75" thickBot="1" x14ac:dyDescent="0.3"/>
    <row r="241" spans="1:9" ht="15.75" thickBot="1" x14ac:dyDescent="0.3">
      <c r="A241" s="347" t="s">
        <v>254</v>
      </c>
      <c r="B241" s="256"/>
      <c r="C241" s="256"/>
      <c r="D241" s="256"/>
      <c r="E241" s="256"/>
      <c r="F241" s="256"/>
      <c r="G241" s="256"/>
      <c r="H241" s="256"/>
      <c r="I241" s="257"/>
    </row>
    <row r="242" spans="1:9" ht="15.75" thickBot="1" x14ac:dyDescent="0.3"/>
    <row r="243" spans="1:9" ht="15.75" thickBot="1" x14ac:dyDescent="0.3">
      <c r="A243" s="287" t="s">
        <v>265</v>
      </c>
      <c r="B243" s="278"/>
      <c r="C243" s="279"/>
      <c r="E243" s="255" t="s">
        <v>264</v>
      </c>
      <c r="F243" s="256"/>
      <c r="G243" s="257"/>
    </row>
    <row r="244" spans="1:9" x14ac:dyDescent="0.25">
      <c r="A244" s="94"/>
      <c r="B244" s="59" t="s">
        <v>255</v>
      </c>
      <c r="C244" s="93" t="s">
        <v>256</v>
      </c>
      <c r="E244" s="34"/>
      <c r="F244" s="98" t="s">
        <v>255</v>
      </c>
      <c r="G244" s="35" t="s">
        <v>256</v>
      </c>
    </row>
    <row r="245" spans="1:9" x14ac:dyDescent="0.25">
      <c r="A245" s="102" t="s">
        <v>122</v>
      </c>
      <c r="B245" s="12">
        <v>15000</v>
      </c>
      <c r="C245" s="11">
        <v>17000</v>
      </c>
      <c r="E245" s="101" t="s">
        <v>122</v>
      </c>
      <c r="F245" s="97">
        <v>15000</v>
      </c>
      <c r="G245" s="100">
        <v>17000</v>
      </c>
    </row>
    <row r="246" spans="1:9" x14ac:dyDescent="0.25">
      <c r="A246" s="102" t="s">
        <v>156</v>
      </c>
      <c r="B246" s="12">
        <f>B245*0.4</f>
        <v>6000</v>
      </c>
      <c r="C246" s="11">
        <f>C245*0.4</f>
        <v>6800</v>
      </c>
      <c r="E246" s="101" t="s">
        <v>156</v>
      </c>
      <c r="F246" s="97">
        <f>F245*0.05</f>
        <v>750</v>
      </c>
      <c r="G246" s="100">
        <f>G245*0.05</f>
        <v>850</v>
      </c>
    </row>
    <row r="247" spans="1:9" x14ac:dyDescent="0.25">
      <c r="A247" s="102" t="s">
        <v>257</v>
      </c>
      <c r="B247" s="12">
        <v>5000</v>
      </c>
      <c r="C247" s="11">
        <v>10000</v>
      </c>
      <c r="E247" s="101" t="s">
        <v>257</v>
      </c>
      <c r="F247" s="97">
        <v>5000</v>
      </c>
      <c r="G247" s="100">
        <v>10000</v>
      </c>
    </row>
    <row r="248" spans="1:9" x14ac:dyDescent="0.25">
      <c r="A248" s="95" t="s">
        <v>53</v>
      </c>
      <c r="B248" s="103">
        <f>SUM(B245:B247)</f>
        <v>26000</v>
      </c>
      <c r="C248" s="54">
        <f>SUM(C245:C247)</f>
        <v>33800</v>
      </c>
      <c r="E248" s="99" t="s">
        <v>53</v>
      </c>
      <c r="F248" s="97">
        <f>SUM(F245:F247)</f>
        <v>20750</v>
      </c>
      <c r="G248" s="100">
        <f>SUM(G245:G247)</f>
        <v>27850</v>
      </c>
    </row>
    <row r="249" spans="1:9" ht="15.75" thickBot="1" x14ac:dyDescent="0.3">
      <c r="A249" s="96" t="s">
        <v>53</v>
      </c>
      <c r="B249" s="290">
        <f>B248+C248</f>
        <v>59800</v>
      </c>
      <c r="C249" s="291"/>
      <c r="E249" s="101" t="s">
        <v>258</v>
      </c>
      <c r="F249" s="97">
        <f>25*50</f>
        <v>1250</v>
      </c>
      <c r="G249" s="100">
        <f>200*25</f>
        <v>5000</v>
      </c>
    </row>
    <row r="250" spans="1:9" x14ac:dyDescent="0.25">
      <c r="B250" s="60"/>
      <c r="C250" s="60"/>
      <c r="E250" s="101" t="s">
        <v>259</v>
      </c>
      <c r="F250" s="97">
        <f>23*20</f>
        <v>460</v>
      </c>
      <c r="G250" s="100">
        <f>23*120</f>
        <v>2760</v>
      </c>
    </row>
    <row r="251" spans="1:9" ht="15.75" thickBot="1" x14ac:dyDescent="0.3">
      <c r="B251" s="60"/>
      <c r="C251" s="60"/>
      <c r="E251" s="101" t="s">
        <v>177</v>
      </c>
      <c r="F251" s="97">
        <f>28*20</f>
        <v>560</v>
      </c>
      <c r="G251" s="100">
        <f>28*115</f>
        <v>3220</v>
      </c>
    </row>
    <row r="252" spans="1:9" x14ac:dyDescent="0.25">
      <c r="A252" s="104" t="s">
        <v>262</v>
      </c>
      <c r="B252" s="24">
        <f>F255-B248</f>
        <v>-1100</v>
      </c>
      <c r="C252" s="17">
        <f>G255-C248</f>
        <v>9990</v>
      </c>
      <c r="E252" s="101" t="s">
        <v>122</v>
      </c>
      <c r="F252" s="97">
        <f>68*15</f>
        <v>1020</v>
      </c>
      <c r="G252" s="100">
        <f>40*68</f>
        <v>2720</v>
      </c>
    </row>
    <row r="253" spans="1:9" ht="15.75" thickBot="1" x14ac:dyDescent="0.3">
      <c r="A253" s="84" t="s">
        <v>263</v>
      </c>
      <c r="B253" s="288">
        <f>F256-B249</f>
        <v>8890</v>
      </c>
      <c r="C253" s="289"/>
      <c r="E253" s="101" t="s">
        <v>260</v>
      </c>
      <c r="F253" s="97">
        <f>120*3</f>
        <v>360</v>
      </c>
      <c r="G253" s="100">
        <f>120*12</f>
        <v>1440</v>
      </c>
    </row>
    <row r="254" spans="1:9" x14ac:dyDescent="0.25">
      <c r="E254" s="101" t="s">
        <v>261</v>
      </c>
      <c r="F254" s="97">
        <f>100*5</f>
        <v>500</v>
      </c>
      <c r="G254" s="100">
        <f>100*8</f>
        <v>800</v>
      </c>
    </row>
    <row r="255" spans="1:9" x14ac:dyDescent="0.25">
      <c r="E255" s="99" t="s">
        <v>53</v>
      </c>
      <c r="F255" s="97">
        <f>SUM(F248:F254)</f>
        <v>24900</v>
      </c>
      <c r="G255" s="100">
        <f>SUM(G248:G254)</f>
        <v>43790</v>
      </c>
    </row>
    <row r="256" spans="1:9" ht="15.75" thickBot="1" x14ac:dyDescent="0.3">
      <c r="E256" s="84" t="s">
        <v>53</v>
      </c>
      <c r="F256" s="285">
        <f>F255+G255</f>
        <v>68690</v>
      </c>
      <c r="G256" s="286"/>
    </row>
    <row r="258" spans="1:9" x14ac:dyDescent="0.25">
      <c r="E258" s="60"/>
      <c r="F258" s="60"/>
      <c r="G258" s="60"/>
    </row>
    <row r="261" spans="1:9" ht="15.75" thickBot="1" x14ac:dyDescent="0.3"/>
    <row r="262" spans="1:9" ht="15.75" thickBot="1" x14ac:dyDescent="0.3">
      <c r="A262" s="287" t="s">
        <v>266</v>
      </c>
      <c r="B262" s="278"/>
      <c r="C262" s="278"/>
      <c r="D262" s="278"/>
      <c r="E262" s="278"/>
      <c r="F262" s="278"/>
      <c r="G262" s="278"/>
      <c r="H262" s="278"/>
      <c r="I262" s="279"/>
    </row>
    <row r="263" spans="1:9" ht="15.75" thickBot="1" x14ac:dyDescent="0.3">
      <c r="A263" s="287" t="s">
        <v>267</v>
      </c>
      <c r="B263" s="278"/>
      <c r="C263" s="278"/>
      <c r="D263" s="278"/>
      <c r="E263" s="278"/>
      <c r="F263" s="278"/>
      <c r="G263" s="278"/>
      <c r="H263" s="278"/>
      <c r="I263" s="279"/>
    </row>
    <row r="264" spans="1:9" s="60" customFormat="1" ht="15.75" thickBot="1" x14ac:dyDescent="0.3">
      <c r="A264" s="287"/>
      <c r="B264" s="278"/>
      <c r="C264" s="279"/>
      <c r="D264" s="92"/>
      <c r="F264" s="255" t="s">
        <v>278</v>
      </c>
      <c r="G264" s="256"/>
      <c r="H264" s="257"/>
      <c r="I264" s="108"/>
    </row>
    <row r="265" spans="1:9" x14ac:dyDescent="0.25">
      <c r="A265" s="117" t="s">
        <v>218</v>
      </c>
      <c r="B265" s="122" t="s">
        <v>285</v>
      </c>
      <c r="C265" s="327" t="s">
        <v>55</v>
      </c>
      <c r="F265" s="181"/>
      <c r="G265" s="138" t="s">
        <v>74</v>
      </c>
      <c r="H265" s="182" t="s">
        <v>75</v>
      </c>
      <c r="I265" s="116"/>
    </row>
    <row r="266" spans="1:9" x14ac:dyDescent="0.25">
      <c r="A266" s="119" t="s">
        <v>274</v>
      </c>
      <c r="B266" s="123" t="s">
        <v>285</v>
      </c>
      <c r="C266" s="328"/>
      <c r="F266" s="10" t="s">
        <v>296</v>
      </c>
      <c r="G266" s="61">
        <v>1000</v>
      </c>
      <c r="H266" s="11">
        <v>3000</v>
      </c>
      <c r="I266" s="60"/>
    </row>
    <row r="267" spans="1:9" x14ac:dyDescent="0.25">
      <c r="A267" s="119" t="s">
        <v>136</v>
      </c>
      <c r="B267" s="5"/>
      <c r="C267" s="328"/>
      <c r="F267" s="10" t="s">
        <v>297</v>
      </c>
      <c r="G267" s="61">
        <v>900</v>
      </c>
      <c r="H267" s="11">
        <v>2500</v>
      </c>
      <c r="I267" s="60"/>
    </row>
    <row r="268" spans="1:9" ht="15" customHeight="1" x14ac:dyDescent="0.25">
      <c r="A268" s="119" t="s">
        <v>71</v>
      </c>
      <c r="B268" s="123">
        <v>180000</v>
      </c>
      <c r="C268" s="328"/>
      <c r="F268" s="10" t="s">
        <v>286</v>
      </c>
      <c r="G268" s="61">
        <v>250</v>
      </c>
      <c r="H268" s="11">
        <v>200</v>
      </c>
      <c r="I268" s="60"/>
    </row>
    <row r="269" spans="1:9" x14ac:dyDescent="0.25">
      <c r="A269" s="119" t="s">
        <v>268</v>
      </c>
      <c r="B269" s="123">
        <v>50000</v>
      </c>
      <c r="C269" s="328"/>
      <c r="F269" s="31" t="s">
        <v>299</v>
      </c>
      <c r="G269" s="21">
        <f>G268*G267</f>
        <v>225000</v>
      </c>
      <c r="H269" s="32">
        <f>H268*H267</f>
        <v>500000</v>
      </c>
      <c r="I269" s="60"/>
    </row>
    <row r="270" spans="1:9" ht="15.75" thickBot="1" x14ac:dyDescent="0.3">
      <c r="A270" s="119" t="s">
        <v>269</v>
      </c>
      <c r="B270" s="123">
        <v>195000</v>
      </c>
      <c r="C270" s="328"/>
      <c r="F270" s="38" t="s">
        <v>298</v>
      </c>
      <c r="G270" s="25">
        <f>G268*G266</f>
        <v>250000</v>
      </c>
      <c r="H270" s="26">
        <f>H266*H268</f>
        <v>600000</v>
      </c>
      <c r="I270" s="60"/>
    </row>
    <row r="271" spans="1:9" x14ac:dyDescent="0.25">
      <c r="A271" s="119" t="s">
        <v>109</v>
      </c>
      <c r="B271" s="123">
        <v>5000</v>
      </c>
      <c r="C271" s="328"/>
      <c r="F271" s="176" t="s">
        <v>309</v>
      </c>
      <c r="G271" s="118">
        <f>G267*G287</f>
        <v>236527.65082266909</v>
      </c>
      <c r="H271" s="122">
        <f>H267*H287</f>
        <v>464722.34917733091</v>
      </c>
      <c r="I271" s="179">
        <f>SUM(G269:H269)</f>
        <v>725000</v>
      </c>
    </row>
    <row r="272" spans="1:9" ht="15.75" thickBot="1" x14ac:dyDescent="0.3">
      <c r="A272" s="120" t="s">
        <v>273</v>
      </c>
      <c r="B272" s="124">
        <v>73280</v>
      </c>
      <c r="C272" s="329"/>
      <c r="F272" s="150" t="s">
        <v>313</v>
      </c>
      <c r="G272" s="121">
        <f>G267*G294</f>
        <v>243540.00000000003</v>
      </c>
      <c r="H272" s="124">
        <f>H267*H294</f>
        <v>478500</v>
      </c>
      <c r="I272" s="180">
        <f>SUM(G272:H272)</f>
        <v>722040</v>
      </c>
    </row>
    <row r="273" spans="1:9" x14ac:dyDescent="0.25">
      <c r="A273" s="117" t="s">
        <v>272</v>
      </c>
      <c r="B273" s="122">
        <v>80000</v>
      </c>
      <c r="C273" s="292" t="s">
        <v>283</v>
      </c>
      <c r="F273" s="156" t="s">
        <v>215</v>
      </c>
      <c r="G273" s="165">
        <f>G269-G271</f>
        <v>-11527.650822669093</v>
      </c>
      <c r="H273" s="166">
        <f>H269-H271</f>
        <v>35277.650822669093</v>
      </c>
      <c r="I273" s="177">
        <f>SUM(G273:H273)</f>
        <v>23750</v>
      </c>
    </row>
    <row r="274" spans="1:9" ht="15.75" thickBot="1" x14ac:dyDescent="0.3">
      <c r="A274" s="120" t="s">
        <v>293</v>
      </c>
      <c r="B274" s="124">
        <v>52160</v>
      </c>
      <c r="C274" s="294"/>
      <c r="F274" s="151" t="s">
        <v>320</v>
      </c>
      <c r="G274" s="152">
        <f>G269-G272</f>
        <v>-18540.000000000029</v>
      </c>
      <c r="H274" s="152">
        <f>H269-H272</f>
        <v>21500</v>
      </c>
      <c r="I274" s="178">
        <f>SUM(G274:H274)</f>
        <v>2959.9999999999709</v>
      </c>
    </row>
    <row r="275" spans="1:9" ht="15.75" thickBot="1" x14ac:dyDescent="0.3">
      <c r="A275" s="119" t="s">
        <v>282</v>
      </c>
      <c r="B275" s="125">
        <v>5300</v>
      </c>
      <c r="C275" s="292" t="s">
        <v>144</v>
      </c>
      <c r="G275" s="60"/>
      <c r="H275" s="60"/>
      <c r="I275" s="60"/>
    </row>
    <row r="276" spans="1:9" x14ac:dyDescent="0.25">
      <c r="A276" s="119" t="s">
        <v>61</v>
      </c>
      <c r="B276" s="6">
        <v>3800</v>
      </c>
      <c r="C276" s="293"/>
      <c r="F276" s="145" t="s">
        <v>122</v>
      </c>
      <c r="G276" s="24">
        <v>50</v>
      </c>
      <c r="H276" s="17">
        <v>30</v>
      </c>
      <c r="I276" s="60"/>
    </row>
    <row r="277" spans="1:9" ht="15.75" thickBot="1" x14ac:dyDescent="0.3">
      <c r="A277" s="120" t="s">
        <v>112</v>
      </c>
      <c r="B277" s="121">
        <v>10500</v>
      </c>
      <c r="C277" s="294"/>
      <c r="F277" s="10" t="s">
        <v>300</v>
      </c>
      <c r="G277" s="61">
        <v>30</v>
      </c>
      <c r="H277" s="11">
        <v>90</v>
      </c>
      <c r="I277" s="60"/>
    </row>
    <row r="278" spans="1:9" x14ac:dyDescent="0.25">
      <c r="A278" s="117" t="s">
        <v>116</v>
      </c>
      <c r="B278" s="118">
        <v>97000</v>
      </c>
      <c r="C278" s="292" t="s">
        <v>284</v>
      </c>
      <c r="F278" s="10" t="s">
        <v>301</v>
      </c>
      <c r="G278" s="61">
        <v>125</v>
      </c>
      <c r="H278" s="11">
        <v>25</v>
      </c>
      <c r="I278" s="60"/>
    </row>
    <row r="279" spans="1:9" ht="15.75" thickBot="1" x14ac:dyDescent="0.3">
      <c r="A279" s="119" t="s">
        <v>117</v>
      </c>
      <c r="B279" s="6">
        <v>63200</v>
      </c>
      <c r="C279" s="293"/>
      <c r="F279" s="10" t="s">
        <v>290</v>
      </c>
      <c r="G279" s="61">
        <f>SUM(G276:G278)</f>
        <v>205</v>
      </c>
      <c r="H279" s="11">
        <f>SUM(H276:H278)</f>
        <v>145</v>
      </c>
      <c r="I279" s="60"/>
    </row>
    <row r="280" spans="1:9" ht="15.75" thickBot="1" x14ac:dyDescent="0.3">
      <c r="A280" s="184" t="s">
        <v>271</v>
      </c>
      <c r="B280" s="28">
        <f>G306</f>
        <v>184000</v>
      </c>
      <c r="C280" s="294"/>
      <c r="F280" s="10" t="s">
        <v>289</v>
      </c>
      <c r="G280" s="61">
        <f>G279*G267</f>
        <v>184500</v>
      </c>
      <c r="H280" s="11">
        <f>H279*H267</f>
        <v>362500</v>
      </c>
      <c r="I280" s="60"/>
    </row>
    <row r="281" spans="1:9" x14ac:dyDescent="0.25">
      <c r="F281" s="10" t="s">
        <v>288</v>
      </c>
      <c r="G281" s="61">
        <f>G279*G266</f>
        <v>205000</v>
      </c>
      <c r="H281" s="11">
        <f>H279*H266</f>
        <v>435000</v>
      </c>
      <c r="I281" s="60"/>
    </row>
    <row r="282" spans="1:9" x14ac:dyDescent="0.25">
      <c r="A282" s="116"/>
      <c r="B282" s="72"/>
      <c r="C282" s="116"/>
      <c r="D282" s="116"/>
      <c r="F282" s="53" t="s">
        <v>339</v>
      </c>
      <c r="G282" s="61">
        <f>G268-G279</f>
        <v>45</v>
      </c>
      <c r="H282" s="11">
        <f>H268-H279</f>
        <v>55</v>
      </c>
      <c r="I282" s="60"/>
    </row>
    <row r="283" spans="1:9" ht="15.75" thickBot="1" x14ac:dyDescent="0.3">
      <c r="A283" s="284"/>
      <c r="B283" s="284"/>
      <c r="C283" s="284"/>
      <c r="D283" s="116"/>
      <c r="F283" s="53" t="s">
        <v>338</v>
      </c>
      <c r="G283" s="62">
        <f>G269-G281</f>
        <v>20000</v>
      </c>
      <c r="H283" s="54">
        <f>H269-H281</f>
        <v>65000</v>
      </c>
      <c r="I283" s="60"/>
    </row>
    <row r="284" spans="1:9" ht="15.75" thickBot="1" x14ac:dyDescent="0.3">
      <c r="A284" s="255" t="s">
        <v>302</v>
      </c>
      <c r="B284" s="257"/>
      <c r="C284" s="260" t="s">
        <v>321</v>
      </c>
      <c r="D284" s="262"/>
      <c r="F284" s="60"/>
      <c r="G284" s="60"/>
      <c r="H284" s="60"/>
      <c r="I284" s="116"/>
    </row>
    <row r="285" spans="1:9" x14ac:dyDescent="0.25">
      <c r="A285" s="188" t="s">
        <v>218</v>
      </c>
      <c r="B285" s="17">
        <f>G269+H269</f>
        <v>725000</v>
      </c>
      <c r="C285" s="142">
        <f>I274</f>
        <v>2959.9999999999709</v>
      </c>
      <c r="D285" s="17" t="s">
        <v>322</v>
      </c>
      <c r="F285" s="149" t="s">
        <v>305</v>
      </c>
      <c r="G285" s="24">
        <f>E314*G279</f>
        <v>21.718007312614262</v>
      </c>
      <c r="H285" s="17">
        <f>E314*H279</f>
        <v>15.361517367458868</v>
      </c>
      <c r="I285" s="353" t="s">
        <v>312</v>
      </c>
    </row>
    <row r="286" spans="1:9" ht="15.75" thickBot="1" x14ac:dyDescent="0.3">
      <c r="A286" s="189" t="s">
        <v>59</v>
      </c>
      <c r="B286" s="11">
        <v>5300</v>
      </c>
      <c r="C286" s="12">
        <f>G318</f>
        <v>22560</v>
      </c>
      <c r="D286" s="11" t="s">
        <v>351</v>
      </c>
      <c r="F286" s="147" t="s">
        <v>306</v>
      </c>
      <c r="G286" s="21">
        <f>F314*G279</f>
        <v>36.090493601462526</v>
      </c>
      <c r="H286" s="32">
        <f>F314*H279</f>
        <v>25.527422303473493</v>
      </c>
      <c r="I286" s="354"/>
    </row>
    <row r="287" spans="1:9" ht="15.75" thickBot="1" x14ac:dyDescent="0.3">
      <c r="A287" s="189" t="s">
        <v>294</v>
      </c>
      <c r="B287" s="11">
        <f>G281-G280+H281-H280</f>
        <v>93000</v>
      </c>
      <c r="C287" s="12">
        <f>B278-B273</f>
        <v>17000</v>
      </c>
      <c r="D287" s="11" t="s">
        <v>366</v>
      </c>
      <c r="F287" s="156" t="s">
        <v>309</v>
      </c>
      <c r="G287" s="159">
        <f>G286+G285+G279</f>
        <v>262.80850091407677</v>
      </c>
      <c r="H287" s="160">
        <f>H286+H285+H279</f>
        <v>185.88893967093236</v>
      </c>
      <c r="I287" s="354"/>
    </row>
    <row r="288" spans="1:9" s="1" customFormat="1" x14ac:dyDescent="0.25">
      <c r="A288" s="99" t="s">
        <v>295</v>
      </c>
      <c r="B288" s="54">
        <f>SUM(B285:B287)</f>
        <v>823300</v>
      </c>
      <c r="C288" s="247">
        <f>B279-B274</f>
        <v>11040</v>
      </c>
      <c r="D288" s="247" t="s">
        <v>365</v>
      </c>
      <c r="F288" s="161" t="s">
        <v>287</v>
      </c>
      <c r="G288" s="162">
        <f>G268-G287</f>
        <v>-12.808500914076774</v>
      </c>
      <c r="H288" s="157">
        <f>H268-H287</f>
        <v>14.111060329067641</v>
      </c>
      <c r="I288" s="354"/>
    </row>
    <row r="289" spans="1:9" s="1" customFormat="1" ht="15.75" thickBot="1" x14ac:dyDescent="0.3">
      <c r="A289" s="99"/>
      <c r="B289" s="54"/>
      <c r="C289" s="12">
        <f>G306-B270</f>
        <v>-11000</v>
      </c>
      <c r="D289" s="100" t="s">
        <v>324</v>
      </c>
      <c r="F289" s="163" t="s">
        <v>310</v>
      </c>
      <c r="G289" s="164">
        <f>G288*G267</f>
        <v>-11527.650822669097</v>
      </c>
      <c r="H289" s="158">
        <f>H288*H268</f>
        <v>2822.2120658135282</v>
      </c>
      <c r="I289" s="354"/>
    </row>
    <row r="290" spans="1:9" ht="15.75" thickBot="1" x14ac:dyDescent="0.3">
      <c r="A290" s="189" t="s">
        <v>61</v>
      </c>
      <c r="B290" s="11">
        <v>3800</v>
      </c>
      <c r="C290" s="248">
        <f>-(B277-B275+B276)</f>
        <v>-9000</v>
      </c>
      <c r="D290" s="100" t="s">
        <v>325</v>
      </c>
      <c r="F290" s="151" t="s">
        <v>311</v>
      </c>
      <c r="G290" s="172">
        <f>G289+H289</f>
        <v>-8705.4387568555685</v>
      </c>
      <c r="H290" s="114"/>
      <c r="I290" s="355"/>
    </row>
    <row r="291" spans="1:9" ht="15.75" thickBot="1" x14ac:dyDescent="0.3">
      <c r="A291" s="189" t="s">
        <v>141</v>
      </c>
      <c r="B291" s="11">
        <v>52160</v>
      </c>
      <c r="C291" s="12"/>
      <c r="D291" s="11"/>
      <c r="F291" s="1"/>
      <c r="G291" s="1"/>
      <c r="H291" s="1"/>
      <c r="I291" s="1"/>
    </row>
    <row r="292" spans="1:9" x14ac:dyDescent="0.25">
      <c r="A292" s="189" t="s">
        <v>119</v>
      </c>
      <c r="B292" s="11">
        <v>80000</v>
      </c>
      <c r="C292" s="12"/>
      <c r="D292" s="11"/>
      <c r="F292" s="149" t="s">
        <v>307</v>
      </c>
      <c r="G292" s="24">
        <f>G279*0.12</f>
        <v>24.599999999999998</v>
      </c>
      <c r="H292" s="168">
        <f>H279*0.12</f>
        <v>17.399999999999999</v>
      </c>
      <c r="I292" s="353" t="s">
        <v>319</v>
      </c>
    </row>
    <row r="293" spans="1:9" ht="15.75" thickBot="1" x14ac:dyDescent="0.3">
      <c r="A293" s="189" t="s">
        <v>71</v>
      </c>
      <c r="B293" s="11">
        <v>180000</v>
      </c>
      <c r="C293" s="12"/>
      <c r="D293" s="11"/>
      <c r="F293" s="147" t="s">
        <v>308</v>
      </c>
      <c r="G293" s="21">
        <f>G279*0.2</f>
        <v>41</v>
      </c>
      <c r="H293" s="169">
        <f>H279*0.2</f>
        <v>29</v>
      </c>
      <c r="I293" s="354"/>
    </row>
    <row r="294" spans="1:9" ht="15.75" thickBot="1" x14ac:dyDescent="0.3">
      <c r="A294" s="189" t="s">
        <v>268</v>
      </c>
      <c r="B294" s="11">
        <v>50000</v>
      </c>
      <c r="C294" s="12"/>
      <c r="D294" s="11"/>
      <c r="F294" s="148" t="s">
        <v>313</v>
      </c>
      <c r="G294" s="155">
        <f>G293+G292+G279</f>
        <v>270.60000000000002</v>
      </c>
      <c r="H294" s="170">
        <f>H293+H292+H279</f>
        <v>191.4</v>
      </c>
      <c r="I294" s="354"/>
    </row>
    <row r="295" spans="1:9" x14ac:dyDescent="0.25">
      <c r="A295" s="189" t="s">
        <v>269</v>
      </c>
      <c r="B295" s="11">
        <v>195000</v>
      </c>
      <c r="C295" s="12"/>
      <c r="D295" s="11"/>
      <c r="F295" s="149" t="s">
        <v>315</v>
      </c>
      <c r="G295" s="24">
        <f>G279-G294</f>
        <v>-65.600000000000023</v>
      </c>
      <c r="H295" s="168">
        <f>H279-H294</f>
        <v>-46.400000000000006</v>
      </c>
      <c r="I295" s="354"/>
    </row>
    <row r="296" spans="1:9" ht="15.75" thickBot="1" x14ac:dyDescent="0.3">
      <c r="A296" s="189" t="s">
        <v>109</v>
      </c>
      <c r="B296" s="11">
        <v>5000</v>
      </c>
      <c r="C296" s="12"/>
      <c r="D296" s="11"/>
      <c r="F296" s="167" t="s">
        <v>314</v>
      </c>
      <c r="G296" s="25">
        <f>G295*G267</f>
        <v>-59040.000000000022</v>
      </c>
      <c r="H296" s="171">
        <f>H295*H267</f>
        <v>-116000.00000000001</v>
      </c>
      <c r="I296" s="354"/>
    </row>
    <row r="297" spans="1:9" s="60" customFormat="1" ht="15.75" thickBot="1" x14ac:dyDescent="0.3">
      <c r="A297" s="189" t="s">
        <v>273</v>
      </c>
      <c r="B297" s="11">
        <v>73280</v>
      </c>
      <c r="C297" s="12"/>
      <c r="D297" s="11"/>
      <c r="F297" s="151" t="s">
        <v>316</v>
      </c>
      <c r="G297" s="173">
        <f>G296+H296</f>
        <v>-175040.00000000003</v>
      </c>
      <c r="H297" s="105"/>
      <c r="I297" s="355"/>
    </row>
    <row r="298" spans="1:9" ht="15.75" thickBot="1" x14ac:dyDescent="0.3">
      <c r="A298" s="189" t="s">
        <v>122</v>
      </c>
      <c r="B298" s="11">
        <f>G276*G266+H276*H266</f>
        <v>140000</v>
      </c>
      <c r="C298" s="12"/>
      <c r="D298" s="11"/>
      <c r="F298" s="60"/>
      <c r="G298" s="60"/>
      <c r="H298" s="60"/>
      <c r="I298" s="60"/>
    </row>
    <row r="299" spans="1:9" ht="15.75" thickBot="1" x14ac:dyDescent="0.3">
      <c r="A299" s="120" t="s">
        <v>112</v>
      </c>
      <c r="B299" s="249">
        <v>10500</v>
      </c>
      <c r="C299" s="224"/>
      <c r="D299" s="26"/>
      <c r="F299" s="153" t="s">
        <v>318</v>
      </c>
      <c r="G299" s="174">
        <f>G301+G290</f>
        <v>24854.561243144432</v>
      </c>
      <c r="H299" s="113"/>
      <c r="I299" s="356"/>
    </row>
    <row r="300" spans="1:9" ht="15.75" thickBot="1" x14ac:dyDescent="0.3">
      <c r="A300" s="185" t="s">
        <v>54</v>
      </c>
      <c r="B300" s="186">
        <f>B288-SUM(B290:B299)</f>
        <v>33560</v>
      </c>
      <c r="C300" s="260">
        <f>SUM(C285:C290)</f>
        <v>33559.999999999971</v>
      </c>
      <c r="D300" s="262"/>
      <c r="F300" s="53" t="s">
        <v>317</v>
      </c>
      <c r="G300" s="110">
        <f>G301-G297</f>
        <v>208600.00000000003</v>
      </c>
      <c r="H300" s="146"/>
      <c r="I300" s="357"/>
    </row>
    <row r="301" spans="1:9" ht="15.75" thickBot="1" x14ac:dyDescent="0.3">
      <c r="A301" s="85" t="s">
        <v>326</v>
      </c>
      <c r="B301" s="283">
        <f>B300-C300</f>
        <v>0</v>
      </c>
      <c r="C301" s="283"/>
      <c r="D301" s="154" t="s">
        <v>326</v>
      </c>
      <c r="F301" s="43" t="s">
        <v>302</v>
      </c>
      <c r="G301" s="175">
        <f>B300</f>
        <v>33560</v>
      </c>
      <c r="H301" s="106"/>
      <c r="I301" s="358"/>
    </row>
    <row r="302" spans="1:9" ht="15.75" thickBot="1" x14ac:dyDescent="0.3"/>
    <row r="303" spans="1:9" ht="15.75" thickBot="1" x14ac:dyDescent="0.3">
      <c r="A303" s="126" t="s">
        <v>127</v>
      </c>
      <c r="B303" s="22" t="s">
        <v>275</v>
      </c>
      <c r="C303" s="22" t="s">
        <v>276</v>
      </c>
      <c r="D303" s="22" t="s">
        <v>277</v>
      </c>
      <c r="E303" s="22" t="s">
        <v>102</v>
      </c>
      <c r="F303" s="23" t="s">
        <v>103</v>
      </c>
      <c r="G303" s="40" t="s">
        <v>53</v>
      </c>
    </row>
    <row r="304" spans="1:9" x14ac:dyDescent="0.25">
      <c r="A304" s="127" t="s">
        <v>71</v>
      </c>
      <c r="B304" s="15"/>
      <c r="C304" s="132">
        <v>100000</v>
      </c>
      <c r="D304" s="132">
        <v>80000</v>
      </c>
      <c r="E304" s="132">
        <v>0</v>
      </c>
      <c r="F304" s="14">
        <v>0</v>
      </c>
      <c r="G304" s="129">
        <f>SUM(C304:F304)</f>
        <v>180000</v>
      </c>
    </row>
    <row r="305" spans="1:8" x14ac:dyDescent="0.25">
      <c r="A305" s="128" t="s">
        <v>34</v>
      </c>
      <c r="B305" s="12">
        <v>2000</v>
      </c>
      <c r="C305" s="61">
        <v>8000</v>
      </c>
      <c r="D305" s="61">
        <v>5000</v>
      </c>
      <c r="E305" s="61">
        <v>15000</v>
      </c>
      <c r="F305" s="5">
        <v>20000</v>
      </c>
      <c r="G305" s="130">
        <f t="shared" ref="G305:G310" si="11">SUM(B305:F305)</f>
        <v>50000</v>
      </c>
    </row>
    <row r="306" spans="1:8" x14ac:dyDescent="0.25">
      <c r="A306" s="128" t="s">
        <v>279</v>
      </c>
      <c r="B306" s="12">
        <f>0.8*SUM(B304:B305)</f>
        <v>1600</v>
      </c>
      <c r="C306" s="61">
        <f>0.8*SUM(C304:C305)</f>
        <v>86400</v>
      </c>
      <c r="D306" s="61">
        <f>0.8*SUM(D304:D305)</f>
        <v>68000</v>
      </c>
      <c r="E306" s="61">
        <f>0.8*SUM(E304:E305)</f>
        <v>12000</v>
      </c>
      <c r="F306" s="5">
        <f>0.8*SUM(F304:F305)</f>
        <v>16000</v>
      </c>
      <c r="G306" s="130">
        <f t="shared" si="11"/>
        <v>184000</v>
      </c>
    </row>
    <row r="307" spans="1:8" x14ac:dyDescent="0.25">
      <c r="A307" s="128" t="s">
        <v>109</v>
      </c>
      <c r="B307" s="12">
        <v>1000</v>
      </c>
      <c r="C307" s="61">
        <v>3000</v>
      </c>
      <c r="D307" s="61">
        <v>1000</v>
      </c>
      <c r="E307" s="61">
        <v>0</v>
      </c>
      <c r="F307" s="5">
        <v>0</v>
      </c>
      <c r="G307" s="130">
        <f t="shared" si="11"/>
        <v>5000</v>
      </c>
    </row>
    <row r="308" spans="1:8" x14ac:dyDescent="0.25">
      <c r="A308" s="128" t="s">
        <v>270</v>
      </c>
      <c r="B308" s="12">
        <v>20000</v>
      </c>
      <c r="C308" s="61">
        <v>35000</v>
      </c>
      <c r="D308" s="61">
        <v>23000</v>
      </c>
      <c r="E308" s="61">
        <v>12000</v>
      </c>
      <c r="F308" s="5">
        <v>7000</v>
      </c>
      <c r="G308" s="130">
        <f t="shared" si="11"/>
        <v>97000</v>
      </c>
    </row>
    <row r="309" spans="1:8" x14ac:dyDescent="0.25">
      <c r="A309" s="128" t="s">
        <v>117</v>
      </c>
      <c r="B309" s="12">
        <v>16000</v>
      </c>
      <c r="C309" s="61">
        <v>19800</v>
      </c>
      <c r="D309" s="61">
        <v>12200</v>
      </c>
      <c r="E309" s="61">
        <v>8900</v>
      </c>
      <c r="F309" s="5">
        <v>6300</v>
      </c>
      <c r="G309" s="130">
        <f t="shared" si="11"/>
        <v>63200</v>
      </c>
    </row>
    <row r="310" spans="1:8" x14ac:dyDescent="0.25">
      <c r="A310" s="128" t="s">
        <v>280</v>
      </c>
      <c r="B310" s="12">
        <v>7400</v>
      </c>
      <c r="C310" s="61">
        <v>15980</v>
      </c>
      <c r="D310" s="61">
        <v>4850</v>
      </c>
      <c r="E310" s="61">
        <v>2050</v>
      </c>
      <c r="F310" s="5">
        <v>43000</v>
      </c>
      <c r="G310" s="130">
        <f t="shared" si="11"/>
        <v>73280</v>
      </c>
    </row>
    <row r="311" spans="1:8" x14ac:dyDescent="0.25">
      <c r="A311" s="128" t="s">
        <v>281</v>
      </c>
      <c r="B311" s="12">
        <f>SUM(B305:B310)</f>
        <v>48000</v>
      </c>
      <c r="C311" s="61">
        <f>$B$311/1200*600</f>
        <v>24000</v>
      </c>
      <c r="D311" s="61">
        <f>$B$311/1200*300</f>
        <v>12000</v>
      </c>
      <c r="E311" s="61">
        <f>$B$311/1200*200</f>
        <v>8000</v>
      </c>
      <c r="F311" s="5">
        <f>$B$311/1200*100</f>
        <v>4000</v>
      </c>
      <c r="G311" s="130">
        <f>SUM(C311:F311)</f>
        <v>48000</v>
      </c>
    </row>
    <row r="312" spans="1:8" x14ac:dyDescent="0.25">
      <c r="A312" s="139" t="s">
        <v>131</v>
      </c>
      <c r="B312" s="12"/>
      <c r="C312" s="61">
        <f>SUM(C304:C311)</f>
        <v>292180</v>
      </c>
      <c r="D312" s="61">
        <f>SUM(D304:D311)</f>
        <v>206050</v>
      </c>
      <c r="E312" s="61">
        <f>SUM(E304:E311)</f>
        <v>57950</v>
      </c>
      <c r="F312" s="61">
        <f>SUM(F304:F311)</f>
        <v>96300</v>
      </c>
      <c r="G312" s="140">
        <f>SUM(C312:F312)</f>
        <v>652480</v>
      </c>
    </row>
    <row r="313" spans="1:8" ht="15.75" thickBot="1" x14ac:dyDescent="0.3">
      <c r="A313" s="141" t="s">
        <v>363</v>
      </c>
      <c r="B313" s="16"/>
      <c r="C313" s="13">
        <v>10000</v>
      </c>
      <c r="D313" s="13">
        <v>4000</v>
      </c>
      <c r="E313" s="13">
        <f>G280+H280</f>
        <v>547000</v>
      </c>
      <c r="F313" s="13">
        <f>G280+H280</f>
        <v>547000</v>
      </c>
      <c r="G313" s="131">
        <f>SUM(C313:F313)</f>
        <v>1108000</v>
      </c>
    </row>
    <row r="314" spans="1:8" x14ac:dyDescent="0.25">
      <c r="A314" s="127" t="s">
        <v>291</v>
      </c>
      <c r="B314" s="142"/>
      <c r="C314" s="24">
        <f>C312/C313</f>
        <v>29.218</v>
      </c>
      <c r="D314" s="24">
        <f>D312/D313</f>
        <v>51.512500000000003</v>
      </c>
      <c r="E314" s="24">
        <f>E312/E313</f>
        <v>0.10594149908592322</v>
      </c>
      <c r="F314" s="24">
        <f>F312/F313</f>
        <v>0.1760511882998172</v>
      </c>
      <c r="G314" s="40">
        <f>SUM(C314:F314)</f>
        <v>81.012492687385759</v>
      </c>
    </row>
    <row r="315" spans="1:8" x14ac:dyDescent="0.25">
      <c r="A315" s="128"/>
      <c r="B315" s="12"/>
      <c r="C315" s="61"/>
      <c r="D315" s="61"/>
      <c r="E315" s="61"/>
      <c r="F315" s="61"/>
      <c r="G315" s="140"/>
    </row>
    <row r="316" spans="1:8" x14ac:dyDescent="0.25">
      <c r="A316" s="128" t="s">
        <v>292</v>
      </c>
      <c r="B316" s="12"/>
      <c r="C316" s="61">
        <v>30</v>
      </c>
      <c r="D316" s="61">
        <v>50</v>
      </c>
      <c r="E316" s="61">
        <v>0.12</v>
      </c>
      <c r="F316" s="61">
        <v>0.2</v>
      </c>
      <c r="G316" s="140">
        <f>SUM(C316:F316)</f>
        <v>80.320000000000007</v>
      </c>
    </row>
    <row r="317" spans="1:8" x14ac:dyDescent="0.25">
      <c r="A317" s="128" t="s">
        <v>304</v>
      </c>
      <c r="B317" s="12"/>
      <c r="C317" s="61">
        <f>C316*C313</f>
        <v>300000</v>
      </c>
      <c r="D317" s="61">
        <f>D316*D313</f>
        <v>200000</v>
      </c>
      <c r="E317" s="61">
        <f>E316*E313</f>
        <v>65640</v>
      </c>
      <c r="F317" s="61">
        <f>F316*F313</f>
        <v>109400</v>
      </c>
      <c r="G317" s="140">
        <f>SUM(C317:F317)</f>
        <v>675040</v>
      </c>
    </row>
    <row r="318" spans="1:8" ht="15.75" thickBot="1" x14ac:dyDescent="0.3">
      <c r="A318" s="139" t="s">
        <v>303</v>
      </c>
      <c r="B318" s="199"/>
      <c r="C318" s="21">
        <f>C317-C312</f>
        <v>7820</v>
      </c>
      <c r="D318" s="21">
        <f>D317-D312</f>
        <v>-6050</v>
      </c>
      <c r="E318" s="21">
        <f>E317-E312</f>
        <v>7690</v>
      </c>
      <c r="F318" s="21">
        <f>F317-F312</f>
        <v>13100</v>
      </c>
      <c r="G318" s="140">
        <f>SUM(C318:F318)</f>
        <v>22560</v>
      </c>
    </row>
    <row r="319" spans="1:8" x14ac:dyDescent="0.25">
      <c r="A319" s="127" t="s">
        <v>327</v>
      </c>
      <c r="B319" s="142"/>
      <c r="C319" s="24">
        <f>C316*0.4</f>
        <v>12</v>
      </c>
      <c r="D319" s="24">
        <f>D316*0.5</f>
        <v>25</v>
      </c>
      <c r="E319" s="24">
        <v>0</v>
      </c>
      <c r="F319" s="24">
        <v>0</v>
      </c>
      <c r="G319" s="17"/>
      <c r="H319" s="360" t="s">
        <v>369</v>
      </c>
    </row>
    <row r="320" spans="1:8" x14ac:dyDescent="0.25">
      <c r="A320" s="128" t="s">
        <v>328</v>
      </c>
      <c r="B320" s="12"/>
      <c r="C320" s="61">
        <f>C316*0.6</f>
        <v>18</v>
      </c>
      <c r="D320" s="61">
        <f>D316*0.5</f>
        <v>25</v>
      </c>
      <c r="E320" s="61">
        <v>0</v>
      </c>
      <c r="F320" s="61">
        <v>0</v>
      </c>
      <c r="G320" s="11"/>
      <c r="H320" s="361"/>
    </row>
    <row r="321" spans="1:9" x14ac:dyDescent="0.25">
      <c r="A321" s="95" t="s">
        <v>327</v>
      </c>
      <c r="B321" s="103"/>
      <c r="C321" s="62">
        <f>C319*C313</f>
        <v>120000</v>
      </c>
      <c r="D321" s="62">
        <f>D319*D313</f>
        <v>100000</v>
      </c>
      <c r="E321" s="62">
        <v>0</v>
      </c>
      <c r="F321" s="62">
        <v>0</v>
      </c>
      <c r="G321" s="11"/>
      <c r="H321" s="361"/>
    </row>
    <row r="322" spans="1:9" s="60" customFormat="1" ht="15.75" thickBot="1" x14ac:dyDescent="0.3">
      <c r="A322" s="96" t="s">
        <v>328</v>
      </c>
      <c r="B322" s="200"/>
      <c r="C322" s="57">
        <f>C320*C313</f>
        <v>180000</v>
      </c>
      <c r="D322" s="57">
        <f>D320*D313</f>
        <v>100000</v>
      </c>
      <c r="E322" s="57"/>
      <c r="F322" s="57"/>
      <c r="G322" s="26"/>
      <c r="H322" s="362"/>
    </row>
    <row r="323" spans="1:9" s="60" customFormat="1" ht="15.75" thickBot="1" x14ac:dyDescent="0.3">
      <c r="A323" s="133" t="s">
        <v>303</v>
      </c>
      <c r="B323" s="22"/>
      <c r="C323" s="22">
        <f>C322+C321-C312</f>
        <v>7820</v>
      </c>
      <c r="D323" s="22">
        <f>D322+D321-D312</f>
        <v>-6050</v>
      </c>
      <c r="E323" s="22"/>
      <c r="F323" s="22"/>
      <c r="G323" s="23">
        <f>SUM(C323:F323)</f>
        <v>1770</v>
      </c>
      <c r="H323" s="208"/>
    </row>
    <row r="325" spans="1:9" ht="15.75" thickBot="1" x14ac:dyDescent="0.3"/>
    <row r="326" spans="1:9" ht="15.75" thickBot="1" x14ac:dyDescent="0.3">
      <c r="A326" s="287" t="s">
        <v>370</v>
      </c>
      <c r="B326" s="278"/>
      <c r="C326" s="278"/>
      <c r="D326" s="278"/>
      <c r="E326" s="278"/>
      <c r="F326" s="278"/>
      <c r="G326" s="278"/>
      <c r="H326" s="278"/>
      <c r="I326" s="279"/>
    </row>
    <row r="327" spans="1:9" ht="15.75" thickBot="1" x14ac:dyDescent="0.3">
      <c r="A327" s="337" t="s">
        <v>278</v>
      </c>
      <c r="B327" s="338"/>
      <c r="C327" s="339"/>
      <c r="D327" s="134"/>
      <c r="F327" s="287" t="s">
        <v>341</v>
      </c>
      <c r="G327" s="278"/>
      <c r="H327" s="279"/>
    </row>
    <row r="328" spans="1:9" ht="15.75" thickBot="1" x14ac:dyDescent="0.3">
      <c r="A328" s="190"/>
      <c r="B328" s="191" t="s">
        <v>74</v>
      </c>
      <c r="C328" s="192" t="s">
        <v>75</v>
      </c>
      <c r="D328" s="116"/>
      <c r="F328" s="194" t="s">
        <v>218</v>
      </c>
      <c r="G328" s="122">
        <f>B329*B330+C329*C330</f>
        <v>725000</v>
      </c>
      <c r="H328" s="330" t="s">
        <v>344</v>
      </c>
    </row>
    <row r="329" spans="1:9" x14ac:dyDescent="0.25">
      <c r="A329" s="145" t="s">
        <v>297</v>
      </c>
      <c r="B329" s="24">
        <v>900</v>
      </c>
      <c r="C329" s="17">
        <v>2500</v>
      </c>
      <c r="D329" s="60"/>
      <c r="F329" s="136" t="s">
        <v>59</v>
      </c>
      <c r="G329" s="11">
        <v>5300</v>
      </c>
      <c r="H329" s="332"/>
    </row>
    <row r="330" spans="1:9" ht="15.75" thickBot="1" x14ac:dyDescent="0.3">
      <c r="A330" s="31" t="s">
        <v>286</v>
      </c>
      <c r="B330" s="21">
        <v>250</v>
      </c>
      <c r="C330" s="32">
        <v>200</v>
      </c>
      <c r="D330" s="60"/>
      <c r="F330" s="136" t="s">
        <v>294</v>
      </c>
      <c r="G330" s="123">
        <f>100*B336+C336*500</f>
        <v>51700</v>
      </c>
      <c r="H330" s="332"/>
    </row>
    <row r="331" spans="1:9" ht="15.75" thickBot="1" x14ac:dyDescent="0.3">
      <c r="A331" s="145" t="s">
        <v>300</v>
      </c>
      <c r="B331" s="24">
        <v>30</v>
      </c>
      <c r="C331" s="17">
        <v>90</v>
      </c>
      <c r="F331" s="197" t="s">
        <v>342</v>
      </c>
      <c r="G331" s="123">
        <f>SUM(G328:G330)</f>
        <v>782000</v>
      </c>
      <c r="H331" s="332"/>
    </row>
    <row r="332" spans="1:9" ht="15.75" thickBot="1" x14ac:dyDescent="0.3">
      <c r="A332" s="38" t="s">
        <v>301</v>
      </c>
      <c r="B332" s="25">
        <v>125</v>
      </c>
      <c r="C332" s="26">
        <v>25</v>
      </c>
      <c r="D332" s="60"/>
      <c r="F332" s="135" t="s">
        <v>61</v>
      </c>
      <c r="G332" s="168">
        <v>3800</v>
      </c>
      <c r="H332" s="352" t="s">
        <v>343</v>
      </c>
    </row>
    <row r="333" spans="1:9" x14ac:dyDescent="0.25">
      <c r="A333" s="82" t="s">
        <v>329</v>
      </c>
      <c r="B333" s="132">
        <f>B331*0.4</f>
        <v>12</v>
      </c>
      <c r="C333" s="20">
        <f>C331*0.4</f>
        <v>36</v>
      </c>
      <c r="D333">
        <f>(B334+B333)*(B329+100)</f>
        <v>74500</v>
      </c>
      <c r="E333" t="s">
        <v>354</v>
      </c>
      <c r="F333" s="136" t="s">
        <v>141</v>
      </c>
      <c r="G333" s="5">
        <v>52160</v>
      </c>
      <c r="H333" s="333"/>
    </row>
    <row r="334" spans="1:9" x14ac:dyDescent="0.25">
      <c r="A334" s="136" t="s">
        <v>330</v>
      </c>
      <c r="B334" s="61">
        <f>B332*0.5</f>
        <v>62.5</v>
      </c>
      <c r="C334" s="11">
        <f>C332*0.5</f>
        <v>12.5</v>
      </c>
      <c r="D334" s="60">
        <f>(C334+C333)*(500+C329)</f>
        <v>145500</v>
      </c>
      <c r="E334" t="s">
        <v>356</v>
      </c>
      <c r="F334" s="136" t="s">
        <v>119</v>
      </c>
      <c r="G334" s="5">
        <v>80000</v>
      </c>
      <c r="H334" s="333"/>
      <c r="I334" s="60"/>
    </row>
    <row r="335" spans="1:9" x14ac:dyDescent="0.25">
      <c r="A335" s="10" t="s">
        <v>122</v>
      </c>
      <c r="B335" s="61">
        <v>50</v>
      </c>
      <c r="C335" s="11">
        <v>30</v>
      </c>
      <c r="D335" s="60">
        <f>SUM(D333:D334)</f>
        <v>220000</v>
      </c>
      <c r="E335" s="60" t="s">
        <v>355</v>
      </c>
      <c r="F335" s="136" t="s">
        <v>71</v>
      </c>
      <c r="G335" s="5">
        <v>180000</v>
      </c>
      <c r="H335" s="333"/>
    </row>
    <row r="336" spans="1:9" s="60" customFormat="1" x14ac:dyDescent="0.25">
      <c r="A336" s="53" t="s">
        <v>340</v>
      </c>
      <c r="B336" s="62">
        <f>SUM(B333:B335)</f>
        <v>124.5</v>
      </c>
      <c r="C336" s="54">
        <f>SUM(C333:C335)</f>
        <v>78.5</v>
      </c>
      <c r="F336" s="136" t="s">
        <v>268</v>
      </c>
      <c r="G336" s="5">
        <v>50000</v>
      </c>
      <c r="H336" s="333"/>
    </row>
    <row r="337" spans="1:9" x14ac:dyDescent="0.25">
      <c r="A337" s="53" t="s">
        <v>331</v>
      </c>
      <c r="B337" s="62">
        <f>B330-SUM(B333:B335)</f>
        <v>125.5</v>
      </c>
      <c r="C337" s="54">
        <f>C330-SUM(C333:C335)</f>
        <v>121.5</v>
      </c>
      <c r="D337" s="60"/>
      <c r="F337" s="136" t="s">
        <v>269</v>
      </c>
      <c r="G337" s="5">
        <v>195000</v>
      </c>
      <c r="H337" s="333"/>
      <c r="I337" s="60"/>
    </row>
    <row r="338" spans="1:9" s="60" customFormat="1" ht="15.75" thickBot="1" x14ac:dyDescent="0.3">
      <c r="A338" s="43" t="s">
        <v>332</v>
      </c>
      <c r="B338" s="57">
        <f>B337*B329</f>
        <v>112950</v>
      </c>
      <c r="C338" s="46">
        <f>C337*C329</f>
        <v>303750</v>
      </c>
      <c r="F338" s="136" t="s">
        <v>109</v>
      </c>
      <c r="G338" s="5">
        <v>5000</v>
      </c>
      <c r="H338" s="333"/>
    </row>
    <row r="339" spans="1:9" s="60" customFormat="1" ht="15.75" thickBot="1" x14ac:dyDescent="0.3">
      <c r="F339" s="136" t="s">
        <v>273</v>
      </c>
      <c r="G339" s="5">
        <v>73280</v>
      </c>
      <c r="H339" s="333"/>
    </row>
    <row r="340" spans="1:9" s="60" customFormat="1" x14ac:dyDescent="0.25">
      <c r="A340" s="217" t="s">
        <v>334</v>
      </c>
      <c r="B340" s="162">
        <f>B331-B333</f>
        <v>18</v>
      </c>
      <c r="C340" s="157">
        <f>C331-C333</f>
        <v>54</v>
      </c>
      <c r="F340" s="136" t="s">
        <v>122</v>
      </c>
      <c r="G340" s="5">
        <f>$B$298</f>
        <v>140000</v>
      </c>
      <c r="H340" s="333"/>
      <c r="I340"/>
    </row>
    <row r="341" spans="1:9" s="60" customFormat="1" ht="15.75" thickBot="1" x14ac:dyDescent="0.3">
      <c r="A341" s="187" t="s">
        <v>335</v>
      </c>
      <c r="B341" s="97">
        <f>B332-B334</f>
        <v>62.5</v>
      </c>
      <c r="C341" s="100">
        <f>C332-C334</f>
        <v>12.5</v>
      </c>
      <c r="F341" s="137" t="s">
        <v>112</v>
      </c>
      <c r="G341" s="198">
        <v>10500</v>
      </c>
      <c r="H341" s="333"/>
    </row>
    <row r="342" spans="1:9" ht="15.75" thickBot="1" x14ac:dyDescent="0.3">
      <c r="A342" s="53" t="s">
        <v>333</v>
      </c>
      <c r="B342" s="62">
        <f>B341+B340</f>
        <v>80.5</v>
      </c>
      <c r="C342" s="54">
        <f>C341+C340</f>
        <v>66.5</v>
      </c>
      <c r="D342" s="60"/>
      <c r="F342" s="195" t="s">
        <v>345</v>
      </c>
      <c r="G342" s="27">
        <f>SUM(G332:G341)</f>
        <v>789740</v>
      </c>
      <c r="H342" s="334"/>
      <c r="I342" s="60"/>
    </row>
    <row r="343" spans="1:9" s="60" customFormat="1" ht="15.75" thickBot="1" x14ac:dyDescent="0.3">
      <c r="A343" s="53" t="s">
        <v>337</v>
      </c>
      <c r="B343" s="62">
        <f>B337-B342</f>
        <v>45</v>
      </c>
      <c r="C343" s="54">
        <f>C337-C342</f>
        <v>55</v>
      </c>
      <c r="F343" s="195" t="s">
        <v>54</v>
      </c>
      <c r="G343" s="27">
        <f>G331-G342</f>
        <v>-7740</v>
      </c>
      <c r="H343" s="132"/>
      <c r="I343"/>
    </row>
    <row r="344" spans="1:9" s="60" customFormat="1" ht="15.75" thickBot="1" x14ac:dyDescent="0.3">
      <c r="A344" s="53" t="s">
        <v>336</v>
      </c>
      <c r="B344" s="62">
        <f>B343*B329</f>
        <v>40500</v>
      </c>
      <c r="C344" s="54">
        <f>C343*C329</f>
        <v>137500</v>
      </c>
      <c r="F344"/>
      <c r="G344"/>
      <c r="H344"/>
      <c r="I344"/>
    </row>
    <row r="345" spans="1:9" ht="15.75" thickBot="1" x14ac:dyDescent="0.3">
      <c r="A345" s="43" t="s">
        <v>96</v>
      </c>
      <c r="B345" s="57">
        <f>SUM(B333:B335)+B342</f>
        <v>205</v>
      </c>
      <c r="C345" s="46">
        <f>SUM(C333:C335)+C342</f>
        <v>145</v>
      </c>
      <c r="D345" s="116"/>
      <c r="F345" s="255" t="s">
        <v>95</v>
      </c>
      <c r="G345" s="256"/>
      <c r="H345" s="257"/>
    </row>
    <row r="346" spans="1:9" ht="15.75" thickBot="1" x14ac:dyDescent="0.3">
      <c r="A346" s="212"/>
      <c r="B346" s="6"/>
      <c r="C346" s="6"/>
      <c r="D346" s="213"/>
      <c r="F346" s="204" t="s">
        <v>120</v>
      </c>
      <c r="G346" s="205" t="s">
        <v>74</v>
      </c>
      <c r="H346" s="206" t="s">
        <v>75</v>
      </c>
      <c r="I346" s="207" t="s">
        <v>131</v>
      </c>
    </row>
    <row r="347" spans="1:9" x14ac:dyDescent="0.25">
      <c r="A347" s="212"/>
      <c r="B347" s="6"/>
      <c r="C347" s="6"/>
      <c r="D347" s="213"/>
      <c r="F347" s="203" t="s">
        <v>95</v>
      </c>
      <c r="G347" s="15">
        <f>B330*B329</f>
        <v>225000</v>
      </c>
      <c r="H347" s="14">
        <f>C330*C329</f>
        <v>500000</v>
      </c>
      <c r="I347" s="201">
        <f t="shared" ref="I347:I352" si="12">SUM(G347:H347)</f>
        <v>725000</v>
      </c>
    </row>
    <row r="348" spans="1:9" ht="15.75" thickBot="1" x14ac:dyDescent="0.3">
      <c r="A348" s="214"/>
      <c r="B348" s="193"/>
      <c r="C348" s="193"/>
      <c r="D348" s="213"/>
      <c r="F348" s="209" t="s">
        <v>346</v>
      </c>
      <c r="G348" s="199">
        <f>B336*B329</f>
        <v>112050</v>
      </c>
      <c r="H348" s="169">
        <f>C329*C336</f>
        <v>196250</v>
      </c>
      <c r="I348" s="201">
        <f t="shared" si="12"/>
        <v>308300</v>
      </c>
    </row>
    <row r="349" spans="1:9" ht="15.75" thickBot="1" x14ac:dyDescent="0.3">
      <c r="A349" s="212"/>
      <c r="B349" s="6"/>
      <c r="C349" s="6"/>
      <c r="D349" s="213"/>
      <c r="F349" s="204" t="s">
        <v>16</v>
      </c>
      <c r="G349" s="205">
        <f>G347-G348</f>
        <v>112950</v>
      </c>
      <c r="H349" s="233">
        <f>H347-H348</f>
        <v>303750</v>
      </c>
      <c r="I349" s="201">
        <f t="shared" si="12"/>
        <v>416700</v>
      </c>
    </row>
    <row r="350" spans="1:9" x14ac:dyDescent="0.25">
      <c r="A350" s="212"/>
      <c r="B350" s="6"/>
      <c r="C350" s="6"/>
      <c r="D350" s="213"/>
      <c r="F350" s="203" t="s">
        <v>348</v>
      </c>
      <c r="G350" s="15">
        <f>(C322+D322)*0.3</f>
        <v>84000</v>
      </c>
      <c r="H350" s="14">
        <f>(D322+C322)*0.7</f>
        <v>196000</v>
      </c>
      <c r="I350" s="201">
        <f t="shared" si="12"/>
        <v>280000</v>
      </c>
    </row>
    <row r="351" spans="1:9" ht="15.75" thickBot="1" x14ac:dyDescent="0.3">
      <c r="A351" s="214"/>
      <c r="B351" s="351"/>
      <c r="C351" s="351"/>
      <c r="D351" s="213"/>
      <c r="F351" s="209" t="s">
        <v>347</v>
      </c>
      <c r="G351" s="199">
        <f>F312*0.4</f>
        <v>38520</v>
      </c>
      <c r="H351" s="169">
        <f>F312*0.6</f>
        <v>57780</v>
      </c>
      <c r="I351" s="201">
        <f t="shared" si="12"/>
        <v>96300</v>
      </c>
    </row>
    <row r="352" spans="1:9" ht="15.75" thickBot="1" x14ac:dyDescent="0.3">
      <c r="A352" s="6"/>
      <c r="B352" s="6"/>
      <c r="C352" s="6"/>
      <c r="D352" s="6"/>
      <c r="F352" s="204" t="s">
        <v>43</v>
      </c>
      <c r="G352" s="205">
        <f>G349-G350-G351</f>
        <v>-9570</v>
      </c>
      <c r="H352" s="233">
        <f>H349-H350-H351</f>
        <v>49970</v>
      </c>
      <c r="I352" s="201">
        <f t="shared" si="12"/>
        <v>40400</v>
      </c>
    </row>
    <row r="353" spans="1:10" x14ac:dyDescent="0.25">
      <c r="A353" s="214"/>
      <c r="B353" s="215"/>
      <c r="C353" s="215"/>
      <c r="D353" s="216"/>
      <c r="F353" s="203" t="s">
        <v>53</v>
      </c>
      <c r="G353" s="366">
        <f>I352</f>
        <v>40400</v>
      </c>
      <c r="H353" s="377"/>
      <c r="I353" s="201"/>
    </row>
    <row r="354" spans="1:10" ht="15.75" thickBot="1" x14ac:dyDescent="0.3">
      <c r="A354" s="193"/>
      <c r="B354" s="215"/>
      <c r="C354" s="215"/>
      <c r="D354" s="216"/>
      <c r="F354" s="209" t="s">
        <v>349</v>
      </c>
      <c r="G354" s="364">
        <f>E312</f>
        <v>57950</v>
      </c>
      <c r="H354" s="365"/>
      <c r="I354" s="201"/>
    </row>
    <row r="355" spans="1:10" ht="15.75" thickBot="1" x14ac:dyDescent="0.3">
      <c r="A355" s="193"/>
      <c r="B355" s="215"/>
      <c r="C355" s="215"/>
      <c r="D355" s="216"/>
      <c r="F355" s="204" t="s">
        <v>350</v>
      </c>
      <c r="G355" s="359">
        <f>G353-G354</f>
        <v>-17550</v>
      </c>
      <c r="H355" s="322"/>
      <c r="I355" s="202"/>
    </row>
    <row r="356" spans="1:10" x14ac:dyDescent="0.25">
      <c r="A356" s="87"/>
      <c r="B356" s="6"/>
      <c r="C356" s="6"/>
      <c r="D356" s="6"/>
      <c r="F356" s="210" t="str">
        <f>D287</f>
        <v>Differenz (Bilanz) Abschreibung</v>
      </c>
      <c r="G356" s="366">
        <f>C287</f>
        <v>17000</v>
      </c>
      <c r="H356" s="340"/>
    </row>
    <row r="357" spans="1:10" s="60" customFormat="1" x14ac:dyDescent="0.25">
      <c r="A357" s="87"/>
      <c r="B357" s="6"/>
      <c r="C357" s="6"/>
      <c r="D357" s="6"/>
      <c r="F357" s="210" t="s">
        <v>365</v>
      </c>
      <c r="G357" s="273">
        <f>C288</f>
        <v>11040</v>
      </c>
      <c r="H357" s="363"/>
    </row>
    <row r="358" spans="1:10" x14ac:dyDescent="0.25">
      <c r="A358" s="87"/>
      <c r="B358" s="6"/>
      <c r="C358" s="6"/>
      <c r="D358" s="6"/>
      <c r="F358" s="196" t="str">
        <f>D289</f>
        <v>Differenz Personal</v>
      </c>
      <c r="G358" s="363">
        <f>C289</f>
        <v>-11000</v>
      </c>
      <c r="H358" s="297"/>
    </row>
    <row r="359" spans="1:10" x14ac:dyDescent="0.25">
      <c r="A359" s="87"/>
      <c r="B359" s="6"/>
      <c r="C359" s="6"/>
      <c r="D359" s="6"/>
      <c r="F359" s="196" t="str">
        <f>D290</f>
        <v>Abzug Neutral</v>
      </c>
      <c r="G359" s="363">
        <f>C290</f>
        <v>-9000</v>
      </c>
      <c r="H359" s="297"/>
    </row>
    <row r="360" spans="1:10" ht="15.75" thickBot="1" x14ac:dyDescent="0.3">
      <c r="A360" s="87"/>
      <c r="B360" s="6"/>
      <c r="C360" s="6"/>
      <c r="D360" s="6"/>
      <c r="F360" s="211" t="s">
        <v>353</v>
      </c>
      <c r="G360" s="364">
        <f>G323</f>
        <v>1770</v>
      </c>
      <c r="H360" s="367"/>
    </row>
    <row r="361" spans="1:10" ht="15.75" thickBot="1" x14ac:dyDescent="0.3">
      <c r="F361" s="30" t="s">
        <v>131</v>
      </c>
      <c r="G361" s="256">
        <f>SUM(G355:H360)</f>
        <v>-7740</v>
      </c>
      <c r="H361" s="257"/>
    </row>
    <row r="362" spans="1:10" ht="15.75" thickBot="1" x14ac:dyDescent="0.3"/>
    <row r="363" spans="1:10" ht="15.75" thickBot="1" x14ac:dyDescent="0.3">
      <c r="A363" s="255" t="s">
        <v>368</v>
      </c>
      <c r="B363" s="256"/>
      <c r="C363" s="256"/>
      <c r="D363" s="256"/>
      <c r="E363" s="256"/>
      <c r="F363" s="256"/>
      <c r="G363" s="256"/>
      <c r="H363" s="256"/>
      <c r="I363" s="256"/>
      <c r="J363" s="257"/>
    </row>
    <row r="364" spans="1:10" ht="15.75" thickBot="1" x14ac:dyDescent="0.3">
      <c r="A364" s="251" t="s">
        <v>127</v>
      </c>
      <c r="B364" s="252" t="s">
        <v>275</v>
      </c>
      <c r="C364" s="253" t="s">
        <v>276</v>
      </c>
      <c r="D364" s="253" t="s">
        <v>277</v>
      </c>
      <c r="E364" s="253" t="s">
        <v>102</v>
      </c>
      <c r="F364" s="253" t="s">
        <v>103</v>
      </c>
      <c r="G364" s="254" t="s">
        <v>53</v>
      </c>
    </row>
    <row r="365" spans="1:10" x14ac:dyDescent="0.25">
      <c r="A365" s="225" t="s">
        <v>71</v>
      </c>
      <c r="B365" s="15"/>
      <c r="C365" s="132">
        <v>100000</v>
      </c>
      <c r="D365" s="71">
        <v>40000</v>
      </c>
      <c r="E365" s="132">
        <v>0</v>
      </c>
      <c r="F365" s="132">
        <v>0</v>
      </c>
      <c r="G365" s="241">
        <f>SUM(C365:F365)</f>
        <v>140000</v>
      </c>
    </row>
    <row r="366" spans="1:10" ht="15.75" thickBot="1" x14ac:dyDescent="0.3">
      <c r="A366" s="130" t="s">
        <v>34</v>
      </c>
      <c r="B366" s="12">
        <v>2000</v>
      </c>
      <c r="C366" s="61">
        <v>8000</v>
      </c>
      <c r="D366" s="61">
        <v>5000</v>
      </c>
      <c r="E366" s="61">
        <v>15000</v>
      </c>
      <c r="F366" s="61">
        <v>20000</v>
      </c>
      <c r="G366" s="20">
        <f>SUM(C366:F366)</f>
        <v>48000</v>
      </c>
    </row>
    <row r="367" spans="1:10" ht="15.75" thickBot="1" x14ac:dyDescent="0.3">
      <c r="A367" s="130" t="s">
        <v>279</v>
      </c>
      <c r="B367" s="12">
        <v>1600</v>
      </c>
      <c r="C367" s="61">
        <v>86400</v>
      </c>
      <c r="D367" s="62">
        <f>G367-F367-E367-C367-B367</f>
        <v>36000</v>
      </c>
      <c r="E367" s="61">
        <v>12000</v>
      </c>
      <c r="F367" s="5">
        <v>16000</v>
      </c>
      <c r="G367" s="30">
        <f>B399*0.95</f>
        <v>152000</v>
      </c>
      <c r="H367" s="228" t="s">
        <v>362</v>
      </c>
      <c r="I367" s="27"/>
      <c r="J367" s="28"/>
    </row>
    <row r="368" spans="1:10" x14ac:dyDescent="0.25">
      <c r="A368" s="130" t="s">
        <v>109</v>
      </c>
      <c r="B368" s="12">
        <v>1000</v>
      </c>
      <c r="C368" s="61">
        <v>3000</v>
      </c>
      <c r="D368" s="62">
        <v>3350</v>
      </c>
      <c r="E368" s="61">
        <v>0</v>
      </c>
      <c r="F368" s="61">
        <v>0</v>
      </c>
      <c r="G368" s="241">
        <f>SUM(B368:F368)</f>
        <v>7350</v>
      </c>
    </row>
    <row r="369" spans="1:9" x14ac:dyDescent="0.25">
      <c r="A369" s="130" t="s">
        <v>270</v>
      </c>
      <c r="B369" s="12">
        <v>20000</v>
      </c>
      <c r="C369" s="61">
        <v>35000</v>
      </c>
      <c r="D369" s="62">
        <v>30000</v>
      </c>
      <c r="E369" s="61">
        <v>12000</v>
      </c>
      <c r="F369" s="61">
        <v>7000</v>
      </c>
      <c r="G369" s="241">
        <f t="shared" ref="G369:G371" si="13">SUM(B369:F369)</f>
        <v>104000</v>
      </c>
    </row>
    <row r="370" spans="1:9" x14ac:dyDescent="0.25">
      <c r="A370" s="130" t="s">
        <v>117</v>
      </c>
      <c r="B370" s="12">
        <v>16000</v>
      </c>
      <c r="C370" s="61">
        <v>19800</v>
      </c>
      <c r="D370" s="62">
        <v>20000</v>
      </c>
      <c r="E370" s="61">
        <v>8900</v>
      </c>
      <c r="F370" s="61">
        <v>6300</v>
      </c>
      <c r="G370" s="241">
        <f t="shared" si="13"/>
        <v>71000</v>
      </c>
    </row>
    <row r="371" spans="1:9" x14ac:dyDescent="0.25">
      <c r="A371" s="130" t="s">
        <v>280</v>
      </c>
      <c r="B371" s="12">
        <v>7400</v>
      </c>
      <c r="C371" s="61">
        <v>15980</v>
      </c>
      <c r="D371" s="61">
        <v>4850</v>
      </c>
      <c r="E371" s="61">
        <v>2050</v>
      </c>
      <c r="F371" s="61">
        <v>43000</v>
      </c>
      <c r="G371" s="20">
        <f t="shared" si="13"/>
        <v>73280</v>
      </c>
    </row>
    <row r="372" spans="1:9" x14ac:dyDescent="0.25">
      <c r="A372" s="130" t="s">
        <v>281</v>
      </c>
      <c r="B372" s="12">
        <v>48000</v>
      </c>
      <c r="C372" s="61">
        <v>24000</v>
      </c>
      <c r="D372" s="61">
        <v>12000</v>
      </c>
      <c r="E372" s="61">
        <v>8000</v>
      </c>
      <c r="F372" s="61">
        <v>4000</v>
      </c>
      <c r="G372" s="20">
        <f>SUM(C372:F372)</f>
        <v>48000</v>
      </c>
    </row>
    <row r="373" spans="1:9" x14ac:dyDescent="0.25">
      <c r="A373" s="130" t="s">
        <v>131</v>
      </c>
      <c r="B373" s="12"/>
      <c r="C373" s="61">
        <v>292180</v>
      </c>
      <c r="D373" s="62">
        <f>SUM(D365:D372)</f>
        <v>151200</v>
      </c>
      <c r="E373" s="61">
        <v>57950</v>
      </c>
      <c r="F373" s="61">
        <v>96300</v>
      </c>
      <c r="G373" s="231">
        <f t="shared" ref="G373:G376" si="14">SUM(C373:F373)</f>
        <v>597630</v>
      </c>
    </row>
    <row r="374" spans="1:9" x14ac:dyDescent="0.25">
      <c r="A374" s="130" t="s">
        <v>363</v>
      </c>
      <c r="B374" s="12"/>
      <c r="C374" s="61">
        <v>10000</v>
      </c>
      <c r="D374" s="62">
        <f>(1000*1.5)+(3000*0.2)</f>
        <v>2100</v>
      </c>
      <c r="E374" s="97">
        <v>547000</v>
      </c>
      <c r="F374" s="97">
        <v>547000</v>
      </c>
      <c r="G374" s="20"/>
    </row>
    <row r="375" spans="1:9" x14ac:dyDescent="0.25">
      <c r="A375" s="130" t="s">
        <v>291</v>
      </c>
      <c r="B375" s="12"/>
      <c r="C375" s="61">
        <v>29.218</v>
      </c>
      <c r="D375" s="62">
        <f>D373/D374</f>
        <v>72</v>
      </c>
      <c r="E375" s="61">
        <v>0.10594149908592322</v>
      </c>
      <c r="F375" s="61">
        <v>0.1760511882998172</v>
      </c>
      <c r="G375" s="20"/>
    </row>
    <row r="376" spans="1:9" x14ac:dyDescent="0.25">
      <c r="A376" s="130"/>
      <c r="B376" s="12"/>
      <c r="C376" s="61"/>
      <c r="D376" s="61"/>
      <c r="E376" s="61"/>
      <c r="F376" s="61"/>
      <c r="G376" s="20">
        <f t="shared" si="14"/>
        <v>0</v>
      </c>
    </row>
    <row r="377" spans="1:9" x14ac:dyDescent="0.25">
      <c r="A377" s="130" t="s">
        <v>292</v>
      </c>
      <c r="B377" s="12"/>
      <c r="C377" s="61">
        <v>30</v>
      </c>
      <c r="D377" s="61">
        <v>50</v>
      </c>
      <c r="E377" s="61">
        <v>0.12</v>
      </c>
      <c r="F377" s="61">
        <v>0.2</v>
      </c>
      <c r="G377" s="20"/>
    </row>
    <row r="378" spans="1:9" x14ac:dyDescent="0.25">
      <c r="A378" s="130" t="s">
        <v>304</v>
      </c>
      <c r="B378" s="12"/>
      <c r="C378" s="61">
        <v>300000</v>
      </c>
      <c r="D378" s="61">
        <f>D373</f>
        <v>151200</v>
      </c>
      <c r="E378" s="61">
        <v>65640</v>
      </c>
      <c r="F378" s="61">
        <v>109400</v>
      </c>
      <c r="G378" s="20"/>
    </row>
    <row r="379" spans="1:9" ht="15.75" thickBot="1" x14ac:dyDescent="0.3">
      <c r="A379" s="140" t="s">
        <v>303</v>
      </c>
      <c r="B379" s="199"/>
      <c r="C379" s="21">
        <v>7820</v>
      </c>
      <c r="D379" s="13">
        <f>D378-D373</f>
        <v>0</v>
      </c>
      <c r="E379" s="21">
        <v>7690</v>
      </c>
      <c r="F379" s="21">
        <v>13100</v>
      </c>
      <c r="G379" s="242">
        <f>SUM(C379:F379)</f>
        <v>28610</v>
      </c>
    </row>
    <row r="380" spans="1:9" x14ac:dyDescent="0.25">
      <c r="A380" s="129" t="s">
        <v>327</v>
      </c>
      <c r="B380" s="142"/>
      <c r="C380" s="24">
        <v>12</v>
      </c>
      <c r="D380" s="24">
        <f>D375*0.5</f>
        <v>36</v>
      </c>
      <c r="E380" s="24">
        <v>0</v>
      </c>
      <c r="F380" s="24">
        <v>0</v>
      </c>
      <c r="G380" s="17"/>
      <c r="H380" s="258"/>
      <c r="I380" s="6"/>
    </row>
    <row r="381" spans="1:9" x14ac:dyDescent="0.25">
      <c r="A381" s="130" t="s">
        <v>328</v>
      </c>
      <c r="B381" s="12"/>
      <c r="C381" s="61">
        <v>18</v>
      </c>
      <c r="D381" s="61">
        <f>D375*0.5</f>
        <v>36</v>
      </c>
      <c r="E381" s="61">
        <v>0</v>
      </c>
      <c r="F381" s="61">
        <v>0</v>
      </c>
      <c r="G381" s="11"/>
      <c r="H381" s="258"/>
      <c r="I381" s="6"/>
    </row>
    <row r="382" spans="1:9" x14ac:dyDescent="0.25">
      <c r="A382" s="130" t="s">
        <v>327</v>
      </c>
      <c r="B382" s="12"/>
      <c r="C382" s="61">
        <v>120000</v>
      </c>
      <c r="D382" s="61">
        <f>D378*0.5</f>
        <v>75600</v>
      </c>
      <c r="E382" s="61">
        <v>0</v>
      </c>
      <c r="F382" s="61">
        <v>0</v>
      </c>
      <c r="G382" s="11"/>
      <c r="H382" s="258"/>
      <c r="I382" s="6"/>
    </row>
    <row r="383" spans="1:9" ht="15.75" thickBot="1" x14ac:dyDescent="0.3">
      <c r="A383" s="130" t="s">
        <v>328</v>
      </c>
      <c r="B383" s="12"/>
      <c r="C383" s="61">
        <v>180000</v>
      </c>
      <c r="D383" s="61">
        <f>D378*0.5</f>
        <v>75600</v>
      </c>
      <c r="E383" s="61"/>
      <c r="F383" s="61"/>
      <c r="G383" s="11"/>
      <c r="H383" s="259"/>
      <c r="I383" s="6"/>
    </row>
    <row r="384" spans="1:9" ht="15.75" thickBot="1" x14ac:dyDescent="0.3">
      <c r="A384" s="131" t="s">
        <v>352</v>
      </c>
      <c r="B384" s="224"/>
      <c r="C384" s="25">
        <v>7820</v>
      </c>
      <c r="D384" s="57">
        <f>D383+D382-D373</f>
        <v>0</v>
      </c>
      <c r="E384" s="25"/>
      <c r="F384" s="25"/>
      <c r="G384" s="46">
        <f>C384+D384</f>
        <v>7820</v>
      </c>
      <c r="I384" s="6"/>
    </row>
    <row r="385" spans="1:9" x14ac:dyDescent="0.25">
      <c r="A385"/>
      <c r="I385" s="6"/>
    </row>
    <row r="386" spans="1:9" x14ac:dyDescent="0.25">
      <c r="A386"/>
      <c r="I386" s="6"/>
    </row>
    <row r="387" spans="1:9" ht="15.75" thickBot="1" x14ac:dyDescent="0.3">
      <c r="A387"/>
      <c r="C387" s="6"/>
      <c r="D387" s="6"/>
      <c r="F387" s="60"/>
      <c r="G387" s="60"/>
      <c r="H387" s="60"/>
      <c r="I387" s="230"/>
    </row>
    <row r="388" spans="1:9" ht="15.75" thickBot="1" x14ac:dyDescent="0.3">
      <c r="A388" s="228" t="s">
        <v>302</v>
      </c>
      <c r="B388" s="28"/>
      <c r="C388" s="6"/>
      <c r="D388" s="263" t="s">
        <v>95</v>
      </c>
      <c r="E388" s="264"/>
      <c r="F388" s="264"/>
      <c r="G388" s="265"/>
      <c r="I388" s="230"/>
    </row>
    <row r="389" spans="1:9" x14ac:dyDescent="0.25">
      <c r="A389" s="194" t="s">
        <v>218</v>
      </c>
      <c r="B389" s="122">
        <v>725000</v>
      </c>
      <c r="C389" s="6"/>
      <c r="D389" s="34" t="s">
        <v>120</v>
      </c>
      <c r="E389" s="239" t="s">
        <v>74</v>
      </c>
      <c r="F389" s="98" t="s">
        <v>75</v>
      </c>
      <c r="G389" s="35" t="s">
        <v>131</v>
      </c>
      <c r="I389" s="230"/>
    </row>
    <row r="390" spans="1:9" x14ac:dyDescent="0.25">
      <c r="A390" s="197" t="s">
        <v>59</v>
      </c>
      <c r="B390" s="123">
        <v>5300</v>
      </c>
      <c r="C390" s="6"/>
      <c r="D390" s="53" t="s">
        <v>95</v>
      </c>
      <c r="E390" s="61">
        <v>225000</v>
      </c>
      <c r="F390" s="61">
        <v>500000</v>
      </c>
      <c r="G390" s="54">
        <v>725000</v>
      </c>
      <c r="I390" s="230"/>
    </row>
    <row r="391" spans="1:9" ht="15.75" thickBot="1" x14ac:dyDescent="0.3">
      <c r="A391" s="197" t="s">
        <v>294</v>
      </c>
      <c r="B391" s="123">
        <f>(B418*100)+(C418*500)</f>
        <v>48200</v>
      </c>
      <c r="C391" s="6"/>
      <c r="D391" s="58" t="s">
        <v>346</v>
      </c>
      <c r="E391" s="21">
        <f>900*B418</f>
        <v>104400</v>
      </c>
      <c r="F391" s="21">
        <f>2500*C418</f>
        <v>183000</v>
      </c>
      <c r="G391" s="226">
        <f>SUM(E391:F391)</f>
        <v>287400</v>
      </c>
      <c r="I391" s="230"/>
    </row>
    <row r="392" spans="1:9" ht="15.75" thickBot="1" x14ac:dyDescent="0.3">
      <c r="A392" s="133" t="s">
        <v>357</v>
      </c>
      <c r="B392" s="23">
        <f>SUM(B389:B391)</f>
        <v>778500</v>
      </c>
      <c r="C392" s="6"/>
      <c r="D392" s="221" t="s">
        <v>16</v>
      </c>
      <c r="E392" s="232">
        <f>E390-E391</f>
        <v>120600</v>
      </c>
      <c r="F392" s="232">
        <f>F390-F391</f>
        <v>317000</v>
      </c>
      <c r="G392" s="154">
        <f>E392+F392</f>
        <v>437600</v>
      </c>
      <c r="I392" s="230"/>
    </row>
    <row r="393" spans="1:9" ht="15.75" thickBot="1" x14ac:dyDescent="0.3">
      <c r="A393" s="197"/>
      <c r="B393" s="123"/>
      <c r="C393" s="6"/>
      <c r="D393" s="222" t="s">
        <v>348</v>
      </c>
      <c r="E393" s="132">
        <f>G393*0.3</f>
        <v>76680</v>
      </c>
      <c r="F393" s="132">
        <f>G393*0.7</f>
        <v>178920</v>
      </c>
      <c r="G393" s="241">
        <f>C383+D383</f>
        <v>255600</v>
      </c>
      <c r="I393" s="230"/>
    </row>
    <row r="394" spans="1:9" ht="15.75" thickBot="1" x14ac:dyDescent="0.3">
      <c r="A394" s="194" t="s">
        <v>61</v>
      </c>
      <c r="B394" s="122">
        <v>3800</v>
      </c>
      <c r="C394" s="6"/>
      <c r="D394" s="58" t="s">
        <v>347</v>
      </c>
      <c r="E394" s="21">
        <f>F373*0.4</f>
        <v>38520</v>
      </c>
      <c r="F394" s="21">
        <f>F373*0.6</f>
        <v>57780</v>
      </c>
      <c r="G394" s="226">
        <f>SUM(E394:F394)</f>
        <v>96300</v>
      </c>
      <c r="I394" s="230"/>
    </row>
    <row r="395" spans="1:9" ht="15.75" thickBot="1" x14ac:dyDescent="0.3">
      <c r="A395" s="197" t="s">
        <v>141</v>
      </c>
      <c r="B395" s="123">
        <v>52160</v>
      </c>
      <c r="C395" s="6"/>
      <c r="D395" s="221" t="s">
        <v>43</v>
      </c>
      <c r="E395" s="232">
        <f>E392-E393-E394</f>
        <v>5400</v>
      </c>
      <c r="F395" s="232">
        <f>F392-F393-F394</f>
        <v>80300</v>
      </c>
      <c r="G395" s="154">
        <f>SUM(E395:F395)</f>
        <v>85700</v>
      </c>
      <c r="I395" s="230"/>
    </row>
    <row r="396" spans="1:9" ht="15.75" thickBot="1" x14ac:dyDescent="0.3">
      <c r="A396" s="197" t="s">
        <v>119</v>
      </c>
      <c r="B396" s="229">
        <v>90000</v>
      </c>
      <c r="C396" s="6"/>
      <c r="D396" s="240" t="s">
        <v>53</v>
      </c>
      <c r="E396" s="266">
        <f>E395+F395</f>
        <v>85700</v>
      </c>
      <c r="F396" s="267"/>
      <c r="I396" s="230"/>
    </row>
    <row r="397" spans="1:9" ht="15.75" thickBot="1" x14ac:dyDescent="0.3">
      <c r="A397" s="197" t="s">
        <v>71</v>
      </c>
      <c r="B397" s="229">
        <f>G365</f>
        <v>140000</v>
      </c>
      <c r="C397" s="6"/>
      <c r="D397" s="243" t="s">
        <v>349</v>
      </c>
      <c r="E397" s="268">
        <f>E373</f>
        <v>57950</v>
      </c>
      <c r="F397" s="269"/>
      <c r="I397" s="230"/>
    </row>
    <row r="398" spans="1:9" ht="15.75" thickBot="1" x14ac:dyDescent="0.3">
      <c r="A398" s="197" t="s">
        <v>268</v>
      </c>
      <c r="B398" s="123">
        <v>50000</v>
      </c>
      <c r="C398" s="6"/>
      <c r="D398" s="221" t="s">
        <v>350</v>
      </c>
      <c r="E398" s="270">
        <f>E396-E397</f>
        <v>27750</v>
      </c>
      <c r="F398" s="257"/>
      <c r="I398" s="230"/>
    </row>
    <row r="399" spans="1:9" x14ac:dyDescent="0.25">
      <c r="A399" s="197" t="s">
        <v>269</v>
      </c>
      <c r="B399" s="229">
        <v>160000</v>
      </c>
      <c r="C399" s="6"/>
      <c r="D399" s="245" t="s">
        <v>323</v>
      </c>
      <c r="E399" s="271">
        <f>G370-B395</f>
        <v>18840</v>
      </c>
      <c r="F399" s="272"/>
      <c r="I399" s="230"/>
    </row>
    <row r="400" spans="1:9" x14ac:dyDescent="0.25">
      <c r="A400" s="197" t="s">
        <v>109</v>
      </c>
      <c r="B400" s="229">
        <f>G368</f>
        <v>7350</v>
      </c>
      <c r="C400" s="6"/>
      <c r="D400" s="246" t="s">
        <v>324</v>
      </c>
      <c r="E400" s="273">
        <f>G367-B399</f>
        <v>-8000</v>
      </c>
      <c r="F400" s="274"/>
    </row>
    <row r="401" spans="1:9" x14ac:dyDescent="0.25">
      <c r="A401" s="197" t="s">
        <v>273</v>
      </c>
      <c r="B401" s="123">
        <v>73280</v>
      </c>
      <c r="C401" s="6"/>
      <c r="D401" s="244" t="s">
        <v>364</v>
      </c>
      <c r="E401" s="273">
        <f>G369-B396</f>
        <v>14000</v>
      </c>
      <c r="F401" s="274"/>
    </row>
    <row r="402" spans="1:9" x14ac:dyDescent="0.25">
      <c r="A402" s="197" t="s">
        <v>122</v>
      </c>
      <c r="B402" s="123">
        <v>140000</v>
      </c>
      <c r="C402" s="6"/>
      <c r="D402" s="246" t="s">
        <v>325</v>
      </c>
      <c r="E402" s="273">
        <f>B390-B403-B394</f>
        <v>-9000</v>
      </c>
      <c r="F402" s="274"/>
    </row>
    <row r="403" spans="1:9" ht="15.75" thickBot="1" x14ac:dyDescent="0.3">
      <c r="A403" s="227" t="s">
        <v>112</v>
      </c>
      <c r="B403" s="124">
        <v>10500</v>
      </c>
      <c r="C403" s="6"/>
      <c r="D403" s="250" t="s">
        <v>353</v>
      </c>
      <c r="E403" s="275">
        <f>G384</f>
        <v>7820</v>
      </c>
      <c r="F403" s="276"/>
    </row>
    <row r="404" spans="1:9" ht="15.75" thickBot="1" x14ac:dyDescent="0.3">
      <c r="A404" s="133" t="s">
        <v>358</v>
      </c>
      <c r="B404" s="23">
        <f>SUM(B394:B403)</f>
        <v>727090</v>
      </c>
      <c r="C404" s="6"/>
      <c r="D404" s="133" t="s">
        <v>131</v>
      </c>
      <c r="E404" s="255">
        <f>SUM(E398:F403)</f>
        <v>51410</v>
      </c>
      <c r="F404" s="257"/>
    </row>
    <row r="405" spans="1:9" s="60" customFormat="1" ht="15.75" thickBot="1" x14ac:dyDescent="0.3">
      <c r="A405" s="197"/>
      <c r="B405" s="123"/>
      <c r="C405" s="6"/>
      <c r="D405" s="6"/>
    </row>
    <row r="406" spans="1:9" ht="15.75" thickBot="1" x14ac:dyDescent="0.3">
      <c r="A406" s="133" t="s">
        <v>360</v>
      </c>
      <c r="B406" s="23">
        <f>B392-B404</f>
        <v>51410</v>
      </c>
      <c r="C406" s="193" t="s">
        <v>367</v>
      </c>
      <c r="D406" s="6"/>
    </row>
    <row r="407" spans="1:9" ht="15.75" thickBot="1" x14ac:dyDescent="0.3">
      <c r="A407" s="184" t="s">
        <v>359</v>
      </c>
      <c r="B407" s="28">
        <f>B300</f>
        <v>33560</v>
      </c>
      <c r="C407" s="193">
        <f>B406-B407</f>
        <v>17850</v>
      </c>
      <c r="D407" s="6"/>
      <c r="I407" s="6"/>
    </row>
    <row r="408" spans="1:9" ht="15.75" thickBot="1" x14ac:dyDescent="0.3">
      <c r="C408" s="6"/>
      <c r="D408" s="6"/>
      <c r="I408" s="6"/>
    </row>
    <row r="409" spans="1:9" ht="15.75" thickBot="1" x14ac:dyDescent="0.3">
      <c r="A409" s="260" t="s">
        <v>361</v>
      </c>
      <c r="B409" s="261"/>
      <c r="C409" s="262"/>
      <c r="I409" s="6"/>
    </row>
    <row r="410" spans="1:9" ht="15.75" thickBot="1" x14ac:dyDescent="0.3">
      <c r="A410" s="207"/>
      <c r="B410" s="205" t="s">
        <v>74</v>
      </c>
      <c r="C410" s="233" t="s">
        <v>75</v>
      </c>
      <c r="I410" s="6"/>
    </row>
    <row r="411" spans="1:9" x14ac:dyDescent="0.25">
      <c r="A411" s="235" t="s">
        <v>297</v>
      </c>
      <c r="B411" s="234">
        <v>900</v>
      </c>
      <c r="C411" s="231">
        <v>2500</v>
      </c>
      <c r="I411" s="6"/>
    </row>
    <row r="412" spans="1:9" x14ac:dyDescent="0.25">
      <c r="A412" s="196" t="s">
        <v>286</v>
      </c>
      <c r="B412" s="12">
        <v>250</v>
      </c>
      <c r="C412" s="11">
        <v>200</v>
      </c>
      <c r="I412" s="6"/>
    </row>
    <row r="413" spans="1:9" ht="15.75" thickBot="1" x14ac:dyDescent="0.3">
      <c r="A413" s="211" t="s">
        <v>300</v>
      </c>
      <c r="B413" s="199">
        <v>30</v>
      </c>
      <c r="C413" s="32">
        <v>90</v>
      </c>
      <c r="I413" s="6"/>
    </row>
    <row r="414" spans="1:9" ht="15.75" thickBot="1" x14ac:dyDescent="0.3">
      <c r="A414" s="30" t="s">
        <v>301</v>
      </c>
      <c r="B414" s="223">
        <f>D377*1.5</f>
        <v>75</v>
      </c>
      <c r="C414" s="154">
        <f>D377*0.2</f>
        <v>10</v>
      </c>
      <c r="I414" s="6"/>
    </row>
    <row r="415" spans="1:9" x14ac:dyDescent="0.25">
      <c r="A415" s="237" t="s">
        <v>329</v>
      </c>
      <c r="B415" s="142">
        <f>C380*1</f>
        <v>12</v>
      </c>
      <c r="C415" s="238">
        <f>C380*3</f>
        <v>36</v>
      </c>
      <c r="I415" s="6"/>
    </row>
    <row r="416" spans="1:9" x14ac:dyDescent="0.25">
      <c r="A416" s="196" t="s">
        <v>330</v>
      </c>
      <c r="B416" s="12">
        <f>1.5*D380</f>
        <v>54</v>
      </c>
      <c r="C416" s="11">
        <f>0.2*D380</f>
        <v>7.2</v>
      </c>
    </row>
    <row r="417" spans="1:11" ht="15.75" thickBot="1" x14ac:dyDescent="0.3">
      <c r="A417" s="211" t="s">
        <v>122</v>
      </c>
      <c r="B417" s="199">
        <v>50</v>
      </c>
      <c r="C417" s="32">
        <v>30</v>
      </c>
    </row>
    <row r="418" spans="1:11" ht="15.75" thickBot="1" x14ac:dyDescent="0.3">
      <c r="A418" s="30" t="s">
        <v>340</v>
      </c>
      <c r="B418" s="223">
        <f>SUM(B415:B417)</f>
        <v>116</v>
      </c>
      <c r="C418" s="23">
        <f>SUM(C415:C417)</f>
        <v>73.2</v>
      </c>
    </row>
    <row r="419" spans="1:11" x14ac:dyDescent="0.25">
      <c r="A419" s="210" t="s">
        <v>331</v>
      </c>
      <c r="B419" s="15">
        <f>B412-B418</f>
        <v>134</v>
      </c>
      <c r="C419" s="20">
        <f>C412-C418</f>
        <v>126.8</v>
      </c>
    </row>
    <row r="420" spans="1:11" ht="15.75" thickBot="1" x14ac:dyDescent="0.3">
      <c r="A420" s="236" t="s">
        <v>332</v>
      </c>
      <c r="B420" s="224">
        <f>B419*B411</f>
        <v>120600</v>
      </c>
      <c r="C420" s="26">
        <f>C419*C411</f>
        <v>317000</v>
      </c>
    </row>
    <row r="422" spans="1:11" ht="15.75" thickBot="1" x14ac:dyDescent="0.3"/>
    <row r="423" spans="1:11" ht="15.75" thickBot="1" x14ac:dyDescent="0.3">
      <c r="A423" s="287" t="s">
        <v>371</v>
      </c>
      <c r="B423" s="278"/>
      <c r="C423" s="278"/>
      <c r="D423" s="278"/>
      <c r="E423" s="278"/>
      <c r="F423" s="278"/>
      <c r="G423" s="278"/>
      <c r="H423" s="278"/>
      <c r="I423" s="279"/>
    </row>
    <row r="424" spans="1:11" x14ac:dyDescent="0.25">
      <c r="B424" s="72"/>
    </row>
    <row r="425" spans="1:11" ht="15.75" thickBot="1" x14ac:dyDescent="0.3">
      <c r="B425" s="72"/>
    </row>
    <row r="426" spans="1:11" ht="15.75" thickBot="1" x14ac:dyDescent="0.3">
      <c r="A426" s="287" t="s">
        <v>376</v>
      </c>
      <c r="B426" s="278"/>
      <c r="C426" s="279"/>
      <c r="E426" s="287" t="s">
        <v>377</v>
      </c>
      <c r="F426" s="278"/>
      <c r="G426" s="279"/>
      <c r="I426" s="287" t="s">
        <v>378</v>
      </c>
      <c r="J426" s="278"/>
      <c r="K426" s="279"/>
    </row>
    <row r="427" spans="1:11" ht="15.75" thickBot="1" x14ac:dyDescent="0.3">
      <c r="A427" s="369"/>
      <c r="B427" s="27" t="str">
        <f t="shared" ref="A427:C429" si="15">B328</f>
        <v>A</v>
      </c>
      <c r="C427" s="28" t="str">
        <f t="shared" si="15"/>
        <v>B</v>
      </c>
      <c r="E427" s="227"/>
      <c r="F427" s="121" t="s">
        <v>74</v>
      </c>
      <c r="G427" s="124" t="s">
        <v>75</v>
      </c>
      <c r="I427" s="373"/>
      <c r="J427" s="6" t="s">
        <v>74</v>
      </c>
      <c r="K427" s="123" t="s">
        <v>75</v>
      </c>
    </row>
    <row r="428" spans="1:11" x14ac:dyDescent="0.25">
      <c r="A428" s="368" t="str">
        <f t="shared" si="15"/>
        <v>Verkauft (IST)</v>
      </c>
      <c r="B428" s="6">
        <f t="shared" si="15"/>
        <v>900</v>
      </c>
      <c r="C428" s="123">
        <f t="shared" si="15"/>
        <v>2500</v>
      </c>
      <c r="E428" s="373" t="s">
        <v>297</v>
      </c>
      <c r="F428" s="6">
        <v>900</v>
      </c>
      <c r="G428" s="123">
        <v>2500</v>
      </c>
      <c r="I428" s="201" t="s">
        <v>297</v>
      </c>
      <c r="J428" s="6">
        <v>900</v>
      </c>
      <c r="K428" s="123">
        <v>2500</v>
      </c>
    </row>
    <row r="429" spans="1:11" x14ac:dyDescent="0.25">
      <c r="A429" s="368" t="str">
        <f t="shared" si="15"/>
        <v>Verkaufspreis</v>
      </c>
      <c r="B429" s="6">
        <f t="shared" si="15"/>
        <v>250</v>
      </c>
      <c r="C429" s="123">
        <f t="shared" si="15"/>
        <v>200</v>
      </c>
      <c r="E429" s="201" t="s">
        <v>286</v>
      </c>
      <c r="F429" s="6">
        <v>250</v>
      </c>
      <c r="G429" s="123">
        <v>200</v>
      </c>
      <c r="I429" s="201" t="s">
        <v>286</v>
      </c>
      <c r="J429" s="6">
        <v>250</v>
      </c>
      <c r="K429" s="123">
        <v>200</v>
      </c>
    </row>
    <row r="430" spans="1:11" x14ac:dyDescent="0.25">
      <c r="A430" s="368" t="s">
        <v>372</v>
      </c>
      <c r="B430" s="6">
        <v>500</v>
      </c>
      <c r="C430" s="123"/>
      <c r="E430" s="201" t="s">
        <v>372</v>
      </c>
      <c r="F430" s="6">
        <v>400</v>
      </c>
      <c r="G430" s="123"/>
      <c r="I430" s="201" t="s">
        <v>379</v>
      </c>
      <c r="J430" s="6">
        <v>400</v>
      </c>
      <c r="K430" s="123"/>
    </row>
    <row r="431" spans="1:11" x14ac:dyDescent="0.25">
      <c r="A431" s="368" t="s">
        <v>373</v>
      </c>
      <c r="B431" s="6">
        <v>180</v>
      </c>
      <c r="C431" s="123"/>
      <c r="E431" s="201" t="s">
        <v>373</v>
      </c>
      <c r="F431" s="6">
        <v>170</v>
      </c>
      <c r="G431" s="123"/>
      <c r="I431" s="201" t="s">
        <v>380</v>
      </c>
      <c r="J431" s="6">
        <v>170</v>
      </c>
      <c r="K431" s="123"/>
    </row>
    <row r="432" spans="1:11" x14ac:dyDescent="0.25">
      <c r="A432" s="368" t="s">
        <v>375</v>
      </c>
      <c r="B432" s="6">
        <f>B431*B430+B429*B428</f>
        <v>315000</v>
      </c>
      <c r="C432" s="123">
        <f>C428*C429</f>
        <v>500000</v>
      </c>
      <c r="E432" s="201" t="s">
        <v>375</v>
      </c>
      <c r="F432" s="6">
        <f>F428*F429+F430*F431</f>
        <v>293000</v>
      </c>
      <c r="G432" s="123">
        <v>500000</v>
      </c>
      <c r="I432" s="201" t="s">
        <v>381</v>
      </c>
      <c r="J432" s="6">
        <v>500</v>
      </c>
      <c r="K432" s="123"/>
    </row>
    <row r="433" spans="1:11" ht="15.75" thickBot="1" x14ac:dyDescent="0.3">
      <c r="A433" s="368" t="str">
        <f>A331</f>
        <v>Fertkosten 1</v>
      </c>
      <c r="B433" s="6">
        <f>B331</f>
        <v>30</v>
      </c>
      <c r="C433" s="123">
        <f>C331</f>
        <v>90</v>
      </c>
      <c r="E433" s="201" t="s">
        <v>300</v>
      </c>
      <c r="F433" s="6">
        <v>30</v>
      </c>
      <c r="G433" s="123">
        <v>90</v>
      </c>
      <c r="I433" s="201" t="s">
        <v>382</v>
      </c>
      <c r="J433" s="6">
        <v>180</v>
      </c>
      <c r="K433" s="123"/>
    </row>
    <row r="434" spans="1:11" ht="15.75" thickBot="1" x14ac:dyDescent="0.3">
      <c r="A434" s="368" t="str">
        <f>A332</f>
        <v>Fertkosten 2</v>
      </c>
      <c r="B434" s="6">
        <f>B332</f>
        <v>125</v>
      </c>
      <c r="C434" s="123">
        <f>C332</f>
        <v>25</v>
      </c>
      <c r="E434" s="201" t="s">
        <v>301</v>
      </c>
      <c r="F434" s="6">
        <v>125</v>
      </c>
      <c r="G434" s="123">
        <v>25</v>
      </c>
      <c r="I434" s="30" t="s">
        <v>375</v>
      </c>
      <c r="J434" s="22">
        <f>293000+J432*J433</f>
        <v>383000</v>
      </c>
      <c r="K434" s="23">
        <v>500000</v>
      </c>
    </row>
    <row r="435" spans="1:11" x14ac:dyDescent="0.25">
      <c r="A435" s="368" t="str">
        <f>A333</f>
        <v>Var Fertk 1</v>
      </c>
      <c r="B435" s="6">
        <f>B333</f>
        <v>12</v>
      </c>
      <c r="C435" s="123">
        <f>C333</f>
        <v>36</v>
      </c>
      <c r="E435" s="201" t="s">
        <v>329</v>
      </c>
      <c r="F435" s="6">
        <v>12</v>
      </c>
      <c r="G435" s="123">
        <v>36</v>
      </c>
      <c r="I435" s="201" t="s">
        <v>300</v>
      </c>
      <c r="J435" s="6">
        <v>30</v>
      </c>
      <c r="K435" s="123">
        <v>90</v>
      </c>
    </row>
    <row r="436" spans="1:11" x14ac:dyDescent="0.25">
      <c r="A436" s="368" t="str">
        <f>A334</f>
        <v>Var Fertk 2</v>
      </c>
      <c r="B436" s="6">
        <f>B334</f>
        <v>62.5</v>
      </c>
      <c r="C436" s="123">
        <f>C334</f>
        <v>12.5</v>
      </c>
      <c r="E436" s="201" t="s">
        <v>330</v>
      </c>
      <c r="F436" s="6">
        <v>62.5</v>
      </c>
      <c r="G436" s="123">
        <v>12.5</v>
      </c>
      <c r="I436" s="201" t="s">
        <v>301</v>
      </c>
      <c r="J436" s="6">
        <v>125</v>
      </c>
      <c r="K436" s="123">
        <v>25</v>
      </c>
    </row>
    <row r="437" spans="1:11" x14ac:dyDescent="0.25">
      <c r="A437" s="368" t="str">
        <f>A335</f>
        <v>Material</v>
      </c>
      <c r="B437" s="6">
        <f>B335</f>
        <v>50</v>
      </c>
      <c r="C437" s="123">
        <f>C335</f>
        <v>30</v>
      </c>
      <c r="E437" s="201" t="s">
        <v>122</v>
      </c>
      <c r="F437" s="6">
        <v>50</v>
      </c>
      <c r="G437" s="123">
        <v>30</v>
      </c>
      <c r="I437" s="201" t="s">
        <v>329</v>
      </c>
      <c r="J437" s="6">
        <v>12</v>
      </c>
      <c r="K437" s="123">
        <v>36</v>
      </c>
    </row>
    <row r="438" spans="1:11" ht="15.75" thickBot="1" x14ac:dyDescent="0.3">
      <c r="A438" s="368" t="str">
        <f>A336</f>
        <v>Variable  HK</v>
      </c>
      <c r="B438" s="6">
        <f>B336</f>
        <v>124.5</v>
      </c>
      <c r="C438" s="123">
        <f>C336</f>
        <v>78.5</v>
      </c>
      <c r="E438" s="201" t="s">
        <v>340</v>
      </c>
      <c r="F438" s="6">
        <v>124.5</v>
      </c>
      <c r="G438" s="123">
        <v>78.5</v>
      </c>
      <c r="I438" s="201" t="s">
        <v>330</v>
      </c>
      <c r="J438" s="6">
        <v>62.5</v>
      </c>
      <c r="K438" s="123">
        <v>12.5</v>
      </c>
    </row>
    <row r="439" spans="1:11" x14ac:dyDescent="0.25">
      <c r="A439" s="368" t="str">
        <f>A337</f>
        <v>Db1 Var Kost Stück</v>
      </c>
      <c r="B439" s="6">
        <f>B337</f>
        <v>125.5</v>
      </c>
      <c r="C439" s="123">
        <f>C337</f>
        <v>121.5</v>
      </c>
      <c r="D439" s="373" t="s">
        <v>385</v>
      </c>
      <c r="E439" s="201" t="s">
        <v>331</v>
      </c>
      <c r="F439" s="6">
        <v>125.5</v>
      </c>
      <c r="G439" s="123">
        <v>121.5</v>
      </c>
      <c r="H439" s="373" t="s">
        <v>384</v>
      </c>
      <c r="I439" s="201" t="s">
        <v>122</v>
      </c>
      <c r="J439" s="6">
        <v>50</v>
      </c>
      <c r="K439" s="123">
        <v>30</v>
      </c>
    </row>
    <row r="440" spans="1:11" ht="15.75" thickBot="1" x14ac:dyDescent="0.3">
      <c r="A440" s="368" t="s">
        <v>374</v>
      </c>
      <c r="B440" s="6">
        <f>B431-B438</f>
        <v>55.5</v>
      </c>
      <c r="C440" s="123"/>
      <c r="D440" s="202">
        <f>B441/1400</f>
        <v>87.814285714285717</v>
      </c>
      <c r="E440" s="201" t="s">
        <v>374</v>
      </c>
      <c r="F440" s="6">
        <f>F431-F438</f>
        <v>45.5</v>
      </c>
      <c r="G440" s="123"/>
      <c r="H440" s="202">
        <f>F441/1300</f>
        <v>92.83461538461539</v>
      </c>
      <c r="I440" s="201" t="s">
        <v>340</v>
      </c>
      <c r="J440" s="6">
        <v>124.5</v>
      </c>
      <c r="K440" s="123">
        <v>78.5</v>
      </c>
    </row>
    <row r="441" spans="1:11" ht="15.75" thickBot="1" x14ac:dyDescent="0.3">
      <c r="A441" s="370" t="str">
        <f>A338</f>
        <v>Db1 Var Kost Gesamt</v>
      </c>
      <c r="B441" s="22">
        <f>B439*B428+B440*B431</f>
        <v>122940</v>
      </c>
      <c r="C441" s="23">
        <f>C338</f>
        <v>303750</v>
      </c>
      <c r="E441" s="30" t="s">
        <v>332</v>
      </c>
      <c r="F441" s="22">
        <f>F440*F431+F439*F428</f>
        <v>120685</v>
      </c>
      <c r="G441" s="23">
        <v>303750</v>
      </c>
      <c r="I441" s="201" t="s">
        <v>331</v>
      </c>
      <c r="J441" s="6">
        <v>125.5</v>
      </c>
      <c r="K441" s="123">
        <v>121.5</v>
      </c>
    </row>
    <row r="442" spans="1:11" x14ac:dyDescent="0.25">
      <c r="A442" s="368" t="s">
        <v>348</v>
      </c>
      <c r="B442" s="6">
        <v>84000</v>
      </c>
      <c r="C442" s="123">
        <v>196000</v>
      </c>
      <c r="E442" s="201" t="s">
        <v>348</v>
      </c>
      <c r="F442" s="6">
        <v>84000</v>
      </c>
      <c r="G442" s="123">
        <v>196000</v>
      </c>
      <c r="I442" s="201" t="s">
        <v>374</v>
      </c>
      <c r="J442" s="6">
        <v>45.5</v>
      </c>
      <c r="K442" s="373" t="s">
        <v>384</v>
      </c>
    </row>
    <row r="443" spans="1:11" ht="15.75" thickBot="1" x14ac:dyDescent="0.3">
      <c r="A443" s="368" t="s">
        <v>347</v>
      </c>
      <c r="B443" s="6">
        <v>38520</v>
      </c>
      <c r="C443" s="123">
        <v>57780</v>
      </c>
      <c r="E443" s="201" t="s">
        <v>347</v>
      </c>
      <c r="F443" s="6">
        <v>38520</v>
      </c>
      <c r="G443" s="123">
        <v>57780</v>
      </c>
      <c r="I443" s="201" t="s">
        <v>383</v>
      </c>
      <c r="J443" s="6">
        <f>J433-J440</f>
        <v>55.5</v>
      </c>
      <c r="K443" s="202">
        <f>J444/1800</f>
        <v>82.463888888888889</v>
      </c>
    </row>
    <row r="444" spans="1:11" ht="15.75" thickBot="1" x14ac:dyDescent="0.3">
      <c r="A444" s="126" t="s">
        <v>43</v>
      </c>
      <c r="B444" s="165">
        <f>B441-B442-B443</f>
        <v>420</v>
      </c>
      <c r="C444" s="166">
        <f>C441-C442-C443</f>
        <v>49970</v>
      </c>
      <c r="E444" s="40" t="s">
        <v>43</v>
      </c>
      <c r="F444" s="165">
        <f>F441-F442-F443</f>
        <v>-1835</v>
      </c>
      <c r="G444" s="166">
        <v>49970</v>
      </c>
      <c r="I444" s="30" t="s">
        <v>332</v>
      </c>
      <c r="J444" s="22">
        <f>120685+J443*J432</f>
        <v>148435</v>
      </c>
      <c r="K444" s="23">
        <v>303750</v>
      </c>
    </row>
    <row r="445" spans="1:11" ht="15.75" thickBot="1" x14ac:dyDescent="0.3">
      <c r="A445" s="371" t="s">
        <v>336</v>
      </c>
      <c r="B445" s="325">
        <f>B444+C444</f>
        <v>50390</v>
      </c>
      <c r="C445" s="326"/>
      <c r="E445" s="251" t="s">
        <v>336</v>
      </c>
      <c r="F445" s="324">
        <f>F444+G444</f>
        <v>48135</v>
      </c>
      <c r="G445" s="326"/>
      <c r="I445" s="201" t="s">
        <v>348</v>
      </c>
      <c r="J445" s="6">
        <v>84000</v>
      </c>
      <c r="K445" s="123">
        <v>196000</v>
      </c>
    </row>
    <row r="446" spans="1:11" ht="15.75" thickBot="1" x14ac:dyDescent="0.3">
      <c r="A446" s="368" t="s">
        <v>349</v>
      </c>
      <c r="B446" s="307">
        <v>57950</v>
      </c>
      <c r="C446" s="332"/>
      <c r="E446" s="201" t="s">
        <v>349</v>
      </c>
      <c r="F446" s="258">
        <v>57950</v>
      </c>
      <c r="G446" s="332"/>
      <c r="I446" s="201" t="s">
        <v>347</v>
      </c>
      <c r="J446" s="6">
        <v>38520</v>
      </c>
      <c r="K446" s="123">
        <v>57780</v>
      </c>
    </row>
    <row r="447" spans="1:11" ht="15.75" thickBot="1" x14ac:dyDescent="0.3">
      <c r="A447" s="370" t="s">
        <v>350</v>
      </c>
      <c r="B447" s="256">
        <f>B445-B446</f>
        <v>-7560</v>
      </c>
      <c r="C447" s="257"/>
      <c r="E447" s="30" t="s">
        <v>350</v>
      </c>
      <c r="F447" s="255">
        <f>F445-F446</f>
        <v>-9815</v>
      </c>
      <c r="G447" s="257"/>
      <c r="I447" s="30" t="s">
        <v>43</v>
      </c>
      <c r="J447" s="22">
        <f>J444-J445-J446</f>
        <v>25915</v>
      </c>
      <c r="K447" s="23">
        <v>49970</v>
      </c>
    </row>
    <row r="448" spans="1:11" x14ac:dyDescent="0.25">
      <c r="A448" s="368" t="s">
        <v>366</v>
      </c>
      <c r="B448" s="307">
        <v>17000</v>
      </c>
      <c r="C448" s="332"/>
      <c r="E448" s="201" t="s">
        <v>366</v>
      </c>
      <c r="F448" s="258">
        <v>17000</v>
      </c>
      <c r="G448" s="332"/>
      <c r="I448" s="375" t="s">
        <v>336</v>
      </c>
      <c r="J448" s="260">
        <f>J447+K447</f>
        <v>75885</v>
      </c>
      <c r="K448" s="262"/>
    </row>
    <row r="449" spans="1:11" ht="15.75" thickBot="1" x14ac:dyDescent="0.3">
      <c r="A449" s="368" t="s">
        <v>365</v>
      </c>
      <c r="B449" s="307">
        <v>11040</v>
      </c>
      <c r="C449" s="332"/>
      <c r="E449" s="201" t="s">
        <v>365</v>
      </c>
      <c r="F449" s="258">
        <v>11040</v>
      </c>
      <c r="G449" s="332"/>
      <c r="I449" s="201" t="s">
        <v>349</v>
      </c>
      <c r="J449" s="259">
        <v>57950</v>
      </c>
      <c r="K449" s="331"/>
    </row>
    <row r="450" spans="1:11" ht="15.75" thickBot="1" x14ac:dyDescent="0.3">
      <c r="A450" s="368" t="s">
        <v>324</v>
      </c>
      <c r="B450" s="307">
        <v>-11000</v>
      </c>
      <c r="C450" s="332"/>
      <c r="E450" s="201" t="s">
        <v>324</v>
      </c>
      <c r="F450" s="258">
        <v>-11000</v>
      </c>
      <c r="G450" s="332"/>
      <c r="I450" s="30" t="s">
        <v>350</v>
      </c>
      <c r="J450" s="255">
        <f>J448-J449</f>
        <v>17935</v>
      </c>
      <c r="K450" s="257"/>
    </row>
    <row r="451" spans="1:11" x14ac:dyDescent="0.25">
      <c r="A451" s="368" t="s">
        <v>325</v>
      </c>
      <c r="B451" s="307">
        <v>-9000</v>
      </c>
      <c r="C451" s="332"/>
      <c r="E451" s="201" t="s">
        <v>325</v>
      </c>
      <c r="F451" s="258">
        <v>-9000</v>
      </c>
      <c r="G451" s="332"/>
      <c r="I451" s="201" t="s">
        <v>366</v>
      </c>
      <c r="J451" s="372">
        <v>17000</v>
      </c>
      <c r="K451" s="330"/>
    </row>
    <row r="452" spans="1:11" ht="15.75" thickBot="1" x14ac:dyDescent="0.3">
      <c r="A452" s="368" t="s">
        <v>353</v>
      </c>
      <c r="B452" s="307">
        <v>1770</v>
      </c>
      <c r="C452" s="332"/>
      <c r="E452" s="201" t="s">
        <v>353</v>
      </c>
      <c r="F452" s="258">
        <v>1770</v>
      </c>
      <c r="G452" s="332"/>
      <c r="I452" s="201" t="s">
        <v>365</v>
      </c>
      <c r="J452" s="258">
        <v>11040</v>
      </c>
      <c r="K452" s="332"/>
    </row>
    <row r="453" spans="1:11" ht="15.75" thickBot="1" x14ac:dyDescent="0.3">
      <c r="A453" s="370" t="s">
        <v>131</v>
      </c>
      <c r="B453" s="256">
        <f>SUM(B447:C452)</f>
        <v>2250</v>
      </c>
      <c r="C453" s="257"/>
      <c r="E453" s="30" t="s">
        <v>131</v>
      </c>
      <c r="F453" s="255">
        <f>SUM(F447:G452)</f>
        <v>-5</v>
      </c>
      <c r="G453" s="257"/>
      <c r="I453" s="201" t="s">
        <v>324</v>
      </c>
      <c r="J453" s="258">
        <v>-11000</v>
      </c>
      <c r="K453" s="332"/>
    </row>
    <row r="454" spans="1:11" x14ac:dyDescent="0.25">
      <c r="I454" s="201" t="s">
        <v>325</v>
      </c>
      <c r="J454" s="258">
        <v>-9000</v>
      </c>
      <c r="K454" s="332"/>
    </row>
    <row r="455" spans="1:11" x14ac:dyDescent="0.25">
      <c r="I455" s="201" t="s">
        <v>353</v>
      </c>
      <c r="J455" s="258">
        <v>1770</v>
      </c>
      <c r="K455" s="332"/>
    </row>
    <row r="456" spans="1:11" ht="15.75" thickBot="1" x14ac:dyDescent="0.3">
      <c r="I456" s="251" t="s">
        <v>131</v>
      </c>
      <c r="J456" s="324">
        <f>SUM(J450:K455)</f>
        <v>27745</v>
      </c>
      <c r="K456" s="326"/>
    </row>
    <row r="459" spans="1:11" ht="15.75" thickBot="1" x14ac:dyDescent="0.3"/>
    <row r="460" spans="1:11" ht="15.75" thickBot="1" x14ac:dyDescent="0.3">
      <c r="A460" s="255" t="s">
        <v>393</v>
      </c>
      <c r="B460" s="256"/>
      <c r="C460" s="256"/>
      <c r="D460" s="256"/>
      <c r="E460" s="256"/>
      <c r="F460" s="256"/>
      <c r="G460" s="256"/>
      <c r="H460" s="256"/>
      <c r="I460" s="256"/>
      <c r="J460" s="256"/>
      <c r="K460" s="257"/>
    </row>
    <row r="461" spans="1:11" ht="15.75" thickBot="1" x14ac:dyDescent="0.3"/>
    <row r="462" spans="1:11" ht="15.75" thickBot="1" x14ac:dyDescent="0.3">
      <c r="A462" s="255" t="s">
        <v>391</v>
      </c>
      <c r="B462" s="256"/>
      <c r="C462" s="257"/>
      <c r="F462" s="255" t="s">
        <v>392</v>
      </c>
      <c r="G462" s="256"/>
      <c r="H462" s="257"/>
    </row>
    <row r="463" spans="1:11" ht="15.75" thickBot="1" x14ac:dyDescent="0.3">
      <c r="A463" s="380"/>
      <c r="B463" s="381" t="s">
        <v>74</v>
      </c>
      <c r="C463" s="382" t="s">
        <v>75</v>
      </c>
      <c r="F463" s="227"/>
      <c r="G463" s="152" t="str">
        <f t="shared" ref="G463:G465" si="16">B427</f>
        <v>A</v>
      </c>
      <c r="H463" s="37" t="str">
        <f t="shared" ref="H463:H465" si="17">C427</f>
        <v>B</v>
      </c>
    </row>
    <row r="464" spans="1:11" x14ac:dyDescent="0.25">
      <c r="A464" s="145" t="s">
        <v>297</v>
      </c>
      <c r="B464" s="24">
        <v>1000</v>
      </c>
      <c r="C464" s="17">
        <f>((7000-1000)/3)</f>
        <v>2000</v>
      </c>
      <c r="F464" s="373" t="str">
        <f t="shared" ref="F462:F465" si="18">A428</f>
        <v>Verkauft (IST)</v>
      </c>
      <c r="G464" s="6">
        <v>1000</v>
      </c>
      <c r="H464" s="123">
        <v>3000</v>
      </c>
    </row>
    <row r="465" spans="1:10" ht="15.75" thickBot="1" x14ac:dyDescent="0.3">
      <c r="A465" s="31" t="s">
        <v>286</v>
      </c>
      <c r="B465" s="21">
        <v>250</v>
      </c>
      <c r="C465" s="32">
        <v>200</v>
      </c>
      <c r="F465" s="201" t="str">
        <f t="shared" si="18"/>
        <v>Verkaufspreis</v>
      </c>
      <c r="G465" s="6">
        <f t="shared" si="16"/>
        <v>250</v>
      </c>
      <c r="H465" s="123">
        <f t="shared" si="17"/>
        <v>200</v>
      </c>
    </row>
    <row r="466" spans="1:10" ht="15.75" thickBot="1" x14ac:dyDescent="0.3">
      <c r="A466" s="145" t="s">
        <v>300</v>
      </c>
      <c r="B466" s="24">
        <v>30</v>
      </c>
      <c r="C466" s="17">
        <v>90</v>
      </c>
      <c r="F466" s="30" t="str">
        <f>A432</f>
        <v>Umsatz Gesamt</v>
      </c>
      <c r="G466" s="22">
        <f>B432</f>
        <v>315000</v>
      </c>
      <c r="H466" s="22">
        <f>C432</f>
        <v>500000</v>
      </c>
      <c r="I466" s="221" t="s">
        <v>389</v>
      </c>
      <c r="J466" s="154" t="s">
        <v>390</v>
      </c>
    </row>
    <row r="467" spans="1:10" ht="15.75" thickBot="1" x14ac:dyDescent="0.3">
      <c r="A467" s="38" t="s">
        <v>301</v>
      </c>
      <c r="B467" s="25">
        <v>125</v>
      </c>
      <c r="C467" s="26">
        <v>25</v>
      </c>
      <c r="F467" s="201" t="str">
        <f>A433</f>
        <v>Fertkosten 1</v>
      </c>
      <c r="G467" s="6">
        <f>B433</f>
        <v>30</v>
      </c>
      <c r="H467" s="6">
        <v>65</v>
      </c>
      <c r="I467" s="19">
        <v>90</v>
      </c>
      <c r="J467" s="20"/>
    </row>
    <row r="468" spans="1:10" x14ac:dyDescent="0.25">
      <c r="A468" s="82" t="s">
        <v>329</v>
      </c>
      <c r="B468" s="132">
        <f>B466*0.4</f>
        <v>12</v>
      </c>
      <c r="C468" s="20">
        <f>C466*0.4</f>
        <v>36</v>
      </c>
      <c r="F468" s="201" t="str">
        <f>A434</f>
        <v>Fertkosten 2</v>
      </c>
      <c r="G468" s="6">
        <f>B434</f>
        <v>125</v>
      </c>
      <c r="H468" s="6">
        <v>0</v>
      </c>
      <c r="I468" s="10">
        <v>25</v>
      </c>
      <c r="J468" s="11"/>
    </row>
    <row r="469" spans="1:10" x14ac:dyDescent="0.25">
      <c r="A469" s="218" t="s">
        <v>330</v>
      </c>
      <c r="B469" s="61">
        <f>B467*0.5</f>
        <v>62.5</v>
      </c>
      <c r="C469" s="11">
        <f>C467*0.5</f>
        <v>12.5</v>
      </c>
      <c r="F469" s="201" t="str">
        <f>A435</f>
        <v>Var Fertk 1</v>
      </c>
      <c r="G469" s="6">
        <f>B435</f>
        <v>12</v>
      </c>
      <c r="H469" s="6">
        <v>0</v>
      </c>
      <c r="I469" s="10">
        <v>36</v>
      </c>
      <c r="J469" s="11"/>
    </row>
    <row r="470" spans="1:10" x14ac:dyDescent="0.25">
      <c r="A470" s="10" t="s">
        <v>122</v>
      </c>
      <c r="B470" s="61">
        <v>50</v>
      </c>
      <c r="C470" s="11">
        <v>30</v>
      </c>
      <c r="F470" s="201" t="str">
        <f>A436</f>
        <v>Var Fertk 2</v>
      </c>
      <c r="G470" s="6">
        <f>B436</f>
        <v>62.5</v>
      </c>
      <c r="H470" s="6">
        <v>0</v>
      </c>
      <c r="I470" s="10">
        <v>12.5</v>
      </c>
      <c r="J470" s="11"/>
    </row>
    <row r="471" spans="1:10" x14ac:dyDescent="0.25">
      <c r="A471" s="53" t="s">
        <v>340</v>
      </c>
      <c r="B471" s="62">
        <f>SUM(B468:B470)</f>
        <v>124.5</v>
      </c>
      <c r="C471" s="54">
        <f>SUM(C468:C470)</f>
        <v>78.5</v>
      </c>
      <c r="F471" s="201" t="str">
        <f>A437</f>
        <v>Material</v>
      </c>
      <c r="G471" s="6">
        <f>B437</f>
        <v>50</v>
      </c>
      <c r="H471" s="6">
        <v>0</v>
      </c>
      <c r="I471" s="10">
        <v>30</v>
      </c>
      <c r="J471" s="11"/>
    </row>
    <row r="472" spans="1:10" ht="15.75" thickBot="1" x14ac:dyDescent="0.3">
      <c r="A472" s="53" t="s">
        <v>331</v>
      </c>
      <c r="B472" s="62">
        <f>B465-SUM(B468:B470)</f>
        <v>125.5</v>
      </c>
      <c r="C472" s="54">
        <f>C465-SUM(C468:C470)</f>
        <v>121.5</v>
      </c>
      <c r="F472" s="201" t="str">
        <f>A438</f>
        <v>Variable  HK</v>
      </c>
      <c r="G472" s="6">
        <f>B438</f>
        <v>124.5</v>
      </c>
      <c r="H472" s="6">
        <f>SUM(H467:H471)</f>
        <v>65</v>
      </c>
      <c r="I472" s="53">
        <v>78.5</v>
      </c>
      <c r="J472" s="11">
        <f>I472-H472</f>
        <v>13.5</v>
      </c>
    </row>
    <row r="473" spans="1:10" ht="15.75" thickBot="1" x14ac:dyDescent="0.3">
      <c r="A473" s="43" t="s">
        <v>332</v>
      </c>
      <c r="B473" s="57">
        <f>B472*B464</f>
        <v>125500</v>
      </c>
      <c r="C473" s="46">
        <f>C472*C464</f>
        <v>243000</v>
      </c>
      <c r="F473" s="40" t="str">
        <f>A439</f>
        <v>Db1 Var Kost Stück</v>
      </c>
      <c r="G473" s="376">
        <f>B439</f>
        <v>125.5</v>
      </c>
      <c r="H473" s="165">
        <f>H465-H467</f>
        <v>135</v>
      </c>
      <c r="I473" s="58">
        <v>121.5</v>
      </c>
      <c r="J473" s="32">
        <f>(H474-I474)/3000</f>
        <v>13.5</v>
      </c>
    </row>
    <row r="474" spans="1:10" ht="15.75" thickBot="1" x14ac:dyDescent="0.3">
      <c r="A474" s="117" t="s">
        <v>386</v>
      </c>
      <c r="B474" s="260">
        <f>B473+C473</f>
        <v>368500</v>
      </c>
      <c r="C474" s="262"/>
      <c r="F474" s="251" t="str">
        <f>A441</f>
        <v>Db1 Var Kost Gesamt</v>
      </c>
      <c r="G474" s="240">
        <f>G473*G464</f>
        <v>125500</v>
      </c>
      <c r="H474" s="152">
        <f>H473*H464</f>
        <v>405000</v>
      </c>
      <c r="I474" s="237">
        <f>I473*H464</f>
        <v>364500</v>
      </c>
      <c r="J474" s="378">
        <f>H474-I474</f>
        <v>40500</v>
      </c>
    </row>
    <row r="475" spans="1:10" ht="15.75" thickBot="1" x14ac:dyDescent="0.3">
      <c r="A475" s="153" t="s">
        <v>387</v>
      </c>
      <c r="B475" s="162">
        <f>B472/1</f>
        <v>125.5</v>
      </c>
      <c r="C475" s="157">
        <f>C472/3</f>
        <v>40.5</v>
      </c>
      <c r="F475" s="201" t="str">
        <f>A442</f>
        <v>Bereichsfix</v>
      </c>
      <c r="G475" s="194">
        <f>B442</f>
        <v>84000</v>
      </c>
      <c r="H475" s="122">
        <f>(C442*0.3)</f>
        <v>58800</v>
      </c>
      <c r="I475" s="236">
        <f>(C442)</f>
        <v>196000</v>
      </c>
      <c r="J475" s="379">
        <f>(C442*0.7)</f>
        <v>137200</v>
      </c>
    </row>
    <row r="476" spans="1:10" ht="15.75" thickBot="1" x14ac:dyDescent="0.3">
      <c r="A476" s="84" t="s">
        <v>388</v>
      </c>
      <c r="B476" s="219">
        <v>1</v>
      </c>
      <c r="C476" s="220">
        <v>2</v>
      </c>
      <c r="F476" s="201" t="str">
        <f>A443</f>
        <v>Vertriebskosten</v>
      </c>
      <c r="G476" s="227">
        <f>B443</f>
        <v>38520</v>
      </c>
      <c r="H476" s="124">
        <f>C443</f>
        <v>57780</v>
      </c>
      <c r="I476" s="6"/>
      <c r="J476" s="40">
        <f>J475+J474</f>
        <v>177700</v>
      </c>
    </row>
    <row r="477" spans="1:10" ht="15.75" thickBot="1" x14ac:dyDescent="0.3">
      <c r="F477" s="207" t="str">
        <f>A444</f>
        <v>DB2</v>
      </c>
      <c r="G477" s="22">
        <f>G474-G475-G476</f>
        <v>2980</v>
      </c>
      <c r="H477" s="30">
        <f>H474-H475-H476</f>
        <v>288420</v>
      </c>
      <c r="I477" s="6"/>
      <c r="J477" s="251" t="s">
        <v>394</v>
      </c>
    </row>
    <row r="478" spans="1:10" ht="15.75" thickBot="1" x14ac:dyDescent="0.3">
      <c r="F478" s="251" t="str">
        <f>A445</f>
        <v>DB2 Gesamt</v>
      </c>
      <c r="G478" s="324">
        <f>G477+H477</f>
        <v>291400</v>
      </c>
      <c r="H478" s="326"/>
    </row>
    <row r="479" spans="1:10" ht="15.75" thickBot="1" x14ac:dyDescent="0.3">
      <c r="F479" s="201" t="str">
        <f>A446</f>
        <v>Verwaltungsfix</v>
      </c>
      <c r="G479" s="258">
        <f>B446</f>
        <v>57950</v>
      </c>
      <c r="H479" s="332"/>
    </row>
    <row r="480" spans="1:10" ht="15.75" thickBot="1" x14ac:dyDescent="0.3">
      <c r="F480" s="207" t="str">
        <f>A447</f>
        <v>DB3</v>
      </c>
      <c r="G480" s="287">
        <f>G478-G479</f>
        <v>233450</v>
      </c>
      <c r="H480" s="279">
        <f>C447</f>
        <v>0</v>
      </c>
    </row>
    <row r="481" spans="5:11" x14ac:dyDescent="0.25">
      <c r="F481" s="201" t="str">
        <f>A448</f>
        <v>Differenz (Bilanz) Abschreibung</v>
      </c>
      <c r="G481" s="258">
        <f>B448</f>
        <v>17000</v>
      </c>
      <c r="H481" s="332">
        <f>C448</f>
        <v>0</v>
      </c>
    </row>
    <row r="482" spans="5:11" x14ac:dyDescent="0.25">
      <c r="F482" s="201" t="str">
        <f>A449</f>
        <v>Differenz Zinsen</v>
      </c>
      <c r="G482" s="258">
        <f>B449</f>
        <v>11040</v>
      </c>
      <c r="H482" s="332">
        <f>C449</f>
        <v>0</v>
      </c>
    </row>
    <row r="483" spans="5:11" x14ac:dyDescent="0.25">
      <c r="F483" s="201" t="str">
        <f>A450</f>
        <v>Differenz Personal</v>
      </c>
      <c r="G483" s="258">
        <f>B450</f>
        <v>-11000</v>
      </c>
      <c r="H483" s="332">
        <f>C450</f>
        <v>0</v>
      </c>
    </row>
    <row r="484" spans="5:11" ht="15.75" thickBot="1" x14ac:dyDescent="0.3">
      <c r="F484" s="201" t="str">
        <f>A451</f>
        <v>Abzug Neutral</v>
      </c>
      <c r="G484" s="258">
        <f>B451</f>
        <v>-9000</v>
      </c>
      <c r="H484" s="332">
        <f>C451</f>
        <v>0</v>
      </c>
    </row>
    <row r="485" spans="5:11" ht="15.75" thickBot="1" x14ac:dyDescent="0.3">
      <c r="F485" s="201" t="str">
        <f>A452</f>
        <v>VerDiff</v>
      </c>
      <c r="G485" s="258">
        <f>B452</f>
        <v>1770</v>
      </c>
      <c r="H485" s="332">
        <f>C452</f>
        <v>0</v>
      </c>
      <c r="J485" s="40" t="s">
        <v>394</v>
      </c>
    </row>
    <row r="486" spans="5:11" ht="15.75" thickBot="1" x14ac:dyDescent="0.3">
      <c r="F486" s="30" t="str">
        <f>A453</f>
        <v>Summe</v>
      </c>
      <c r="G486" s="255">
        <f>SUM(G480:H485)</f>
        <v>243260</v>
      </c>
      <c r="H486" s="257"/>
      <c r="I486" s="374">
        <v>65560</v>
      </c>
      <c r="J486" s="30">
        <f>G486-I486</f>
        <v>177700</v>
      </c>
    </row>
    <row r="487" spans="5:11" x14ac:dyDescent="0.25">
      <c r="E487" s="6"/>
      <c r="F487" s="6"/>
      <c r="G487" s="6"/>
      <c r="H487" s="6"/>
      <c r="I487" s="6"/>
      <c r="J487" s="6"/>
      <c r="K487" s="6"/>
    </row>
    <row r="488" spans="5:11" x14ac:dyDescent="0.25">
      <c r="E488" s="6"/>
      <c r="F488" s="6"/>
      <c r="G488" s="6"/>
      <c r="H488" s="6"/>
      <c r="I488" s="6"/>
      <c r="J488" s="6"/>
      <c r="K488" s="6"/>
    </row>
    <row r="489" spans="5:11" x14ac:dyDescent="0.25">
      <c r="E489" s="6"/>
      <c r="F489" s="6"/>
      <c r="G489" s="6"/>
      <c r="H489" s="6"/>
      <c r="I489" s="6"/>
      <c r="J489" s="6"/>
      <c r="K489" s="6"/>
    </row>
    <row r="490" spans="5:11" x14ac:dyDescent="0.25">
      <c r="E490" s="6"/>
      <c r="F490" s="6"/>
      <c r="G490" s="6"/>
      <c r="H490" s="6"/>
      <c r="I490" s="6"/>
      <c r="J490" s="6"/>
      <c r="K490" s="6"/>
    </row>
    <row r="491" spans="5:11" x14ac:dyDescent="0.25">
      <c r="E491" s="6"/>
      <c r="F491" s="6"/>
      <c r="G491" s="6"/>
      <c r="H491" s="6"/>
      <c r="I491" s="6"/>
      <c r="J491" s="6"/>
      <c r="K491" s="6"/>
    </row>
    <row r="492" spans="5:11" x14ac:dyDescent="0.25">
      <c r="E492" s="6"/>
      <c r="F492" s="6"/>
      <c r="G492" s="6"/>
      <c r="H492" s="6"/>
      <c r="I492" s="6"/>
      <c r="J492" s="6"/>
      <c r="K492" s="6"/>
    </row>
  </sheetData>
  <mergeCells count="183">
    <mergeCell ref="G484:H484"/>
    <mergeCell ref="G485:H485"/>
    <mergeCell ref="G486:H486"/>
    <mergeCell ref="B474:C474"/>
    <mergeCell ref="F462:H462"/>
    <mergeCell ref="G478:H478"/>
    <mergeCell ref="G479:H479"/>
    <mergeCell ref="G480:H480"/>
    <mergeCell ref="G481:H481"/>
    <mergeCell ref="G482:H482"/>
    <mergeCell ref="G483:H483"/>
    <mergeCell ref="J453:K453"/>
    <mergeCell ref="J454:K454"/>
    <mergeCell ref="J455:K455"/>
    <mergeCell ref="J456:K456"/>
    <mergeCell ref="J448:K448"/>
    <mergeCell ref="J449:K449"/>
    <mergeCell ref="J450:K450"/>
    <mergeCell ref="A460:K460"/>
    <mergeCell ref="A462:C462"/>
    <mergeCell ref="B453:C453"/>
    <mergeCell ref="A426:C426"/>
    <mergeCell ref="E426:G426"/>
    <mergeCell ref="F445:G445"/>
    <mergeCell ref="F446:G446"/>
    <mergeCell ref="F447:G447"/>
    <mergeCell ref="F448:G448"/>
    <mergeCell ref="F449:G449"/>
    <mergeCell ref="F450:G450"/>
    <mergeCell ref="F451:G451"/>
    <mergeCell ref="F452:G452"/>
    <mergeCell ref="F453:G453"/>
    <mergeCell ref="A423:I423"/>
    <mergeCell ref="B445:C445"/>
    <mergeCell ref="B446:C446"/>
    <mergeCell ref="B447:C447"/>
    <mergeCell ref="B448:C448"/>
    <mergeCell ref="B449:C449"/>
    <mergeCell ref="B450:C450"/>
    <mergeCell ref="B451:C451"/>
    <mergeCell ref="B452:C452"/>
    <mergeCell ref="I426:K426"/>
    <mergeCell ref="J451:K451"/>
    <mergeCell ref="J452:K452"/>
    <mergeCell ref="G355:H355"/>
    <mergeCell ref="H319:H322"/>
    <mergeCell ref="G353:H353"/>
    <mergeCell ref="G354:H354"/>
    <mergeCell ref="G356:H356"/>
    <mergeCell ref="G358:H358"/>
    <mergeCell ref="G359:H359"/>
    <mergeCell ref="G361:H361"/>
    <mergeCell ref="G360:H360"/>
    <mergeCell ref="G357:H357"/>
    <mergeCell ref="B351:C351"/>
    <mergeCell ref="F327:H327"/>
    <mergeCell ref="H328:H331"/>
    <mergeCell ref="H332:H342"/>
    <mergeCell ref="F345:H345"/>
    <mergeCell ref="A326:I326"/>
    <mergeCell ref="A264:C264"/>
    <mergeCell ref="F264:H264"/>
    <mergeCell ref="I285:I290"/>
    <mergeCell ref="I292:I297"/>
    <mergeCell ref="I299:I301"/>
    <mergeCell ref="A327:C327"/>
    <mergeCell ref="G236:I236"/>
    <mergeCell ref="A227:I227"/>
    <mergeCell ref="G235:I235"/>
    <mergeCell ref="G237:I237"/>
    <mergeCell ref="A212:L212"/>
    <mergeCell ref="B234:D234"/>
    <mergeCell ref="C265:C272"/>
    <mergeCell ref="C273:C274"/>
    <mergeCell ref="C275:C277"/>
    <mergeCell ref="A262:I262"/>
    <mergeCell ref="A263:I263"/>
    <mergeCell ref="A241:I241"/>
    <mergeCell ref="G207:H207"/>
    <mergeCell ref="K207:L207"/>
    <mergeCell ref="G209:H209"/>
    <mergeCell ref="K209:L209"/>
    <mergeCell ref="A192:L192"/>
    <mergeCell ref="K203:L203"/>
    <mergeCell ref="K205:L205"/>
    <mergeCell ref="G203:H203"/>
    <mergeCell ref="G205:H205"/>
    <mergeCell ref="A151:B151"/>
    <mergeCell ref="A150:D150"/>
    <mergeCell ref="C151:D151"/>
    <mergeCell ref="F165:H165"/>
    <mergeCell ref="G161:H161"/>
    <mergeCell ref="G162:H162"/>
    <mergeCell ref="G196:H196"/>
    <mergeCell ref="G201:H201"/>
    <mergeCell ref="K196:L196"/>
    <mergeCell ref="K201:L201"/>
    <mergeCell ref="A176:D176"/>
    <mergeCell ref="F176:I176"/>
    <mergeCell ref="A168:D168"/>
    <mergeCell ref="I162:J162"/>
    <mergeCell ref="F155:K155"/>
    <mergeCell ref="F156:H156"/>
    <mergeCell ref="I156:K156"/>
    <mergeCell ref="F148:G148"/>
    <mergeCell ref="F150:G150"/>
    <mergeCell ref="F152:G152"/>
    <mergeCell ref="F149:G149"/>
    <mergeCell ref="F151:G151"/>
    <mergeCell ref="F153:G153"/>
    <mergeCell ref="G160:H160"/>
    <mergeCell ref="F137:I137"/>
    <mergeCell ref="F147:G147"/>
    <mergeCell ref="F146:I146"/>
    <mergeCell ref="B104:B109"/>
    <mergeCell ref="A104:A109"/>
    <mergeCell ref="G120:H120"/>
    <mergeCell ref="F116:I116"/>
    <mergeCell ref="G121:I121"/>
    <mergeCell ref="A126:D126"/>
    <mergeCell ref="C134:D134"/>
    <mergeCell ref="C147:D147"/>
    <mergeCell ref="D127:D131"/>
    <mergeCell ref="C132:C133"/>
    <mergeCell ref="D132:D133"/>
    <mergeCell ref="C143:C146"/>
    <mergeCell ref="D143:D146"/>
    <mergeCell ref="C137:C142"/>
    <mergeCell ref="A136:D136"/>
    <mergeCell ref="D137:D142"/>
    <mergeCell ref="A44:I44"/>
    <mergeCell ref="H63:I63"/>
    <mergeCell ref="A63:F63"/>
    <mergeCell ref="B69:E69"/>
    <mergeCell ref="A62:I62"/>
    <mergeCell ref="A101:I101"/>
    <mergeCell ref="A83:I83"/>
    <mergeCell ref="B89:C89"/>
    <mergeCell ref="A84:D84"/>
    <mergeCell ref="F84:I84"/>
    <mergeCell ref="G89:H89"/>
    <mergeCell ref="A71:F71"/>
    <mergeCell ref="B79:E79"/>
    <mergeCell ref="B80:E80"/>
    <mergeCell ref="C92:D92"/>
    <mergeCell ref="E92:F92"/>
    <mergeCell ref="A103:D103"/>
    <mergeCell ref="F103:G103"/>
    <mergeCell ref="A125:I125"/>
    <mergeCell ref="F104:F106"/>
    <mergeCell ref="C300:D300"/>
    <mergeCell ref="B301:C301"/>
    <mergeCell ref="A283:C283"/>
    <mergeCell ref="A284:B284"/>
    <mergeCell ref="C284:D284"/>
    <mergeCell ref="F256:G256"/>
    <mergeCell ref="E243:G243"/>
    <mergeCell ref="A243:C243"/>
    <mergeCell ref="B253:C253"/>
    <mergeCell ref="B249:C249"/>
    <mergeCell ref="C278:C280"/>
    <mergeCell ref="F128:I128"/>
    <mergeCell ref="C127:C131"/>
    <mergeCell ref="G104:G106"/>
    <mergeCell ref="F107:F108"/>
    <mergeCell ref="G107:G108"/>
    <mergeCell ref="G118:H118"/>
    <mergeCell ref="A116:D116"/>
    <mergeCell ref="B110:B112"/>
    <mergeCell ref="A110:A112"/>
    <mergeCell ref="A363:J363"/>
    <mergeCell ref="H380:H383"/>
    <mergeCell ref="A409:C409"/>
    <mergeCell ref="D388:G388"/>
    <mergeCell ref="E396:F396"/>
    <mergeCell ref="E397:F397"/>
    <mergeCell ref="E398:F398"/>
    <mergeCell ref="E399:F399"/>
    <mergeCell ref="E400:F400"/>
    <mergeCell ref="E402:F402"/>
    <mergeCell ref="E403:F403"/>
    <mergeCell ref="E404:F404"/>
    <mergeCell ref="E401:F401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mis</cp:lastModifiedBy>
  <dcterms:created xsi:type="dcterms:W3CDTF">2021-01-15T13:36:04Z</dcterms:created>
  <dcterms:modified xsi:type="dcterms:W3CDTF">2021-01-31T21:25:23Z</dcterms:modified>
</cp:coreProperties>
</file>