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E9DC54F-433F-4690-B772-83C9F772A37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Budget CE 2022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1" l="1"/>
  <c r="Q25" i="1"/>
  <c r="Q17" i="1"/>
  <c r="Q18" i="1"/>
  <c r="Q19" i="1"/>
  <c r="Q20" i="1"/>
  <c r="Q21" i="1"/>
  <c r="Q22" i="1"/>
  <c r="Q16" i="1"/>
  <c r="S16" i="1"/>
  <c r="R25" i="1"/>
  <c r="Q8" i="4"/>
  <c r="P17" i="7"/>
  <c r="N17" i="7"/>
  <c r="L17" i="7"/>
  <c r="O59" i="4"/>
  <c r="P54" i="4"/>
  <c r="Q52" i="4"/>
  <c r="S34" i="4"/>
  <c r="Q34" i="4"/>
  <c r="S49" i="4"/>
  <c r="R25" i="4"/>
  <c r="X15" i="4"/>
  <c r="Q15" i="4"/>
  <c r="R49" i="4"/>
  <c r="Q49" i="4"/>
  <c r="X16" i="4"/>
  <c r="Q11" i="4"/>
  <c r="Q13" i="4" s="1"/>
  <c r="X10" i="4"/>
  <c r="X9" i="4"/>
  <c r="X44" i="4"/>
  <c r="U8" i="4"/>
  <c r="S8" i="4"/>
  <c r="U6" i="4"/>
  <c r="S6" i="4"/>
  <c r="S11" i="4" s="1"/>
  <c r="S13" i="4" s="1"/>
  <c r="Q6" i="4"/>
  <c r="L14" i="7"/>
  <c r="M15" i="7"/>
  <c r="N15" i="7"/>
  <c r="L15" i="7"/>
  <c r="K15" i="7"/>
  <c r="I98" i="7"/>
  <c r="H99" i="7"/>
  <c r="J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99" i="7"/>
  <c r="H10" i="7"/>
  <c r="H6" i="7"/>
  <c r="Z1" i="7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Y44" i="4" l="1"/>
  <c r="U11" i="4"/>
  <c r="U13" i="4" s="1"/>
  <c r="Q31" i="4"/>
  <c r="Q32" i="4"/>
  <c r="X17" i="4"/>
  <c r="O8" i="4"/>
  <c r="P37" i="4" l="1"/>
  <c r="R50" i="4" s="1"/>
  <c r="P36" i="4"/>
  <c r="Q50" i="4" s="1"/>
  <c r="S15" i="4"/>
  <c r="S16" i="4" s="1"/>
  <c r="Q7" i="4"/>
  <c r="O14" i="4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<sst xmlns="http://schemas.openxmlformats.org/spreadsheetml/2006/main" count="559" uniqueCount="239">
  <si>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</si>
  <si>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</si>
  <si>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</si>
  <si>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</si>
  <si>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</si>
  <si>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</si>
  <si>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</si>
  <si>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</si>
  <si>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</si>
  <si>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</si>
  <si>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</si>
  <si>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</si>
  <si>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</si>
  <si>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</si>
  <si>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</si>
  <si>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</si>
  <si>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</si>
  <si>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</si>
  <si>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</si>
  <si>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</si>
  <si>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</si>
  <si>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</si>
  <si>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</si>
  <si>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</si>
  <si>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</si>
  <si>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</si>
  <si>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</si>
  <si>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</si>
  <si>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</si>
  <si>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</si>
  <si>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</si>
  <si>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</si>
  <si>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</si>
  <si>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</si>
  <si>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</si>
  <si>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</si>
  <si>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</si>
  <si>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</si>
  <si>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</si>
  <si>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</si>
  <si>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</si>
  <si>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</si>
  <si>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</si>
  <si>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</si>
  <si>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</si>
  <si>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</si>
  <si>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</si>
  <si>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</si>
  <si>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</si>
  <si>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</si>
  <si>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</si>
  <si>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</si>
  <si>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</si>
  <si>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</si>
  <si>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</si>
  <si>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</si>
  <si>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</si>
  <si>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</si>
  <si>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</si>
  <si>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</si>
  <si>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</si>
  <si>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</si>
  <si>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</si>
  <si>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</si>
  <si>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</si>
  <si>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</si>
  <si>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</si>
  <si>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</si>
  <si>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</si>
  <si>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</si>
  <si>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</si>
  <si>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</si>
  <si>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</si>
  <si>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</si>
  <si>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</si>
  <si>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</si>
  <si>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</si>
  <si>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</si>
  <si>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</si>
  <si>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</si>
  <si>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</si>
  <si>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</si>
  <si>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</si>
  <si>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</si>
  <si>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</si>
  <si>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</si>
  <si>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</si>
  <si>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</si>
  <si>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</si>
  <si>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</si>
  <si>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</si>
  <si>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</si>
  <si>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</si>
  <si>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</si>
  <si>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</si>
  <si>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</si>
  <si>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</si>
  <si>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</si>
  <si>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</si>
  <si>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</si>
  <si>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</si>
  <si>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</si>
  <si>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</si>
  <si>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</si>
  <si>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</si>
  <si>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</si>
  <si>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</si>
  <si>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</si>
  <si>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</si>
  <si>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</si>
  <si>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</si>
  <si>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</si>
  <si>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</si>
  <si>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</si>
  <si>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</si>
  <si>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</si>
  <si>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</si>
  <si>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</si>
  <si>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</si>
  <si>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</si>
  <si>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</si>
  <si>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</si>
  <si>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</si>
  <si>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</si>
  <si>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</si>
  <si>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</si>
  <si>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</si>
  <si>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</si>
  <si>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</si>
  <si>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</si>
  <si>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</si>
  <si>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</si>
  <si>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</si>
  <si>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</si>
  <si>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</si>
  <si>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</si>
  <si>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</si>
  <si>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</si>
  <si>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</si>
  <si>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</si>
  <si>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</si>
  <si>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</si>
  <si>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</si>
  <si>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</si>
  <si>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</si>
  <si>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</si>
  <si>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</si>
  <si>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</si>
  <si>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</si>
  <si>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</si>
  <si>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</si>
  <si>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</si>
  <si>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</si>
  <si>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</si>
  <si>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</si>
  <si>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</si>
  <si>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</si>
  <si>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</si>
  <si>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</si>
  <si>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</si>
  <si>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</si>
  <si>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kg P</t>
  </si>
  <si>
    <t>KG V</t>
  </si>
  <si>
    <t>Kg A</t>
  </si>
  <si>
    <t>costo energia</t>
  </si>
  <si>
    <t>KILI DI PRODOTTO FINITO</t>
  </si>
  <si>
    <t>PF A + PF V</t>
  </si>
  <si>
    <t>PF P</t>
  </si>
  <si>
    <t>Totale mese</t>
  </si>
  <si>
    <t>Consumi energia elettrica [kWh]</t>
  </si>
  <si>
    <t>metano</t>
  </si>
  <si>
    <t>PF A</t>
  </si>
  <si>
    <t>Delta</t>
  </si>
  <si>
    <t>elettrica</t>
  </si>
  <si>
    <t>PV V</t>
  </si>
  <si>
    <t>PROD kG</t>
  </si>
  <si>
    <t>Servizi Generali</t>
  </si>
  <si>
    <t>kiWh</t>
  </si>
  <si>
    <t xml:space="preserve">CUNSUMI  kwh22 pf </t>
  </si>
  <si>
    <t>costo energia elettrica dservizi generali 21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</si>
  <si>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</si>
  <si>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costo elettrica materie prime pf 21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</si>
  <si>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</si>
  <si>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</si>
  <si>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</si>
  <si>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</si>
  <si>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costo al kwh 21</t>
  </si>
  <si>
    <t>costo al kwh 22</t>
  </si>
  <si>
    <t>i) Il costo di smaltimento è stimabile in 10,24 euro per tonnellata di produzione solo sulle emulsioni viniliche ed acriliche.</t>
  </si>
  <si>
    <t>costo coreente totale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</si>
  <si>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</si>
  <si>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</si>
  <si>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</si>
  <si>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</si>
  <si>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</si>
  <si>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</si>
  <si>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% COSTO GAS P</t>
  </si>
  <si>
    <t>VA</t>
  </si>
  <si>
    <t>P</t>
  </si>
  <si>
    <t>V+A</t>
  </si>
  <si>
    <t>p</t>
  </si>
  <si>
    <t>v+a</t>
  </si>
  <si>
    <t>M3 metano 21</t>
  </si>
  <si>
    <t>COSTO AL M3 21</t>
  </si>
  <si>
    <t>COSTO AL M3 22</t>
  </si>
  <si>
    <t>COSTO METANO 22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</si>
  <si>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</si>
  <si>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</si>
  <si>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</si>
  <si>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</si>
  <si>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</si>
  <si>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</si>
  <si>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</si>
  <si>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</si>
  <si>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</si>
  <si>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</si>
  <si>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</si>
  <si>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</si>
  <si>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</si>
  <si>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BUDGET</t>
  </si>
  <si>
    <t>2021/2022</t>
  </si>
  <si>
    <t>Ricavi vendite sommatoria(quantità * prezzo medio)</t>
  </si>
  <si>
    <t>PCL = sommatoria(quantitá *prezzo medio</t>
  </si>
  <si>
    <t>Acq.MatPM= sommatoria(quantitá * costo medio</t>
  </si>
  <si>
    <t>NON HO TROVATO DATI</t>
  </si>
  <si>
    <t>!!!!</t>
  </si>
  <si>
    <t>Il costo di smaltimento 10,24 euro per ton viniliche ed acriliche.</t>
  </si>
  <si>
    <t>c=(ton acr+vin )*costo/ton</t>
  </si>
  <si>
    <t>solo per le vendite,Il costo 26 £/ton previsto un aumento del 15%.</t>
  </si>
  <si>
    <t>c=ton*p.ton.traspo-riaccredito</t>
  </si>
  <si>
    <t>tonnelllate</t>
  </si>
  <si>
    <t>COSTO</t>
  </si>
  <si>
    <t>COSTO-RIACCREDITO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</si>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</sst>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  <font>
      <sz val="11"/>
      <color rgb="FF00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0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2" fillId="0" borderId="0" xfId="0" applyFont="1"/>
    <xf numFmtId="37" fontId="0" fillId="0" borderId="0" xfId="0" applyNumberFormat="1"/>
    <xf numFmtId="0" fontId="21" fillId="0" borderId="0" xfId="0" applyFont="1"/>
    <xf numFmtId="166" fontId="9" fillId="0" borderId="0" xfId="2" applyNumberFormat="1" applyFont="1" applyAlignment="1">
      <alignment vertical="center"/>
    </xf>
    <xf numFmtId="0" fontId="9" fillId="9" borderId="0" xfId="2" applyFont="1" applyFill="1" applyAlignment="1">
      <alignment vertical="center"/>
    </xf>
    <xf numFmtId="166" fontId="9" fillId="0" borderId="0" xfId="5" applyNumberFormat="1" applyFont="1" applyAlignment="1">
      <alignment vertical="center"/>
    </xf>
    <xf numFmtId="0" fontId="9" fillId="10" borderId="0" xfId="2" applyFont="1" applyFill="1" applyAlignment="1">
      <alignment vertical="center"/>
    </xf>
    <xf numFmtId="3" fontId="9" fillId="10" borderId="0" xfId="2" applyNumberFormat="1" applyFont="1" applyFill="1" applyAlignment="1">
      <alignment vertical="center"/>
    </xf>
    <xf numFmtId="0" fontId="23" fillId="11" borderId="0" xfId="2" applyFont="1" applyFill="1" applyAlignment="1">
      <alignment vertical="center"/>
    </xf>
    <xf numFmtId="0" fontId="9" fillId="0" borderId="23" xfId="5" applyFont="1" applyBorder="1" applyAlignment="1">
      <alignment vertical="center"/>
    </xf>
    <xf numFmtId="0" fontId="9" fillId="0" borderId="24" xfId="5" applyFont="1" applyBorder="1" applyAlignment="1">
      <alignment vertical="center"/>
    </xf>
    <xf numFmtId="0" fontId="9" fillId="0" borderId="25" xfId="5" applyFont="1" applyBorder="1" applyAlignment="1">
      <alignment vertical="center"/>
    </xf>
    <xf numFmtId="0" fontId="9" fillId="0" borderId="26" xfId="5" applyFont="1" applyBorder="1" applyAlignment="1">
      <alignment vertical="center"/>
    </xf>
    <xf numFmtId="0" fontId="9" fillId="0" borderId="27" xfId="5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0" borderId="31" xfId="5" applyFont="1" applyBorder="1" applyAlignment="1">
      <alignment vertical="center"/>
    </xf>
    <xf numFmtId="0" fontId="9" fillId="0" borderId="32" xfId="5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11" borderId="0" xfId="2" applyFont="1" applyFill="1" applyAlignment="1">
      <alignment vertical="center"/>
    </xf>
    <xf numFmtId="0" fontId="9" fillId="12" borderId="0" xfId="2" applyFont="1" applyFill="1" applyAlignment="1">
      <alignment vertical="center"/>
    </xf>
    <xf numFmtId="37" fontId="9" fillId="0" borderId="0" xfId="2" applyNumberFormat="1" applyFont="1" applyAlignment="1">
      <alignment vertical="center"/>
    </xf>
    <xf numFmtId="0" fontId="9" fillId="13" borderId="0" xfId="2" applyFont="1" applyFill="1" applyAlignment="1">
      <alignment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37" fontId="4" fillId="0" borderId="18" xfId="2" applyNumberFormat="1" applyFont="1" applyBorder="1" applyAlignment="1">
      <alignment horizontal="right" vertical="center"/>
    </xf>
    <xf numFmtId="166" fontId="0" fillId="0" borderId="0" xfId="0" applyNumberFormat="1"/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/Users/Surace/SynologyDrive/UniBG/01.Dati%20per%20progetto/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/Users/Surace/SynologyDrive/UniBG/01.Dati%20per%20progetto/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C19" sqref="C19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98" t="s">
        <v>0</v>
      </c>
      <c r="C2" s="99"/>
    </row>
    <row r="3" spans="2:4" ht="15.6" customHeight="1">
      <c r="B3" s="108" t="s">
        <v>1</v>
      </c>
      <c r="C3" s="55" t="s">
        <v>2</v>
      </c>
    </row>
    <row r="4" spans="2:4" ht="15.6" customHeight="1">
      <c r="B4" s="109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workbookViewId="0">
      <selection activeCell="Q27" sqref="Q27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8" width="9.140625" customWidth="1"/>
    <col min="19" max="19" width="11.5703125" customWidth="1"/>
    <col min="20" max="16384" width="8.85546875" style="1"/>
  </cols>
  <sheetData>
    <row r="1" spans="2:20" ht="15.6" customHeight="1" thickBot="1"/>
    <row r="2" spans="2:20" ht="15" thickBot="1">
      <c r="B2" s="100" t="s">
        <v>49</v>
      </c>
      <c r="C2" s="101"/>
      <c r="D2" s="101"/>
      <c r="E2" s="101"/>
      <c r="F2" s="102"/>
      <c r="H2" s="100" t="s">
        <v>50</v>
      </c>
      <c r="I2" s="101"/>
      <c r="J2" s="101"/>
      <c r="K2" s="101"/>
      <c r="L2" s="101"/>
      <c r="M2" s="102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Q16">
        <f>PRODUCT(K9,L9)</f>
        <v>5158692</v>
      </c>
      <c r="S16" s="107">
        <f>SUM(D33:D40)</f>
        <v>18642746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Q17">
        <f t="shared" ref="Q17:Q22" si="0">PRODUCT(K10,L10)</f>
        <v>880421.99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Q18">
        <f t="shared" si="0"/>
        <v>1350540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Q19">
        <f t="shared" si="0"/>
        <v>23807898.300000001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  <c r="Q20">
        <f t="shared" si="0"/>
        <v>627842.5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  <c r="Q21">
        <f t="shared" si="0"/>
        <v>9861125.7999999989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  <c r="Q22">
        <f t="shared" si="0"/>
        <v>634204.1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  <c r="Q25">
        <f>SUM(Q16:Q22)</f>
        <v>42320724.689999998</v>
      </c>
      <c r="R25">
        <f>PRODUCT(Q25,0.82)</f>
        <v>34702994.245799996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  <c r="Q27">
        <f>PRODUCT(Q25,0.02)</f>
        <v>846414.49379999994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AJ59"/>
  <sheetViews>
    <sheetView showGridLines="0" topLeftCell="B1" zoomScale="90" zoomScaleNormal="90" workbookViewId="0">
      <selection activeCell="B33" sqref="B33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7" width="16.7109375" style="3" customWidth="1"/>
    <col min="18" max="18" width="9.28515625" style="3"/>
    <col min="19" max="19" width="11.140625" style="3" customWidth="1"/>
    <col min="20" max="23" width="9.28515625" style="3"/>
    <col min="24" max="24" width="10.140625" style="3" bestFit="1" customWidth="1"/>
    <col min="25" max="25" width="12.28515625" style="3" customWidth="1"/>
    <col min="26" max="30" width="9.28515625" style="3"/>
    <col min="31" max="31" width="24.7109375" style="3" customWidth="1"/>
    <col min="32" max="32" width="15.7109375" style="3" customWidth="1"/>
    <col min="33" max="33" width="11.28515625" style="3" customWidth="1"/>
    <col min="34" max="34" width="13.85546875" style="3" customWidth="1"/>
    <col min="35" max="35" width="8.85546875" style="3" customWidth="1"/>
    <col min="36" max="16384" width="9.28515625" style="3"/>
  </cols>
  <sheetData>
    <row r="1" spans="2:36" ht="15.6" customHeight="1" thickBot="1"/>
    <row r="2" spans="2:36" ht="15" thickBot="1">
      <c r="B2" s="103" t="s">
        <v>145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2:3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36" s="4" customFormat="1" ht="15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36" s="4" customFormat="1" ht="16.5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  <c r="Q5" s="4" t="s">
        <v>161</v>
      </c>
      <c r="S5" s="4" t="s">
        <v>162</v>
      </c>
      <c r="U5" s="4" t="s">
        <v>163</v>
      </c>
      <c r="X5" s="4" t="s">
        <v>164</v>
      </c>
      <c r="AE5" s="83" t="s">
        <v>165</v>
      </c>
      <c r="AF5" s="83" t="s">
        <v>161</v>
      </c>
      <c r="AG5" s="84"/>
      <c r="AH5" s="91" t="s">
        <v>162</v>
      </c>
      <c r="AI5" s="84"/>
      <c r="AJ5" s="85" t="s">
        <v>163</v>
      </c>
    </row>
    <row r="6" spans="2:36" s="4" customFormat="1" ht="15">
      <c r="B6" s="19" t="s">
        <v>166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  <c r="P6" s="4">
        <v>22</v>
      </c>
      <c r="Q6" s="4">
        <f>SUM(Ricavi!K9:K15)</f>
        <v>14624683</v>
      </c>
      <c r="S6" s="4">
        <f>SUM(Ricavi!K16:K31)</f>
        <v>6470002</v>
      </c>
      <c r="U6" s="4">
        <f>SUM(Ricavi!K32:K50)</f>
        <v>9655208.9900000002</v>
      </c>
      <c r="AE6" s="83">
        <v>2022</v>
      </c>
      <c r="AF6" s="83">
        <v>14624683</v>
      </c>
      <c r="AG6" s="84"/>
      <c r="AH6" s="91">
        <v>6470002</v>
      </c>
      <c r="AI6" s="84"/>
      <c r="AJ6" s="85">
        <v>9655208.9900000002</v>
      </c>
    </row>
    <row r="7" spans="2:36" s="4" customFormat="1" ht="15">
      <c r="B7" s="19" t="s">
        <v>167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  <c r="Q7" s="4">
        <f>SUM(PRODUCT(Q6,Q11,0.01),Q6)</f>
        <v>18642746</v>
      </c>
      <c r="AE7" s="86"/>
      <c r="AF7" s="86"/>
      <c r="AH7" s="92"/>
      <c r="AJ7" s="87"/>
    </row>
    <row r="8" spans="2:36" s="4" customFormat="1" ht="15">
      <c r="B8" s="21" t="s">
        <v>168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  <c r="P8" s="4">
        <v>21</v>
      </c>
      <c r="Q8" s="4">
        <f>SUM(Ricavi!D33:D40)</f>
        <v>18642746</v>
      </c>
      <c r="S8" s="4">
        <f>SUM(Ricavi!D41:D57)</f>
        <v>6692984</v>
      </c>
      <c r="U8" s="4">
        <f>SUM(Ricavi!D58:D76)</f>
        <v>9727258</v>
      </c>
      <c r="X8" s="58">
        <v>4214457.6500000004</v>
      </c>
      <c r="AE8" s="86">
        <v>2021</v>
      </c>
      <c r="AF8" s="86">
        <v>18642746</v>
      </c>
      <c r="AH8" s="92">
        <v>6692984</v>
      </c>
      <c r="AJ8" s="87">
        <v>9727258</v>
      </c>
    </row>
    <row r="9" spans="2:36" ht="16.5">
      <c r="B9" s="23" t="s">
        <v>169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  <c r="W9" s="3" t="s">
        <v>170</v>
      </c>
      <c r="X9" s="3">
        <f>PRODUCT(X8,61,0.01)</f>
        <v>2570819.1665000003</v>
      </c>
      <c r="AE9" s="88"/>
      <c r="AF9" s="88"/>
      <c r="AG9" s="89"/>
      <c r="AH9" s="93"/>
      <c r="AI9" s="89"/>
      <c r="AJ9" s="90"/>
    </row>
    <row r="10" spans="2:36" ht="15">
      <c r="B10" s="25" t="s">
        <v>171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  <c r="P10" s="78" t="s">
        <v>172</v>
      </c>
      <c r="W10" s="3" t="s">
        <v>173</v>
      </c>
      <c r="X10" s="3">
        <f>PRODUCT(X8,39,0.01)</f>
        <v>1643638.4835000003</v>
      </c>
    </row>
    <row r="11" spans="2:36">
      <c r="B11" s="25" t="s">
        <v>174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  <c r="P11" s="78" t="s">
        <v>175</v>
      </c>
      <c r="Q11" s="3">
        <f>SUM(PRODUCT(Q8,POWER(Q6, -1),100),-100)</f>
        <v>27.474530559055538</v>
      </c>
      <c r="S11" s="3">
        <f>SUM(PRODUCT(S8,POWER(S6, -1),100),-100)</f>
        <v>3.4463976981769235</v>
      </c>
      <c r="U11" s="3">
        <f>SUM(PRODUCT(U8,POWER(U6, -1),100),-100)</f>
        <v>0.74621906242133207</v>
      </c>
    </row>
    <row r="12" spans="2:36">
      <c r="B12" s="25" t="s">
        <v>167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81"/>
    </row>
    <row r="13" spans="2:36">
      <c r="B13" s="25" t="s">
        <v>176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  <c r="P13" s="80" t="s">
        <v>177</v>
      </c>
      <c r="Q13" s="79">
        <f>SUM(PRODUCT(O12,Q11,0.01),O12)</f>
        <v>2804439.6722992221</v>
      </c>
      <c r="S13" s="79">
        <f>SUM(PRODUCT(O11,S11,0.01),O11)</f>
        <v>2844775.9366998654</v>
      </c>
      <c r="U13" s="79">
        <f>SUM(PRODUCT(O10,U11,0.01),O10)</f>
        <v>918805.51784928259</v>
      </c>
    </row>
    <row r="14" spans="2:36">
      <c r="B14" s="27" t="s">
        <v>168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36">
      <c r="B15" s="25"/>
      <c r="O15" s="29"/>
      <c r="P15" s="3" t="s">
        <v>178</v>
      </c>
      <c r="Q15" s="77">
        <f>SUM(O10,O12,O11)</f>
        <v>5862000</v>
      </c>
      <c r="R15" s="3">
        <v>21</v>
      </c>
      <c r="S15" s="77">
        <f>SUM(Q13,S13,U13)</f>
        <v>6568021.1268483698</v>
      </c>
      <c r="W15" s="3" t="s">
        <v>179</v>
      </c>
      <c r="X15" s="3">
        <f>PRODUCT(X10,POWER(2.82,-1))</f>
        <v>582850.52606382989</v>
      </c>
    </row>
    <row r="16" spans="2:36">
      <c r="B16" s="25" t="s">
        <v>180</v>
      </c>
      <c r="O16" s="29"/>
      <c r="S16" s="3">
        <f>SUM(PRODUCT(S15,POWER(O13, -1),100),-100)</f>
        <v>82.44503130134359</v>
      </c>
      <c r="W16" s="3" t="s">
        <v>181</v>
      </c>
      <c r="X16" s="3">
        <f>SUM(X15,PRODUCT(X15, 0.82))</f>
        <v>1060787.9574361704</v>
      </c>
    </row>
    <row r="17" spans="2:24">
      <c r="B17" s="16" t="s">
        <v>182</v>
      </c>
      <c r="O17" s="29"/>
      <c r="X17" s="3">
        <f>SUM(X15,X16)</f>
        <v>1643638.4835000003</v>
      </c>
    </row>
    <row r="18" spans="2:24">
      <c r="B18" s="25" t="s">
        <v>183</v>
      </c>
      <c r="O18" s="29"/>
    </row>
    <row r="19" spans="2:24">
      <c r="B19" s="25" t="s">
        <v>184</v>
      </c>
      <c r="O19" s="29"/>
    </row>
    <row r="20" spans="2:24">
      <c r="B20" s="25"/>
      <c r="O20" s="29"/>
    </row>
    <row r="21" spans="2:24">
      <c r="B21" s="14" t="s">
        <v>14</v>
      </c>
      <c r="O21" s="29"/>
    </row>
    <row r="22" spans="2:24">
      <c r="B22" s="25" t="s">
        <v>185</v>
      </c>
      <c r="O22" s="29"/>
      <c r="Q22" s="3" t="s">
        <v>186</v>
      </c>
      <c r="R22" s="3">
        <v>0.16200000000000001</v>
      </c>
    </row>
    <row r="23" spans="2:24">
      <c r="B23" s="25"/>
      <c r="O23" s="29"/>
      <c r="Q23" s="3" t="s">
        <v>187</v>
      </c>
      <c r="R23" s="3">
        <v>0.28299999999999997</v>
      </c>
    </row>
    <row r="24" spans="2:24">
      <c r="B24" s="14" t="s">
        <v>15</v>
      </c>
      <c r="O24" s="29"/>
    </row>
    <row r="25" spans="2:24" ht="15">
      <c r="B25" s="25" t="s">
        <v>188</v>
      </c>
      <c r="O25" s="29"/>
      <c r="Q25" s="82" t="s">
        <v>189</v>
      </c>
      <c r="R25" s="3">
        <f>PRODUCT(R23,O14)</f>
        <v>2677745.9999999995</v>
      </c>
    </row>
    <row r="26" spans="2:24">
      <c r="B26" s="25" t="s">
        <v>190</v>
      </c>
      <c r="O26" s="29"/>
    </row>
    <row r="27" spans="2:24">
      <c r="B27" s="25"/>
      <c r="O27" s="29"/>
    </row>
    <row r="28" spans="2:24">
      <c r="B28" s="14" t="s">
        <v>191</v>
      </c>
      <c r="O28" s="29"/>
    </row>
    <row r="29" spans="2:24">
      <c r="B29" s="25" t="s">
        <v>192</v>
      </c>
      <c r="O29" s="29"/>
    </row>
    <row r="30" spans="2:24">
      <c r="B30" s="25" t="s">
        <v>193</v>
      </c>
      <c r="O30" s="29"/>
    </row>
    <row r="31" spans="2:24">
      <c r="B31" s="25" t="s">
        <v>194</v>
      </c>
      <c r="O31" s="29"/>
      <c r="Q31" s="3">
        <f>SUM(S8,U8,)</f>
        <v>16420242</v>
      </c>
    </row>
    <row r="32" spans="2:24">
      <c r="B32" s="25"/>
      <c r="O32" s="29"/>
      <c r="Q32" s="3">
        <f>SUM(S8,U8,Q8)</f>
        <v>35062988</v>
      </c>
    </row>
    <row r="33" spans="2:25">
      <c r="B33" s="14" t="s">
        <v>18</v>
      </c>
      <c r="O33" s="29"/>
    </row>
    <row r="34" spans="2:25" ht="15" thickBot="1">
      <c r="B34" s="30" t="s">
        <v>195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" t="s">
        <v>196</v>
      </c>
      <c r="Q34" s="3">
        <f>PRODUCT(100,Q49, POWER(S49,-1))</f>
        <v>47.484327032007684</v>
      </c>
      <c r="R34" s="3" t="s">
        <v>197</v>
      </c>
      <c r="S34" s="3">
        <f>PRODUCT(100,R49, POWER(S49,-1))</f>
        <v>52.515672967992302</v>
      </c>
    </row>
    <row r="36" spans="2:25">
      <c r="O36" s="3" t="s">
        <v>198</v>
      </c>
      <c r="P36" s="3">
        <f>PRODUCT(X9,Q34,0.01)</f>
        <v>1220736.1804223943</v>
      </c>
    </row>
    <row r="37" spans="2:25">
      <c r="O37" s="3" t="s">
        <v>199</v>
      </c>
      <c r="P37" s="3">
        <f>PRODUCT(X9,S34,0.01)</f>
        <v>1350082.9860776057</v>
      </c>
    </row>
    <row r="44" spans="2:25">
      <c r="X44" s="3">
        <f>SUM(S11,U11)</f>
        <v>4.1926167605982556</v>
      </c>
      <c r="Y44" s="3">
        <f>SUM(U6,S6)</f>
        <v>16125210.99</v>
      </c>
    </row>
    <row r="48" spans="2:25">
      <c r="Q48" s="3" t="s">
        <v>200</v>
      </c>
      <c r="R48" s="3" t="s">
        <v>201</v>
      </c>
    </row>
    <row r="49" spans="15:19">
      <c r="O49" s="3" t="s">
        <v>202</v>
      </c>
      <c r="Q49" s="3">
        <f>PRODUCT(O7,1.2747)</f>
        <v>2166.9899999999998</v>
      </c>
      <c r="R49" s="3">
        <f>PRODUCT(O6,1.042)</f>
        <v>2396.6</v>
      </c>
      <c r="S49" s="3">
        <f>SUM(Q49,R49)</f>
        <v>4563.59</v>
      </c>
    </row>
    <row r="50" spans="15:19">
      <c r="O50" s="3" t="s">
        <v>203</v>
      </c>
      <c r="Q50" s="97">
        <f>PRODUCT(P36,POWER(Q49,-1))</f>
        <v>563.33263209446955</v>
      </c>
      <c r="R50" s="97">
        <f>PRODUCT(P37,POWER(R49,-1))</f>
        <v>563.33263209446966</v>
      </c>
    </row>
    <row r="52" spans="15:19">
      <c r="O52" s="3" t="s">
        <v>204</v>
      </c>
      <c r="Q52" s="3">
        <f>PRODUCT(Q50,2.2)</f>
        <v>1239.331790607833</v>
      </c>
    </row>
    <row r="54" spans="15:19">
      <c r="O54" s="94" t="s">
        <v>205</v>
      </c>
      <c r="P54" s="3">
        <f>PRODUCT(Q52,O8)</f>
        <v>4957327.1624313323</v>
      </c>
    </row>
    <row r="58" spans="15:19">
      <c r="O58" s="95" t="s">
        <v>13</v>
      </c>
    </row>
    <row r="59" spans="15:19">
      <c r="O59" s="3">
        <f>SUM(R25,P54)</f>
        <v>7635073.1624313314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E6" sqref="E5:F6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100" t="s">
        <v>206</v>
      </c>
      <c r="C2" s="101"/>
      <c r="D2" s="101"/>
      <c r="E2" s="101"/>
      <c r="F2" s="102"/>
    </row>
    <row r="3" spans="2:6">
      <c r="B3" s="33" t="s">
        <v>21</v>
      </c>
      <c r="F3" s="43"/>
    </row>
    <row r="4" spans="2:6">
      <c r="B4" s="34" t="s">
        <v>207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208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209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209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209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209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209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209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209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20" sqref="B20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210</v>
      </c>
    </row>
    <row r="3" spans="2:2">
      <c r="B3" s="39" t="s">
        <v>33</v>
      </c>
    </row>
    <row r="4" spans="2:2">
      <c r="B4" s="40" t="s">
        <v>211</v>
      </c>
    </row>
    <row r="5" spans="2:2">
      <c r="B5" s="40"/>
    </row>
    <row r="6" spans="2:2">
      <c r="B6" s="39" t="s">
        <v>34</v>
      </c>
    </row>
    <row r="7" spans="2:2">
      <c r="B7" s="40" t="s">
        <v>211</v>
      </c>
    </row>
    <row r="8" spans="2:2">
      <c r="B8" s="40"/>
    </row>
    <row r="9" spans="2:2">
      <c r="B9" s="39" t="s">
        <v>35</v>
      </c>
    </row>
    <row r="10" spans="2:2">
      <c r="B10" s="41" t="s">
        <v>212</v>
      </c>
    </row>
    <row r="11" spans="2:2">
      <c r="B11" s="41"/>
    </row>
    <row r="12" spans="2:2">
      <c r="B12" s="39" t="s">
        <v>38</v>
      </c>
    </row>
    <row r="13" spans="2:2">
      <c r="B13" s="40" t="s">
        <v>213</v>
      </c>
    </row>
    <row r="14" spans="2:2">
      <c r="B14" s="40"/>
    </row>
    <row r="15" spans="2:2">
      <c r="B15" s="39" t="s">
        <v>39</v>
      </c>
    </row>
    <row r="16" spans="2:2">
      <c r="B16" s="40" t="s">
        <v>214</v>
      </c>
    </row>
    <row r="17" spans="2:2">
      <c r="B17" s="40"/>
    </row>
    <row r="18" spans="2:2">
      <c r="B18" s="39" t="s">
        <v>42</v>
      </c>
    </row>
    <row r="19" spans="2:2">
      <c r="B19" s="40" t="s">
        <v>215</v>
      </c>
    </row>
    <row r="20" spans="2:2">
      <c r="B20" s="40"/>
    </row>
    <row r="21" spans="2:2">
      <c r="B21" s="39" t="s">
        <v>43</v>
      </c>
    </row>
    <row r="22" spans="2:2">
      <c r="B22" s="40" t="s">
        <v>216</v>
      </c>
    </row>
    <row r="23" spans="2:2">
      <c r="B23" s="40"/>
    </row>
    <row r="24" spans="2:2">
      <c r="B24" s="39" t="s">
        <v>44</v>
      </c>
    </row>
    <row r="25" spans="2:2">
      <c r="B25" s="41" t="s">
        <v>217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E172"/>
  <sheetViews>
    <sheetView tabSelected="1" zoomScale="85" zoomScaleNormal="85" workbookViewId="0">
      <selection activeCell="B36" sqref="B36"/>
    </sheetView>
  </sheetViews>
  <sheetFormatPr defaultRowHeight="14.45"/>
  <cols>
    <col min="1" max="1" width="45.42578125" bestFit="1" customWidth="1"/>
    <col min="2" max="2" width="13.28515625" bestFit="1" customWidth="1"/>
    <col min="4" max="4" width="22.140625" customWidth="1"/>
    <col min="7" max="7" width="56.5703125" customWidth="1"/>
    <col min="13" max="13" width="9.28515625" bestFit="1" customWidth="1"/>
  </cols>
  <sheetData>
    <row r="1" spans="1:57" ht="18">
      <c r="A1" s="98" t="s">
        <v>0</v>
      </c>
      <c r="B1" s="99"/>
      <c r="Z1">
        <f>PRODUCT(Ricavi!K4,Ricavi!L4)</f>
        <v>239120.90000000002</v>
      </c>
    </row>
    <row r="2" spans="1:57">
      <c r="A2" s="108" t="s">
        <v>1</v>
      </c>
      <c r="B2" s="55" t="s">
        <v>219</v>
      </c>
      <c r="D2" s="55" t="s">
        <v>172</v>
      </c>
    </row>
    <row r="3" spans="1:57">
      <c r="A3" s="109"/>
      <c r="B3" s="56" t="s">
        <v>3</v>
      </c>
      <c r="D3" s="56" t="s">
        <v>220</v>
      </c>
    </row>
    <row r="4" spans="1:57" ht="15">
      <c r="A4" s="57" t="s">
        <v>4</v>
      </c>
      <c r="B4" s="58">
        <v>67573652.457800001</v>
      </c>
      <c r="D4" s="58">
        <f>SUM(B4,-('CE 2021'!C5))</f>
        <v>6269451.7350000292</v>
      </c>
      <c r="G4" t="s">
        <v>221</v>
      </c>
    </row>
    <row r="5" spans="1:57">
      <c r="A5" s="59" t="s">
        <v>5</v>
      </c>
      <c r="B5" s="58">
        <v>0</v>
      </c>
      <c r="D5" s="58">
        <f>SUM(B5,-('CE 2021'!C6))</f>
        <v>-528226.62545000017</v>
      </c>
    </row>
    <row r="6" spans="1:57">
      <c r="A6" s="73" t="s">
        <v>6</v>
      </c>
      <c r="B6" s="75">
        <v>2489618.9618799998</v>
      </c>
      <c r="D6" s="72">
        <f>SUM(B6,-('CE 2021'!C7))</f>
        <v>612028.60988000012</v>
      </c>
      <c r="G6" t="s">
        <v>222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>
      <c r="A7" s="57" t="s">
        <v>7</v>
      </c>
      <c r="B7" s="58">
        <v>0</v>
      </c>
      <c r="D7" s="58">
        <f>SUM(B7,-('CE 2021'!C8))</f>
        <v>-120000</v>
      </c>
    </row>
    <row r="8" spans="1:57">
      <c r="A8" s="57" t="s">
        <v>8</v>
      </c>
      <c r="B8" s="58">
        <v>0</v>
      </c>
      <c r="D8" s="58">
        <f>SUM(B8,-('CE 2021'!C9))</f>
        <v>-500000</v>
      </c>
    </row>
    <row r="9" spans="1:57">
      <c r="A9" s="60" t="s">
        <v>9</v>
      </c>
      <c r="B9" s="61">
        <f>+SUM(B4:B8)</f>
        <v>70063271.419679999</v>
      </c>
      <c r="D9" s="61">
        <f>SUM(B9,-('CE 2021'!C10))</f>
        <v>5733253.7194300294</v>
      </c>
    </row>
    <row r="10" spans="1:57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223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>
      <c r="A11" s="57" t="s">
        <v>11</v>
      </c>
      <c r="B11" s="58">
        <v>0</v>
      </c>
      <c r="D11" s="58">
        <f>SUM(B11,-('CE 2021'!C12))</f>
        <v>-2500000</v>
      </c>
      <c r="G11" s="76" t="s">
        <v>224</v>
      </c>
    </row>
    <row r="12" spans="1:57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 ht="15">
      <c r="A13" s="57" t="s">
        <v>13</v>
      </c>
      <c r="B13" s="96">
        <v>-7635073</v>
      </c>
      <c r="D13" s="58">
        <f>SUM(B13,-('CE 2021'!C14))</f>
        <v>-3420615.3499999996</v>
      </c>
    </row>
    <row r="14" spans="1:57">
      <c r="A14" s="57" t="s">
        <v>14</v>
      </c>
      <c r="B14" s="58">
        <v>-153750</v>
      </c>
      <c r="D14" s="58">
        <f>SUM(B14,-('CE 2021'!C15))</f>
        <v>-3750</v>
      </c>
      <c r="G14" s="25" t="s">
        <v>185</v>
      </c>
      <c r="L14">
        <f>SUM(M15,L15)</f>
        <v>487571.81659319997</v>
      </c>
      <c r="M14">
        <v>487571.81659320003</v>
      </c>
    </row>
    <row r="15" spans="1:57">
      <c r="A15" s="57" t="s">
        <v>15</v>
      </c>
      <c r="B15" s="58">
        <v>-165122.16053759999</v>
      </c>
      <c r="D15" s="58">
        <f>SUM(B15,-('CE 2021'!C16))</f>
        <v>539877.83946239995</v>
      </c>
      <c r="F15" t="s">
        <v>225</v>
      </c>
      <c r="G15" s="25" t="s">
        <v>226</v>
      </c>
      <c r="H15" t="s">
        <v>227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>
      <c r="A16" s="60" t="s">
        <v>16</v>
      </c>
      <c r="B16" s="61">
        <f>SUM(B13:B15)</f>
        <v>-7953945.1605375996</v>
      </c>
      <c r="D16" s="61">
        <f>SUM(B16,-('CE 2021'!C17))</f>
        <v>-2884487.5105375992</v>
      </c>
    </row>
    <row r="17" spans="1:16">
      <c r="A17" s="57" t="s">
        <v>17</v>
      </c>
      <c r="B17" s="106">
        <v>-1055562.2861009999</v>
      </c>
      <c r="D17" s="58">
        <f>SUM(B17,-('CE 2021'!C18))</f>
        <v>-60108.112100999919</v>
      </c>
      <c r="F17" t="s">
        <v>225</v>
      </c>
      <c r="G17" s="25" t="s">
        <v>228</v>
      </c>
      <c r="H17" t="s">
        <v>229</v>
      </c>
      <c r="K17" t="s">
        <v>230</v>
      </c>
      <c r="L17">
        <f>PRODUCT(0.001,SUM(Ricavi!K4:K51))</f>
        <v>34072.535990000004</v>
      </c>
      <c r="M17" t="s">
        <v>231</v>
      </c>
      <c r="N17">
        <f>PRODUCT(L17,29.9)</f>
        <v>1018768.8261010001</v>
      </c>
      <c r="O17" t="s">
        <v>232</v>
      </c>
      <c r="P17">
        <f>SUM(N17,PRODUCT(Ricavi!K52,Ricavi!L52))</f>
        <v>1055562.2861010002</v>
      </c>
    </row>
    <row r="18" spans="1:16">
      <c r="A18" s="57" t="s">
        <v>18</v>
      </c>
      <c r="B18" s="58">
        <v>-846414.49380000005</v>
      </c>
      <c r="D18" s="58">
        <f>SUM(B18,-('CE 2021'!C19))</f>
        <v>-296414.49380000005</v>
      </c>
    </row>
    <row r="19" spans="1:16">
      <c r="A19" s="60" t="s">
        <v>19</v>
      </c>
      <c r="B19" s="61">
        <f>SUM(B17:B18)</f>
        <v>-1901976.779901</v>
      </c>
      <c r="D19" s="61">
        <f>SUM(B19,-('CE 2021'!C20))</f>
        <v>-356522.60590099986</v>
      </c>
    </row>
    <row r="20" spans="1:16">
      <c r="A20" s="62" t="s">
        <v>20</v>
      </c>
      <c r="B20" s="63">
        <f>+B9+B12+B16+B19</f>
        <v>7576817.4983358961</v>
      </c>
      <c r="D20" s="63">
        <f>SUM(B20,-('CE 2021'!C21))</f>
        <v>-3261186.4591590632</v>
      </c>
    </row>
    <row r="21" spans="1:16">
      <c r="A21" s="57" t="s">
        <v>21</v>
      </c>
      <c r="B21" s="58">
        <v>-5575785.9100000001</v>
      </c>
      <c r="D21" s="58">
        <f>SUM(B21,-('CE 2021'!C22))</f>
        <v>-65000</v>
      </c>
      <c r="F21" t="s">
        <v>233</v>
      </c>
      <c r="G21" t="s">
        <v>234</v>
      </c>
    </row>
    <row r="22" spans="1:16">
      <c r="A22" s="57" t="s">
        <v>22</v>
      </c>
      <c r="B22" s="58">
        <v>-1050000</v>
      </c>
      <c r="D22" s="58">
        <f>SUM(B22,-('CE 2021'!C23))</f>
        <v>150000</v>
      </c>
      <c r="G22" s="74" t="s">
        <v>208</v>
      </c>
    </row>
    <row r="23" spans="1:16">
      <c r="A23" s="57" t="s">
        <v>23</v>
      </c>
      <c r="B23" s="58">
        <v>-307500</v>
      </c>
      <c r="D23" s="58">
        <f>SUM(B23,-('CE 2021'!C24))</f>
        <v>-7500</v>
      </c>
      <c r="G23" s="25" t="s">
        <v>209</v>
      </c>
    </row>
    <row r="24" spans="1:16">
      <c r="A24" s="57" t="s">
        <v>24</v>
      </c>
      <c r="B24" s="58">
        <v>-151700</v>
      </c>
      <c r="D24" s="58">
        <f>SUM(B24,-('CE 2021'!C25))</f>
        <v>-3700</v>
      </c>
      <c r="G24" s="25" t="s">
        <v>209</v>
      </c>
    </row>
    <row r="25" spans="1:16">
      <c r="A25" s="57" t="s">
        <v>25</v>
      </c>
      <c r="B25" s="58">
        <v>-309550</v>
      </c>
      <c r="D25" s="58">
        <f>SUM(B25,-('CE 2021'!C26))</f>
        <v>-7550</v>
      </c>
      <c r="G25" s="25" t="s">
        <v>209</v>
      </c>
    </row>
    <row r="26" spans="1:16">
      <c r="A26" s="57" t="s">
        <v>26</v>
      </c>
      <c r="B26" s="58">
        <v>-212175</v>
      </c>
      <c r="D26" s="58">
        <f>SUM(B26,-('CE 2021'!C27))</f>
        <v>-5175</v>
      </c>
      <c r="G26" s="25" t="s">
        <v>209</v>
      </c>
    </row>
    <row r="27" spans="1:16">
      <c r="A27" s="60" t="s">
        <v>27</v>
      </c>
      <c r="B27" s="61">
        <f>SUM(B21:B26)</f>
        <v>-7606710.9100000001</v>
      </c>
      <c r="D27" s="61">
        <f>SUM(B27,-('CE 2021'!C28))</f>
        <v>61075</v>
      </c>
    </row>
    <row r="28" spans="1:16">
      <c r="A28" s="57" t="s">
        <v>28</v>
      </c>
      <c r="B28" s="58">
        <v>-563750</v>
      </c>
      <c r="D28" s="58">
        <f>SUM(B28,-('CE 2021'!C29))</f>
        <v>-13750</v>
      </c>
      <c r="G28" s="25" t="s">
        <v>209</v>
      </c>
    </row>
    <row r="29" spans="1:16">
      <c r="A29" s="57" t="s">
        <v>29</v>
      </c>
      <c r="B29" s="58">
        <v>-307500</v>
      </c>
      <c r="D29" s="58">
        <f>SUM(B29,-('CE 2021'!C30))</f>
        <v>-7500</v>
      </c>
      <c r="G29" s="25" t="s">
        <v>209</v>
      </c>
    </row>
    <row r="30" spans="1:16">
      <c r="A30" s="57" t="s">
        <v>30</v>
      </c>
      <c r="B30" s="58">
        <v>-102500</v>
      </c>
      <c r="D30" s="58">
        <f>SUM(B30,-('CE 2021'!C31))</f>
        <v>-2500</v>
      </c>
      <c r="G30" s="30" t="s">
        <v>209</v>
      </c>
    </row>
    <row r="31" spans="1:16">
      <c r="A31" s="60" t="s">
        <v>31</v>
      </c>
      <c r="B31" s="61">
        <f>SUM(B28:B30)</f>
        <v>-973750</v>
      </c>
      <c r="D31" s="61">
        <f>SUM(B31,-('CE 2021'!C32))</f>
        <v>-23750</v>
      </c>
    </row>
    <row r="32" spans="1:16">
      <c r="A32" s="64" t="s">
        <v>32</v>
      </c>
      <c r="B32" s="65">
        <f>+B20+B27+B31</f>
        <v>-1003643.4116641041</v>
      </c>
      <c r="D32" s="65">
        <f>SUM(B32,-('CE 2021'!C33))</f>
        <v>-3223861.4591590632</v>
      </c>
    </row>
    <row r="33" spans="1:7">
      <c r="A33" s="59" t="s">
        <v>33</v>
      </c>
      <c r="B33" s="58">
        <v>-200000</v>
      </c>
      <c r="D33" s="58">
        <f>SUM(B33,-('CE 2021'!C34))</f>
        <v>0</v>
      </c>
      <c r="G33" t="s">
        <v>235</v>
      </c>
    </row>
    <row r="34" spans="1:7">
      <c r="A34" s="57" t="s">
        <v>34</v>
      </c>
      <c r="B34" s="58">
        <v>-750000</v>
      </c>
      <c r="D34" s="58">
        <f>SUM(B34,-('CE 2021'!C35))</f>
        <v>0</v>
      </c>
      <c r="G34" t="s">
        <v>235</v>
      </c>
    </row>
    <row r="35" spans="1:7">
      <c r="A35" s="57" t="s">
        <v>35</v>
      </c>
      <c r="B35" s="58">
        <v>0</v>
      </c>
      <c r="D35" s="58">
        <f>SUM(B35,-('CE 2021'!C36))</f>
        <v>25000</v>
      </c>
      <c r="G35" t="s">
        <v>236</v>
      </c>
    </row>
    <row r="36" spans="1:7">
      <c r="A36" s="60" t="s">
        <v>36</v>
      </c>
      <c r="B36" s="61">
        <f>SUM(B33:B35)</f>
        <v>-950000</v>
      </c>
      <c r="D36" s="61">
        <f>SUM(B36,-('CE 2021'!C37))</f>
        <v>25000</v>
      </c>
    </row>
    <row r="37" spans="1:7">
      <c r="A37" s="62" t="s">
        <v>37</v>
      </c>
      <c r="B37" s="63">
        <f>+B32+B36</f>
        <v>-1953643.4116641041</v>
      </c>
      <c r="D37" s="63">
        <f>SUM(B37,-('CE 2021'!C38))</f>
        <v>-3198861.4591590632</v>
      </c>
    </row>
    <row r="38" spans="1:7">
      <c r="A38" s="57" t="s">
        <v>38</v>
      </c>
      <c r="B38" s="58">
        <v>-142936</v>
      </c>
      <c r="D38" s="58">
        <f>SUM(B38,-('CE 2021'!C39))</f>
        <v>-2802.960000000021</v>
      </c>
      <c r="G38" t="s">
        <v>237</v>
      </c>
    </row>
    <row r="39" spans="1:7">
      <c r="A39" s="57" t="s">
        <v>39</v>
      </c>
      <c r="B39" s="58">
        <v>0</v>
      </c>
      <c r="D39" s="58">
        <f>SUM(B39,-('CE 2021'!C40))</f>
        <v>-3543.6200000000003</v>
      </c>
      <c r="G39" t="s">
        <v>236</v>
      </c>
    </row>
    <row r="40" spans="1:7">
      <c r="A40" s="60" t="s">
        <v>40</v>
      </c>
      <c r="B40" s="61">
        <f>SUM(B38:B39)</f>
        <v>-142936</v>
      </c>
      <c r="D40" s="61">
        <f>SUM(B40,-('CE 2021'!C41))</f>
        <v>-6346.5800000000163</v>
      </c>
    </row>
    <row r="41" spans="1:7">
      <c r="A41" s="62" t="s">
        <v>41</v>
      </c>
      <c r="B41" s="63">
        <f>+B37+B40</f>
        <v>-2096579.4116641041</v>
      </c>
      <c r="D41" s="63">
        <f>SUM(B41,-('CE 2021'!C42))</f>
        <v>-3205208.0391590632</v>
      </c>
    </row>
    <row r="42" spans="1:7">
      <c r="A42" s="57" t="s">
        <v>42</v>
      </c>
      <c r="B42" s="58">
        <v>0</v>
      </c>
      <c r="D42" s="58">
        <f>SUM(B42,-('CE 2021'!C43))</f>
        <v>130503.97</v>
      </c>
      <c r="G42" t="s">
        <v>236</v>
      </c>
    </row>
    <row r="43" spans="1:7">
      <c r="A43" s="57" t="s">
        <v>43</v>
      </c>
      <c r="B43" s="58">
        <v>0</v>
      </c>
      <c r="D43" s="58">
        <f>SUM(B43,-('CE 2021'!C44))</f>
        <v>-688311.36</v>
      </c>
      <c r="G43" t="s">
        <v>236</v>
      </c>
    </row>
    <row r="44" spans="1:7">
      <c r="A44" s="57" t="s">
        <v>44</v>
      </c>
      <c r="B44" s="58">
        <v>0</v>
      </c>
      <c r="D44" s="58">
        <f>SUM(B44,-('CE 2021'!C45))</f>
        <v>0</v>
      </c>
      <c r="G44" t="s">
        <v>236</v>
      </c>
    </row>
    <row r="45" spans="1:7">
      <c r="A45" s="60" t="s">
        <v>45</v>
      </c>
      <c r="B45" s="61">
        <f>SUM(B42:B44)</f>
        <v>0</v>
      </c>
      <c r="D45" s="61">
        <f>SUM(B45,-('CE 2021'!C46))</f>
        <v>-557807.39</v>
      </c>
    </row>
    <row r="46" spans="1:7">
      <c r="A46" s="62" t="s">
        <v>46</v>
      </c>
      <c r="B46" s="63">
        <f>+B45+B41</f>
        <v>-2096579.4116641041</v>
      </c>
      <c r="D46" s="63">
        <f>SUM(B46,-('CE 2021'!C47))</f>
        <v>-3763015.4291590634</v>
      </c>
    </row>
    <row r="47" spans="1:7">
      <c r="A47" s="57" t="s">
        <v>47</v>
      </c>
      <c r="B47" s="58">
        <v>0</v>
      </c>
      <c r="D47" s="58">
        <f>SUM(B47,-('CE 2021'!C48))</f>
        <v>543575.55808764149</v>
      </c>
      <c r="G47" t="s">
        <v>238</v>
      </c>
    </row>
    <row r="48" spans="1:7">
      <c r="A48" s="62" t="s">
        <v>48</v>
      </c>
      <c r="B48" s="63">
        <f>+B47+B46</f>
        <v>-2096579.4116641041</v>
      </c>
      <c r="D48" s="63">
        <f>SUM(B48,-('CE 2021'!C49))</f>
        <v>-3219439.871071422</v>
      </c>
    </row>
    <row r="98" spans="8:11">
      <c r="I98">
        <f>SUM(I99,-I100)</f>
        <v>992101.69629999995</v>
      </c>
    </row>
    <row r="99" spans="8:11">
      <c r="H99">
        <f>PRODUCT(Ricavi!D78,Ricavi!E78)</f>
        <v>9763</v>
      </c>
      <c r="I99">
        <v>1001864.6963</v>
      </c>
      <c r="J99">
        <f>SUM(K99:K172)</f>
        <v>1001864.6963</v>
      </c>
      <c r="K99">
        <f>PRODUCT(Ricavi!D4*0.026)</f>
        <v>0.52</v>
      </c>
    </row>
    <row r="100" spans="8:11">
      <c r="I100">
        <v>9763</v>
      </c>
      <c r="K100">
        <f>PRODUCT(Ricavi!D5*0.026)</f>
        <v>2548.7103200000001</v>
      </c>
    </row>
    <row r="101" spans="8:11">
      <c r="K101">
        <f>PRODUCT(Ricavi!D6*0.026)</f>
        <v>1109.5851</v>
      </c>
    </row>
    <row r="102" spans="8:11">
      <c r="K102">
        <f>PRODUCT(Ricavi!D7*0.026)</f>
        <v>582.04952000000003</v>
      </c>
    </row>
    <row r="103" spans="8:11">
      <c r="K103">
        <f>PRODUCT(Ricavi!D8*0.026)</f>
        <v>0.19603999999999999</v>
      </c>
    </row>
    <row r="104" spans="8:11">
      <c r="K104">
        <f>PRODUCT(Ricavi!D9*0.026)</f>
        <v>63.18857999999998</v>
      </c>
    </row>
    <row r="105" spans="8:11">
      <c r="K105">
        <f>PRODUCT(Ricavi!D10*0.026)</f>
        <v>6.5</v>
      </c>
    </row>
    <row r="106" spans="8:11">
      <c r="K106">
        <f>PRODUCT(Ricavi!D11*0.026)</f>
        <v>111.00569999999999</v>
      </c>
    </row>
    <row r="107" spans="8:11">
      <c r="K107">
        <f>PRODUCT(Ricavi!D12*0.026)</f>
        <v>126.47362</v>
      </c>
    </row>
    <row r="108" spans="8:11">
      <c r="K108">
        <f>PRODUCT(Ricavi!D13*0.026)</f>
        <v>8.7729200000000009</v>
      </c>
    </row>
    <row r="109" spans="8:11">
      <c r="K109">
        <f>PRODUCT(Ricavi!D14*0.026)</f>
        <v>4.107219999999999</v>
      </c>
    </row>
    <row r="110" spans="8:11">
      <c r="K110">
        <f>PRODUCT(Ricavi!D15*0.026)</f>
        <v>233.78888000000001</v>
      </c>
    </row>
    <row r="111" spans="8:11">
      <c r="K111">
        <f>PRODUCT(Ricavi!D16*0.026)</f>
        <v>2.1728199999999998</v>
      </c>
    </row>
    <row r="112" spans="8:11">
      <c r="K112">
        <f>PRODUCT(Ricavi!D17*0.026)</f>
        <v>49.90829999999999</v>
      </c>
    </row>
    <row r="113" spans="11:11">
      <c r="K113">
        <f>PRODUCT(Ricavi!D18*0.026)</f>
        <v>771.72523999999999</v>
      </c>
    </row>
    <row r="114" spans="11:11">
      <c r="K114">
        <f>PRODUCT(Ricavi!D19*0.026)</f>
        <v>36.165219999999998</v>
      </c>
    </row>
    <row r="115" spans="11:11">
      <c r="K115">
        <f>PRODUCT(Ricavi!D20*0.026)</f>
        <v>260.54860000000002</v>
      </c>
    </row>
    <row r="116" spans="11:11">
      <c r="K116">
        <f>PRODUCT(Ricavi!D21*0.026)</f>
        <v>291.86014</v>
      </c>
    </row>
    <row r="117" spans="11:11">
      <c r="K117">
        <f>PRODUCT(Ricavi!D22*0.026)</f>
        <v>0.13467999999999999</v>
      </c>
    </row>
    <row r="118" spans="11:11">
      <c r="K118">
        <f>PRODUCT(Ricavi!D23*0.026)</f>
        <v>4.4200000000000003E-3</v>
      </c>
    </row>
    <row r="119" spans="11:11">
      <c r="K119">
        <f>PRODUCT(Ricavi!D24*0.026)</f>
        <v>45.490380000000002</v>
      </c>
    </row>
    <row r="120" spans="11:11">
      <c r="K120">
        <f>PRODUCT(Ricavi!D25*0.026)</f>
        <v>0.68327999999999989</v>
      </c>
    </row>
    <row r="121" spans="11:11">
      <c r="K121">
        <f>PRODUCT(Ricavi!D26*0.026)</f>
        <v>1.04</v>
      </c>
    </row>
    <row r="122" spans="11:11">
      <c r="K122">
        <f>PRODUCT(Ricavi!D27*0.026)</f>
        <v>0.30731999999999998</v>
      </c>
    </row>
    <row r="123" spans="11:11">
      <c r="K123">
        <f>PRODUCT(Ricavi!D28*0.026)</f>
        <v>50054.237999999998</v>
      </c>
    </row>
    <row r="124" spans="11:11">
      <c r="K124">
        <f>PRODUCT(Ricavi!D29*0.026)</f>
        <v>6725.16</v>
      </c>
    </row>
    <row r="125" spans="11:11">
      <c r="K125">
        <f>PRODUCT(Ricavi!D30*0.026)</f>
        <v>19897.227999999999</v>
      </c>
    </row>
    <row r="126" spans="11:11">
      <c r="K126">
        <f>PRODUCT(Ricavi!D31*0.026)</f>
        <v>5438.42</v>
      </c>
    </row>
    <row r="127" spans="11:11">
      <c r="K127">
        <f>PRODUCT(Ricavi!D32*0.026)</f>
        <v>1701.4399999999998</v>
      </c>
    </row>
    <row r="128" spans="11:11">
      <c r="K128">
        <f>PRODUCT(Ricavi!D33*0.026)</f>
        <v>393.56199999999995</v>
      </c>
    </row>
    <row r="129" spans="11:11">
      <c r="K129">
        <f>PRODUCT(Ricavi!D34*0.026)</f>
        <v>69026.334000000003</v>
      </c>
    </row>
    <row r="130" spans="11:11">
      <c r="K130">
        <f>PRODUCT(Ricavi!D35*0.026)</f>
        <v>8494.1999999999989</v>
      </c>
    </row>
    <row r="131" spans="11:11">
      <c r="K131">
        <f>PRODUCT(Ricavi!D36*0.026)</f>
        <v>30923.75</v>
      </c>
    </row>
    <row r="132" spans="11:11">
      <c r="K132">
        <f>PRODUCT(Ricavi!D37*0.026)</f>
        <v>254697.94999999998</v>
      </c>
    </row>
    <row r="133" spans="11:11">
      <c r="K133">
        <f>PRODUCT(Ricavi!D38*0.026)</f>
        <v>6536.4</v>
      </c>
    </row>
    <row r="134" spans="11:11">
      <c r="K134">
        <f>PRODUCT(Ricavi!D39*0.026)</f>
        <v>100107.79999999999</v>
      </c>
    </row>
    <row r="135" spans="11:11">
      <c r="K135">
        <f>PRODUCT(Ricavi!D40*0.026)</f>
        <v>14531.4</v>
      </c>
    </row>
    <row r="136" spans="11:11">
      <c r="K136">
        <f>PRODUCT(Ricavi!D41*0.026)</f>
        <v>13957.58</v>
      </c>
    </row>
    <row r="137" spans="11:11">
      <c r="K137">
        <f>PRODUCT(Ricavi!D42*0.026)</f>
        <v>61140.793999999994</v>
      </c>
    </row>
    <row r="138" spans="11:11">
      <c r="K138">
        <f>PRODUCT(Ricavi!D43*0.026)</f>
        <v>20724.131999999998</v>
      </c>
    </row>
    <row r="139" spans="11:11">
      <c r="K139">
        <f>PRODUCT(Ricavi!D44*0.026)</f>
        <v>23842.649999999998</v>
      </c>
    </row>
    <row r="140" spans="11:11">
      <c r="K140">
        <f>PRODUCT(Ricavi!D45*0.026)</f>
        <v>15955.939999999999</v>
      </c>
    </row>
    <row r="141" spans="11:11">
      <c r="K141">
        <f>PRODUCT(Ricavi!D46*0.026)</f>
        <v>3720.21</v>
      </c>
    </row>
    <row r="142" spans="11:11">
      <c r="K142">
        <f>PRODUCT(Ricavi!D47*0.026)</f>
        <v>95.55</v>
      </c>
    </row>
    <row r="143" spans="11:11">
      <c r="K143">
        <f>PRODUCT(Ricavi!D48*0.026)</f>
        <v>5776.16</v>
      </c>
    </row>
    <row r="144" spans="11:11">
      <c r="K144">
        <f>PRODUCT(Ricavi!D49*0.026)</f>
        <v>992.16</v>
      </c>
    </row>
    <row r="145" spans="11:11">
      <c r="K145">
        <f>PRODUCT(Ricavi!D50*0.026)</f>
        <v>803.01</v>
      </c>
    </row>
    <row r="146" spans="11:11">
      <c r="K146">
        <f>PRODUCT(Ricavi!D51*0.026)</f>
        <v>3893.7079999999996</v>
      </c>
    </row>
    <row r="147" spans="11:11">
      <c r="K147">
        <f>PRODUCT(Ricavi!D52*0.026)</f>
        <v>156</v>
      </c>
    </row>
    <row r="148" spans="11:11">
      <c r="K148">
        <f>PRODUCT(Ricavi!D53*0.026)</f>
        <v>208</v>
      </c>
    </row>
    <row r="149" spans="11:11">
      <c r="K149">
        <f>PRODUCT(Ricavi!D54*0.026)</f>
        <v>20233.46</v>
      </c>
    </row>
    <row r="150" spans="11:11">
      <c r="K150">
        <f>PRODUCT(Ricavi!D55*0.026)</f>
        <v>785.71999999999991</v>
      </c>
    </row>
    <row r="151" spans="11:11">
      <c r="K151">
        <f>PRODUCT(Ricavi!D56*0.026)</f>
        <v>650</v>
      </c>
    </row>
    <row r="152" spans="11:11">
      <c r="K152">
        <f>PRODUCT(Ricavi!D57*0.026)</f>
        <v>1082.51</v>
      </c>
    </row>
    <row r="153" spans="11:11">
      <c r="K153">
        <f>PRODUCT(Ricavi!D58*0.026)</f>
        <v>1339.1299999999999</v>
      </c>
    </row>
    <row r="154" spans="11:11">
      <c r="K154">
        <f>PRODUCT(Ricavi!D59*0.026)</f>
        <v>5092.3599999999997</v>
      </c>
    </row>
    <row r="155" spans="11:11">
      <c r="K155">
        <f>PRODUCT(Ricavi!D60*0.026)</f>
        <v>16871.919999999998</v>
      </c>
    </row>
    <row r="156" spans="11:11">
      <c r="K156">
        <f>PRODUCT(Ricavi!D61*0.026)</f>
        <v>43171.829999999994</v>
      </c>
    </row>
    <row r="157" spans="11:11">
      <c r="K157">
        <f>PRODUCT(Ricavi!D62*0.026)</f>
        <v>1798.81</v>
      </c>
    </row>
    <row r="158" spans="11:11">
      <c r="K158">
        <f>PRODUCT(Ricavi!D63*0.026)</f>
        <v>1442.35</v>
      </c>
    </row>
    <row r="159" spans="11:11">
      <c r="K159">
        <f>PRODUCT(Ricavi!D64*0.026)</f>
        <v>52017.394</v>
      </c>
    </row>
    <row r="160" spans="11:11">
      <c r="K160">
        <f>PRODUCT(Ricavi!D65*0.026)</f>
        <v>17445.48</v>
      </c>
    </row>
    <row r="161" spans="11:11">
      <c r="K161">
        <f>PRODUCT(Ricavi!D66*0.026)</f>
        <v>16586.439999999999</v>
      </c>
    </row>
    <row r="162" spans="11:11">
      <c r="K162">
        <f>PRODUCT(Ricavi!D67*0.026)</f>
        <v>13931.58</v>
      </c>
    </row>
    <row r="163" spans="11:11">
      <c r="K163">
        <f>PRODUCT(Ricavi!D68*0.026)</f>
        <v>2827.37</v>
      </c>
    </row>
    <row r="164" spans="11:11">
      <c r="K164">
        <f>PRODUCT(Ricavi!D69*0.026)</f>
        <v>24421.93</v>
      </c>
    </row>
    <row r="165" spans="11:11">
      <c r="K165">
        <f>PRODUCT(Ricavi!D70*0.026)</f>
        <v>3014.18</v>
      </c>
    </row>
    <row r="166" spans="11:11">
      <c r="K166">
        <f>PRODUCT(Ricavi!D71*0.026)</f>
        <v>4785.6899999999996</v>
      </c>
    </row>
    <row r="167" spans="11:11">
      <c r="K167">
        <f>PRODUCT(Ricavi!D72*0.026)</f>
        <v>12609.064</v>
      </c>
    </row>
    <row r="168" spans="11:11">
      <c r="K168">
        <f>PRODUCT(Ricavi!D73*0.026)</f>
        <v>4981.34</v>
      </c>
    </row>
    <row r="169" spans="11:11">
      <c r="K169">
        <f>PRODUCT(Ricavi!D74*0.026)</f>
        <v>4171.4399999999996</v>
      </c>
    </row>
    <row r="170" spans="11:11">
      <c r="K170">
        <f>PRODUCT(Ricavi!D75*0.026)</f>
        <v>5962.84</v>
      </c>
    </row>
    <row r="171" spans="11:11">
      <c r="K171">
        <f>PRODUCT(Ricavi!D76*0.026)</f>
        <v>20437.559999999998</v>
      </c>
    </row>
    <row r="172" spans="11:11">
      <c r="K172">
        <f>PRODUCT(Ricavi!D77*0.026)</f>
        <v>155.584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2023-12-20T13:19:05Z</dcterms:modified>
  <cp:category/>
  <cp:contentStatus/>
</cp:coreProperties>
</file>