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49dacac0477a9/Documentos/Diplomas/Carrera^J creacion de Startups/"/>
    </mc:Choice>
  </mc:AlternateContent>
  <xr:revisionPtr revIDLastSave="4" documentId="13_ncr:1_{8CCC0A21-9C19-4EE6-BAF7-D24C59957151}" xr6:coauthVersionLast="41" xr6:coauthVersionMax="41" xr10:uidLastSave="{8A6E9B8D-AE51-4BE3-A520-93703BE32B5E}"/>
  <bookViews>
    <workbookView xWindow="1125" yWindow="390" windowWidth="8835" windowHeight="10875" firstSheet="2" activeTab="2" xr2:uid="{5C41DB5E-154F-4977-968A-ED32BF9C751B}"/>
  </bookViews>
  <sheets>
    <sheet name="Supuestos2" sheetId="5" r:id="rId1"/>
    <sheet name="Estado de situacion financiera" sheetId="3" r:id="rId2"/>
    <sheet name="Estado de resultados" sheetId="6" r:id="rId3"/>
    <sheet name="Flujo de caja" sheetId="8" r:id="rId4"/>
    <sheet name="Indicadores" sheetId="1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D10" i="10"/>
  <c r="E10" i="10"/>
  <c r="F10" i="10"/>
  <c r="G10" i="10"/>
  <c r="H10" i="10"/>
  <c r="I10" i="10"/>
  <c r="J10" i="10"/>
  <c r="K10" i="10"/>
  <c r="L10" i="10"/>
  <c r="M10" i="10"/>
  <c r="B10" i="10"/>
  <c r="B8" i="10"/>
  <c r="C8" i="10"/>
  <c r="D8" i="10"/>
  <c r="E8" i="10"/>
  <c r="F8" i="10"/>
  <c r="G8" i="10"/>
  <c r="H8" i="10"/>
  <c r="I8" i="10"/>
  <c r="J8" i="10"/>
  <c r="K8" i="10"/>
  <c r="L8" i="10"/>
  <c r="M8" i="10"/>
  <c r="B6" i="10"/>
  <c r="C6" i="10"/>
  <c r="D6" i="10"/>
  <c r="E6" i="10"/>
  <c r="F6" i="10"/>
  <c r="G6" i="10"/>
  <c r="H6" i="10"/>
  <c r="I6" i="10"/>
  <c r="J6" i="10"/>
  <c r="K6" i="10"/>
  <c r="L6" i="10"/>
  <c r="M6" i="10"/>
  <c r="C5" i="10"/>
  <c r="D5" i="10"/>
  <c r="E5" i="10"/>
  <c r="F5" i="10"/>
  <c r="G5" i="10"/>
  <c r="H5" i="10"/>
  <c r="I5" i="10"/>
  <c r="J5" i="10"/>
  <c r="K5" i="10"/>
  <c r="L5" i="10"/>
  <c r="M5" i="10"/>
  <c r="B5" i="10"/>
  <c r="C4" i="10"/>
  <c r="B4" i="10"/>
  <c r="D4" i="10"/>
  <c r="E4" i="10"/>
  <c r="F4" i="10"/>
  <c r="G4" i="10"/>
  <c r="H4" i="10"/>
  <c r="I4" i="10"/>
  <c r="J4" i="10"/>
  <c r="K4" i="10"/>
  <c r="L4" i="10"/>
  <c r="M4" i="10"/>
  <c r="B3" i="10"/>
  <c r="C3" i="10"/>
  <c r="D3" i="10"/>
  <c r="E3" i="10"/>
  <c r="F3" i="10"/>
  <c r="G3" i="10"/>
  <c r="H3" i="10"/>
  <c r="I3" i="10"/>
  <c r="J3" i="10"/>
  <c r="K3" i="10"/>
  <c r="L3" i="10"/>
  <c r="M3" i="10"/>
  <c r="B9" i="3"/>
  <c r="B17" i="3"/>
  <c r="B13" i="3"/>
  <c r="D18" i="3"/>
  <c r="E18" i="3" s="1"/>
  <c r="F18" i="3" s="1"/>
  <c r="G18" i="3" s="1"/>
  <c r="H18" i="3" s="1"/>
  <c r="I18" i="3" s="1"/>
  <c r="J18" i="3" s="1"/>
  <c r="K18" i="3" s="1"/>
  <c r="L18" i="3" s="1"/>
  <c r="M18" i="3" s="1"/>
  <c r="C18" i="3"/>
  <c r="B18" i="3"/>
  <c r="B7" i="3"/>
  <c r="C7" i="3" s="1"/>
  <c r="C24" i="8"/>
  <c r="D24" i="8"/>
  <c r="E24" i="8"/>
  <c r="F24" i="8"/>
  <c r="G24" i="8"/>
  <c r="H24" i="8"/>
  <c r="I24" i="8"/>
  <c r="J24" i="8"/>
  <c r="K24" i="8"/>
  <c r="L24" i="8"/>
  <c r="M24" i="8"/>
  <c r="C22" i="8"/>
  <c r="D22" i="8"/>
  <c r="E22" i="8"/>
  <c r="F22" i="8"/>
  <c r="G22" i="8"/>
  <c r="H22" i="8"/>
  <c r="I22" i="8"/>
  <c r="J22" i="8"/>
  <c r="K22" i="8"/>
  <c r="L22" i="8"/>
  <c r="M22" i="8"/>
  <c r="C21" i="8"/>
  <c r="D21" i="8"/>
  <c r="E21" i="8"/>
  <c r="F21" i="8"/>
  <c r="G21" i="8"/>
  <c r="H21" i="8"/>
  <c r="I21" i="8"/>
  <c r="J21" i="8"/>
  <c r="K21" i="8"/>
  <c r="L21" i="8"/>
  <c r="M21" i="8"/>
  <c r="B21" i="8"/>
  <c r="C20" i="8"/>
  <c r="D20" i="8"/>
  <c r="E20" i="8"/>
  <c r="F20" i="8"/>
  <c r="G20" i="8"/>
  <c r="H20" i="8"/>
  <c r="I20" i="8"/>
  <c r="J20" i="8"/>
  <c r="K20" i="8"/>
  <c r="L20" i="8"/>
  <c r="M20" i="8"/>
  <c r="B20" i="8"/>
  <c r="C18" i="8"/>
  <c r="D18" i="8"/>
  <c r="E18" i="8"/>
  <c r="F18" i="8"/>
  <c r="G18" i="8"/>
  <c r="H18" i="8"/>
  <c r="I18" i="8"/>
  <c r="J18" i="8"/>
  <c r="K18" i="8"/>
  <c r="L18" i="8"/>
  <c r="M18" i="8"/>
  <c r="B18" i="8"/>
  <c r="B22" i="8" s="1"/>
  <c r="B24" i="8" s="1"/>
  <c r="B25" i="8" s="1"/>
  <c r="C14" i="8"/>
  <c r="D14" i="8"/>
  <c r="E14" i="8"/>
  <c r="F14" i="8"/>
  <c r="G14" i="8"/>
  <c r="H14" i="8"/>
  <c r="I14" i="8"/>
  <c r="J14" i="8"/>
  <c r="K14" i="8"/>
  <c r="L14" i="8"/>
  <c r="M14" i="8"/>
  <c r="D13" i="8"/>
  <c r="E13" i="8"/>
  <c r="F13" i="8"/>
  <c r="G13" i="8"/>
  <c r="H13" i="8"/>
  <c r="I13" i="8"/>
  <c r="J13" i="8"/>
  <c r="K13" i="8"/>
  <c r="L13" i="8"/>
  <c r="M13" i="8"/>
  <c r="C13" i="8"/>
  <c r="B14" i="8"/>
  <c r="B12" i="8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C8" i="8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C7" i="8"/>
  <c r="D7" i="8"/>
  <c r="E7" i="8"/>
  <c r="F7" i="8"/>
  <c r="G7" i="8"/>
  <c r="H7" i="8"/>
  <c r="I7" i="8"/>
  <c r="J7" i="8"/>
  <c r="K7" i="8"/>
  <c r="L7" i="8"/>
  <c r="M7" i="8"/>
  <c r="B9" i="8"/>
  <c r="B8" i="8"/>
  <c r="B7" i="8"/>
  <c r="D6" i="8"/>
  <c r="E6" i="8"/>
  <c r="F6" i="8"/>
  <c r="G6" i="8"/>
  <c r="H6" i="8"/>
  <c r="I6" i="8"/>
  <c r="J6" i="8"/>
  <c r="K6" i="8"/>
  <c r="L6" i="8"/>
  <c r="M6" i="8"/>
  <c r="C6" i="8"/>
  <c r="C5" i="8"/>
  <c r="D5" i="8"/>
  <c r="E5" i="8"/>
  <c r="F5" i="8"/>
  <c r="G5" i="8"/>
  <c r="H5" i="8"/>
  <c r="I5" i="8"/>
  <c r="J5" i="8"/>
  <c r="K5" i="8"/>
  <c r="L5" i="8"/>
  <c r="M5" i="8"/>
  <c r="B5" i="8"/>
  <c r="C25" i="8" l="1"/>
  <c r="B6" i="3"/>
  <c r="D7" i="3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29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5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19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7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5" i="6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B5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B47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B54" i="5"/>
  <c r="D18" i="5"/>
  <c r="E18" i="5"/>
  <c r="F18" i="5"/>
  <c r="G18" i="5"/>
  <c r="H18" i="5"/>
  <c r="I18" i="5"/>
  <c r="J18" i="5"/>
  <c r="K18" i="5"/>
  <c r="L18" i="5"/>
  <c r="M18" i="5"/>
  <c r="N18" i="5"/>
  <c r="O18" i="5"/>
  <c r="C18" i="5"/>
  <c r="D10" i="5"/>
  <c r="E10" i="5"/>
  <c r="F10" i="5"/>
  <c r="G10" i="5"/>
  <c r="H10" i="5"/>
  <c r="I10" i="5"/>
  <c r="J10" i="5"/>
  <c r="K10" i="5"/>
  <c r="L10" i="5"/>
  <c r="M10" i="5"/>
  <c r="N10" i="5"/>
  <c r="O10" i="5"/>
  <c r="C10" i="5"/>
  <c r="D50" i="5"/>
  <c r="E50" i="5"/>
  <c r="F50" i="5"/>
  <c r="G50" i="5"/>
  <c r="H50" i="5"/>
  <c r="I50" i="5"/>
  <c r="J50" i="5"/>
  <c r="K50" i="5"/>
  <c r="L50" i="5"/>
  <c r="M50" i="5"/>
  <c r="N50" i="5"/>
  <c r="O50" i="5"/>
  <c r="C50" i="5"/>
  <c r="E52" i="5"/>
  <c r="F52" i="5"/>
  <c r="G52" i="5"/>
  <c r="H52" i="5"/>
  <c r="I52" i="5"/>
  <c r="J52" i="5"/>
  <c r="K52" i="5"/>
  <c r="L52" i="5"/>
  <c r="M52" i="5"/>
  <c r="N52" i="5"/>
  <c r="O52" i="5"/>
  <c r="D52" i="5"/>
  <c r="C52" i="5"/>
  <c r="D15" i="5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C15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C7" i="5"/>
  <c r="D25" i="8" l="1"/>
  <c r="C6" i="3"/>
  <c r="E7" i="3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1" i="6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7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4" i="5"/>
  <c r="E25" i="8" l="1"/>
  <c r="D6" i="3"/>
  <c r="F7" i="3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0" i="6"/>
  <c r="C9" i="6"/>
  <c r="C8" i="6" s="1"/>
  <c r="D9" i="6"/>
  <c r="E9" i="6"/>
  <c r="F9" i="6"/>
  <c r="G9" i="6"/>
  <c r="G8" i="6" s="1"/>
  <c r="H9" i="6"/>
  <c r="I9" i="6"/>
  <c r="J9" i="6"/>
  <c r="K9" i="6"/>
  <c r="K8" i="6" s="1"/>
  <c r="L9" i="6"/>
  <c r="M9" i="6"/>
  <c r="N9" i="6"/>
  <c r="O9" i="6"/>
  <c r="O8" i="6" s="1"/>
  <c r="B9" i="6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8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3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4" i="6"/>
  <c r="D6" i="6"/>
  <c r="E6" i="6"/>
  <c r="F6" i="6"/>
  <c r="G6" i="6"/>
  <c r="H6" i="6"/>
  <c r="I6" i="6"/>
  <c r="J6" i="6"/>
  <c r="K6" i="6"/>
  <c r="L6" i="6"/>
  <c r="M6" i="6"/>
  <c r="N6" i="6"/>
  <c r="O6" i="6"/>
  <c r="C6" i="6"/>
  <c r="D5" i="6"/>
  <c r="E5" i="6"/>
  <c r="E4" i="6" s="1"/>
  <c r="F5" i="6"/>
  <c r="F4" i="6" s="1"/>
  <c r="G5" i="6"/>
  <c r="H5" i="6"/>
  <c r="I5" i="6"/>
  <c r="I4" i="6" s="1"/>
  <c r="J5" i="6"/>
  <c r="J4" i="6" s="1"/>
  <c r="K5" i="6"/>
  <c r="L5" i="6"/>
  <c r="M5" i="6"/>
  <c r="M4" i="6" s="1"/>
  <c r="N5" i="6"/>
  <c r="N4" i="6" s="1"/>
  <c r="O5" i="6"/>
  <c r="C5" i="6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D17" i="5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D9" i="5"/>
  <c r="B27" i="5"/>
  <c r="B22" i="5"/>
  <c r="F25" i="8" l="1"/>
  <c r="E6" i="3"/>
  <c r="G7" i="3"/>
  <c r="C4" i="6"/>
  <c r="C13" i="6" s="1"/>
  <c r="L4" i="6"/>
  <c r="L13" i="6" s="1"/>
  <c r="D4" i="6"/>
  <c r="B8" i="6"/>
  <c r="B13" i="6" s="1"/>
  <c r="L8" i="6"/>
  <c r="H8" i="6"/>
  <c r="D8" i="6"/>
  <c r="H4" i="6"/>
  <c r="O4" i="6"/>
  <c r="O13" i="6" s="1"/>
  <c r="K4" i="6"/>
  <c r="K13" i="6" s="1"/>
  <c r="G4" i="6"/>
  <c r="G13" i="6" s="1"/>
  <c r="N8" i="6"/>
  <c r="N13" i="6" s="1"/>
  <c r="J8" i="6"/>
  <c r="J13" i="6" s="1"/>
  <c r="F8" i="6"/>
  <c r="F13" i="6" s="1"/>
  <c r="M8" i="6"/>
  <c r="M13" i="6" s="1"/>
  <c r="I8" i="6"/>
  <c r="I13" i="6" s="1"/>
  <c r="E8" i="6"/>
  <c r="E13" i="6" s="1"/>
  <c r="G25" i="8" l="1"/>
  <c r="F6" i="3"/>
  <c r="H7" i="3"/>
  <c r="H13" i="6"/>
  <c r="D13" i="6"/>
  <c r="H25" i="8" l="1"/>
  <c r="G6" i="3"/>
  <c r="I7" i="3"/>
  <c r="I25" i="8" l="1"/>
  <c r="H6" i="3"/>
  <c r="B11" i="3"/>
  <c r="C13" i="3"/>
  <c r="C11" i="3" s="1"/>
  <c r="B4" i="3"/>
  <c r="B20" i="3" s="1"/>
  <c r="C9" i="3"/>
  <c r="B16" i="3"/>
  <c r="C17" i="3"/>
  <c r="J7" i="3"/>
  <c r="J25" i="8" l="1"/>
  <c r="I6" i="3"/>
  <c r="D9" i="3"/>
  <c r="C4" i="3"/>
  <c r="K7" i="3"/>
  <c r="C16" i="3"/>
  <c r="D17" i="3"/>
  <c r="K25" i="8" l="1"/>
  <c r="J6" i="3"/>
  <c r="C20" i="3"/>
  <c r="L7" i="3"/>
  <c r="E17" i="3"/>
  <c r="D16" i="3"/>
  <c r="E9" i="3"/>
  <c r="D4" i="3"/>
  <c r="L25" i="8" l="1"/>
  <c r="K6" i="3"/>
  <c r="F17" i="3"/>
  <c r="E16" i="3"/>
  <c r="F9" i="3"/>
  <c r="E4" i="3"/>
  <c r="M7" i="3"/>
  <c r="M25" i="8" l="1"/>
  <c r="M6" i="3" s="1"/>
  <c r="L6" i="3"/>
  <c r="G9" i="3"/>
  <c r="F4" i="3"/>
  <c r="G17" i="3"/>
  <c r="F16" i="3"/>
  <c r="H17" i="3" l="1"/>
  <c r="G16" i="3"/>
  <c r="H9" i="3"/>
  <c r="G4" i="3"/>
  <c r="I9" i="3" l="1"/>
  <c r="H4" i="3"/>
  <c r="I17" i="3"/>
  <c r="H16" i="3"/>
  <c r="J17" i="3" l="1"/>
  <c r="I16" i="3"/>
  <c r="J9" i="3"/>
  <c r="I4" i="3"/>
  <c r="K17" i="3" l="1"/>
  <c r="J16" i="3"/>
  <c r="K9" i="3"/>
  <c r="J4" i="3"/>
  <c r="L9" i="3" l="1"/>
  <c r="K4" i="3"/>
  <c r="L17" i="3"/>
  <c r="K16" i="3"/>
  <c r="M17" i="3" l="1"/>
  <c r="M16" i="3" s="1"/>
  <c r="L16" i="3"/>
  <c r="M9" i="3"/>
  <c r="M4" i="3" s="1"/>
  <c r="L4" i="3"/>
  <c r="D13" i="3" l="1"/>
  <c r="E13" i="3" l="1"/>
  <c r="D11" i="3"/>
  <c r="D20" i="3" s="1"/>
  <c r="F13" i="3" l="1"/>
  <c r="E11" i="3"/>
  <c r="E20" i="3" s="1"/>
  <c r="G13" i="3" l="1"/>
  <c r="F11" i="3"/>
  <c r="F20" i="3" s="1"/>
  <c r="H13" i="3" l="1"/>
  <c r="G11" i="3"/>
  <c r="G20" i="3" s="1"/>
  <c r="I13" i="3" l="1"/>
  <c r="H11" i="3"/>
  <c r="H20" i="3" s="1"/>
  <c r="J13" i="3" l="1"/>
  <c r="I11" i="3"/>
  <c r="I20" i="3" s="1"/>
  <c r="K13" i="3" l="1"/>
  <c r="J11" i="3"/>
  <c r="J20" i="3" s="1"/>
  <c r="L13" i="3" l="1"/>
  <c r="K11" i="3"/>
  <c r="K20" i="3" s="1"/>
  <c r="M13" i="3" l="1"/>
  <c r="M11" i="3" s="1"/>
  <c r="M20" i="3" s="1"/>
  <c r="L11" i="3"/>
  <c r="L20" i="3" s="1"/>
</calcChain>
</file>

<file path=xl/sharedStrings.xml><?xml version="1.0" encoding="utf-8"?>
<sst xmlns="http://schemas.openxmlformats.org/spreadsheetml/2006/main" count="121" uniqueCount="103">
  <si>
    <t>Activo no corriente</t>
  </si>
  <si>
    <t>Patrimonio</t>
  </si>
  <si>
    <t>Capital</t>
  </si>
  <si>
    <t>Estado de situacion financiera</t>
  </si>
  <si>
    <t>APPVISOR</t>
  </si>
  <si>
    <t>Activo</t>
  </si>
  <si>
    <t>Corriente</t>
  </si>
  <si>
    <t>Disponible</t>
  </si>
  <si>
    <t>Cuentas por cobrar (clientes)</t>
  </si>
  <si>
    <t>No corriente</t>
  </si>
  <si>
    <t xml:space="preserve">Mobiliario y equipo </t>
  </si>
  <si>
    <t>Pasivo</t>
  </si>
  <si>
    <t>Obligaciones financieras</t>
  </si>
  <si>
    <t xml:space="preserve">Capital </t>
  </si>
  <si>
    <t xml:space="preserve">Utilidad del ejercicio </t>
  </si>
  <si>
    <t xml:space="preserve">Verificacion </t>
  </si>
  <si>
    <t>Desembolso</t>
  </si>
  <si>
    <t>Ventas</t>
  </si>
  <si>
    <t>Precio de venta</t>
  </si>
  <si>
    <t>Servidores</t>
  </si>
  <si>
    <t>Impuestos</t>
  </si>
  <si>
    <t>Hoja de Supuestos</t>
  </si>
  <si>
    <t>Ventas B2C</t>
  </si>
  <si>
    <t>Horas contratadas</t>
  </si>
  <si>
    <t>Total ventas B2C</t>
  </si>
  <si>
    <t>Ventas B2B</t>
  </si>
  <si>
    <t>Total ventas B2B</t>
  </si>
  <si>
    <t>Costo de venta B2B</t>
  </si>
  <si>
    <t>Costo por hora</t>
  </si>
  <si>
    <t>Total costo por hora B2C</t>
  </si>
  <si>
    <t>Costo de venta B2C</t>
  </si>
  <si>
    <t>Total de costo por hora B2B</t>
  </si>
  <si>
    <t>%de crecimiento de ventas por mes</t>
  </si>
  <si>
    <t>Estado de Resultados</t>
  </si>
  <si>
    <t>Segmento B2C</t>
  </si>
  <si>
    <t>Segmento B2B</t>
  </si>
  <si>
    <t>Costos</t>
  </si>
  <si>
    <t>Otros costos</t>
  </si>
  <si>
    <t>Total costo del B2C del periodo</t>
  </si>
  <si>
    <t>Total costo del B2B del periodo</t>
  </si>
  <si>
    <t>Sosftware y otros servicios</t>
  </si>
  <si>
    <t>Salario CTO</t>
  </si>
  <si>
    <t>Salario desarroladores</t>
  </si>
  <si>
    <t># desarroladores</t>
  </si>
  <si>
    <t>Salario por desarrolador</t>
  </si>
  <si>
    <t>Total de otros costos</t>
  </si>
  <si>
    <t>Utilidad bruta</t>
  </si>
  <si>
    <t>Gastos Administrativos</t>
  </si>
  <si>
    <t>Salario CEO</t>
  </si>
  <si>
    <t>Salario CFO</t>
  </si>
  <si>
    <t># usuarios B2C nuevos</t>
  </si>
  <si>
    <t>#usuarios B2B nuevos</t>
  </si>
  <si>
    <t>#Total de usuarios B2C</t>
  </si>
  <si>
    <t>#Total de usuarios B2B</t>
  </si>
  <si>
    <t>Gastos de ventas</t>
  </si>
  <si>
    <t>Email marketing</t>
  </si>
  <si>
    <t>Costo por usuario</t>
  </si>
  <si>
    <t>#total de usuarios</t>
  </si>
  <si>
    <t>CRM</t>
  </si>
  <si>
    <t>Servicios publico</t>
  </si>
  <si>
    <t>Contador</t>
  </si>
  <si>
    <t>Abogado</t>
  </si>
  <si>
    <t>Otras herramientas tecnologicas</t>
  </si>
  <si>
    <t>Arriendo</t>
  </si>
  <si>
    <t>Jefe de ventas</t>
  </si>
  <si>
    <t>Salario fijo</t>
  </si>
  <si>
    <t xml:space="preserve">% comision </t>
  </si>
  <si>
    <t>Total de gastos administrativos</t>
  </si>
  <si>
    <t>Total de gastos de venta</t>
  </si>
  <si>
    <t>Gastos administrativos</t>
  </si>
  <si>
    <t>Utilidad operacional</t>
  </si>
  <si>
    <t>Utiilidades no operacionales</t>
  </si>
  <si>
    <t>Gastos no operacionales</t>
  </si>
  <si>
    <t>Utilidad antes de impuestos</t>
  </si>
  <si>
    <t>Utilidad neta</t>
  </si>
  <si>
    <t>Flujo de caja</t>
  </si>
  <si>
    <t>Creditos</t>
  </si>
  <si>
    <t>Pago de dividendos</t>
  </si>
  <si>
    <t>Movimiento del periodo</t>
  </si>
  <si>
    <t>Saldo final</t>
  </si>
  <si>
    <t>Efectvio generado por la operación</t>
  </si>
  <si>
    <t>Pago de costos</t>
  </si>
  <si>
    <t>Pago de gastos administrativos</t>
  </si>
  <si>
    <t>Pago de gasto de ventas</t>
  </si>
  <si>
    <t>Pago de cuotas</t>
  </si>
  <si>
    <t>Efectivo Generado por act. De financiacion</t>
  </si>
  <si>
    <t>Pago de creditos</t>
  </si>
  <si>
    <t>Aportes de socios</t>
  </si>
  <si>
    <t>Socios</t>
  </si>
  <si>
    <t>Efectivo generado por act. De inversion</t>
  </si>
  <si>
    <t>Compra de activos fijos</t>
  </si>
  <si>
    <t>Actividades de inversion</t>
  </si>
  <si>
    <t>Activos fijos</t>
  </si>
  <si>
    <t>Total EGO</t>
  </si>
  <si>
    <t>Total EGAI</t>
  </si>
  <si>
    <t>Total EGAF</t>
  </si>
  <si>
    <t>Mobiliario y equipo</t>
  </si>
  <si>
    <t>Margen bruto</t>
  </si>
  <si>
    <t>Margen operacional</t>
  </si>
  <si>
    <t>Rotacion de activos</t>
  </si>
  <si>
    <t>EBITDA</t>
  </si>
  <si>
    <t>CAC</t>
  </si>
  <si>
    <t>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</si>
</sst>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2" tint="-0.499984740745262"/>
      <name val="Palatino Linotype"/>
      <family val="1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right"/>
    </xf>
    <xf numFmtId="9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4" fillId="0" borderId="0" xfId="2" applyNumberFormat="1" applyFont="1"/>
    <xf numFmtId="44" fontId="4" fillId="0" borderId="0" xfId="0" applyNumberFormat="1" applyFont="1"/>
    <xf numFmtId="43" fontId="0" fillId="0" borderId="0" xfId="1" applyFont="1"/>
    <xf numFmtId="0" fontId="0" fillId="0" borderId="0" xfId="1" applyNumberFormat="1" applyFont="1"/>
    <xf numFmtId="0" fontId="0" fillId="0" borderId="0" xfId="2" applyNumberFormat="1" applyFont="1"/>
    <xf numFmtId="8" fontId="0" fillId="0" borderId="0" xfId="0" applyNumberFormat="1"/>
    <xf numFmtId="44" fontId="3" fillId="0" borderId="0" xfId="0" applyNumberFormat="1" applyFont="1"/>
    <xf numFmtId="10" fontId="0" fillId="0" borderId="0" xfId="3" applyNumberFormat="1" applyFont="1"/>
    <xf numFmtId="17" fontId="0" fillId="0" borderId="0" xfId="0" applyNumberFormat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4" fontId="0" fillId="2" borderId="0" xfId="0" applyNumberFormat="1" applyFill="1" applyAlignment="1">
      <alignment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77F-3FEF-44D6-A448-4FD0E0F3C263}">
  <dimension ref="A1:O74"/>
  <sheetViews>
    <sheetView workbookViewId="0">
      <selection activeCell="A76" sqref="A76"/>
    </sheetView>
  </sheetViews>
  <sheetFormatPr baseColWidth="10" defaultRowHeight="15" x14ac:dyDescent="0.25"/>
  <cols>
    <col min="1" max="1" width="35.5703125" bestFit="1" customWidth="1"/>
  </cols>
  <sheetData>
    <row r="1" spans="1:15" x14ac:dyDescent="0.25">
      <c r="A1" t="s">
        <v>21</v>
      </c>
      <c r="B1" s="24">
        <v>43313</v>
      </c>
      <c r="C1" s="24">
        <v>43344</v>
      </c>
      <c r="D1" s="24">
        <v>43374</v>
      </c>
      <c r="E1" s="24">
        <v>43405</v>
      </c>
      <c r="F1" s="24">
        <v>43435</v>
      </c>
      <c r="G1" s="24">
        <v>43466</v>
      </c>
      <c r="H1" s="24">
        <v>43497</v>
      </c>
      <c r="I1" s="24">
        <v>43525</v>
      </c>
      <c r="J1" s="24">
        <v>43556</v>
      </c>
      <c r="K1" s="24">
        <v>43586</v>
      </c>
      <c r="L1" s="24">
        <v>43617</v>
      </c>
      <c r="M1" s="24">
        <v>43647</v>
      </c>
      <c r="N1" s="24">
        <v>43678</v>
      </c>
      <c r="O1" s="24">
        <v>43709</v>
      </c>
    </row>
    <row r="2" spans="1:15" x14ac:dyDescent="0.25">
      <c r="A2" s="7" t="s">
        <v>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x14ac:dyDescent="0.25">
      <c r="A4" t="s">
        <v>22</v>
      </c>
    </row>
    <row r="5" spans="1:15" x14ac:dyDescent="0.25">
      <c r="A5" s="2" t="s">
        <v>18</v>
      </c>
      <c r="B5" s="14">
        <v>40</v>
      </c>
      <c r="C5" s="14">
        <v>40</v>
      </c>
      <c r="D5" s="14">
        <v>40</v>
      </c>
      <c r="E5" s="14">
        <v>40</v>
      </c>
      <c r="F5" s="14">
        <v>40</v>
      </c>
      <c r="G5" s="14">
        <v>40</v>
      </c>
      <c r="H5" s="14">
        <v>40</v>
      </c>
      <c r="I5" s="14">
        <v>40</v>
      </c>
      <c r="J5" s="14">
        <v>40</v>
      </c>
      <c r="K5" s="14">
        <v>40</v>
      </c>
      <c r="L5" s="14">
        <v>40</v>
      </c>
      <c r="M5" s="14">
        <v>40</v>
      </c>
      <c r="N5" s="14">
        <v>40</v>
      </c>
      <c r="O5" s="14">
        <v>40</v>
      </c>
    </row>
    <row r="6" spans="1:15" x14ac:dyDescent="0.25">
      <c r="A6" s="2" t="s">
        <v>50</v>
      </c>
      <c r="B6" s="14"/>
      <c r="C6" s="19">
        <v>5</v>
      </c>
      <c r="D6" s="19">
        <v>5</v>
      </c>
      <c r="E6" s="19">
        <v>5</v>
      </c>
      <c r="F6" s="19">
        <v>5</v>
      </c>
      <c r="G6" s="19">
        <v>5</v>
      </c>
      <c r="H6" s="19">
        <v>5</v>
      </c>
      <c r="I6" s="19">
        <v>5</v>
      </c>
      <c r="J6" s="19">
        <v>5</v>
      </c>
      <c r="K6" s="19">
        <v>5</v>
      </c>
      <c r="L6" s="19">
        <v>5</v>
      </c>
      <c r="M6" s="19">
        <v>5</v>
      </c>
      <c r="N6" s="19">
        <v>5</v>
      </c>
      <c r="O6" s="19">
        <v>5</v>
      </c>
    </row>
    <row r="7" spans="1:15" x14ac:dyDescent="0.25">
      <c r="A7" s="2" t="s">
        <v>52</v>
      </c>
      <c r="B7" s="14"/>
      <c r="C7" s="20">
        <f>B7+C6</f>
        <v>5</v>
      </c>
      <c r="D7" s="20">
        <f t="shared" ref="D7:O7" si="0">C7+D6</f>
        <v>10</v>
      </c>
      <c r="E7" s="20">
        <f t="shared" si="0"/>
        <v>15</v>
      </c>
      <c r="F7" s="20">
        <f t="shared" si="0"/>
        <v>20</v>
      </c>
      <c r="G7" s="20">
        <f t="shared" si="0"/>
        <v>25</v>
      </c>
      <c r="H7" s="20">
        <f t="shared" si="0"/>
        <v>30</v>
      </c>
      <c r="I7" s="20">
        <f t="shared" si="0"/>
        <v>35</v>
      </c>
      <c r="J7" s="20">
        <f t="shared" si="0"/>
        <v>40</v>
      </c>
      <c r="K7" s="20">
        <f t="shared" si="0"/>
        <v>45</v>
      </c>
      <c r="L7" s="20">
        <f t="shared" si="0"/>
        <v>50</v>
      </c>
      <c r="M7" s="20">
        <f t="shared" si="0"/>
        <v>55</v>
      </c>
      <c r="N7" s="20">
        <f t="shared" si="0"/>
        <v>60</v>
      </c>
      <c r="O7" s="20">
        <f t="shared" si="0"/>
        <v>65</v>
      </c>
    </row>
    <row r="8" spans="1:15" x14ac:dyDescent="0.25">
      <c r="A8" s="2" t="s">
        <v>32</v>
      </c>
      <c r="B8" s="13">
        <v>0.02</v>
      </c>
      <c r="C8" s="13">
        <v>0.02</v>
      </c>
      <c r="D8" s="13">
        <v>0.02</v>
      </c>
      <c r="E8" s="13">
        <v>0.02</v>
      </c>
      <c r="F8" s="13">
        <v>0.02</v>
      </c>
      <c r="G8" s="13">
        <v>0.02</v>
      </c>
      <c r="H8" s="13">
        <v>0.02</v>
      </c>
      <c r="I8" s="13">
        <v>0.02</v>
      </c>
      <c r="J8" s="13">
        <v>0.02</v>
      </c>
      <c r="K8" s="13">
        <v>0.02</v>
      </c>
      <c r="L8" s="13">
        <v>0.02</v>
      </c>
      <c r="M8" s="13">
        <v>0.02</v>
      </c>
      <c r="N8" s="13">
        <v>0.02</v>
      </c>
      <c r="O8" s="13">
        <v>0.02</v>
      </c>
    </row>
    <row r="9" spans="1:15" x14ac:dyDescent="0.25">
      <c r="A9" s="2" t="s">
        <v>23</v>
      </c>
      <c r="C9" s="18">
        <v>40</v>
      </c>
      <c r="D9" s="18">
        <f>C9*(1+D8)</f>
        <v>40.799999999999997</v>
      </c>
      <c r="E9" s="18">
        <f t="shared" ref="E9:O9" si="1">D9*(1+E8)</f>
        <v>41.616</v>
      </c>
      <c r="F9" s="18">
        <f t="shared" si="1"/>
        <v>42.448320000000002</v>
      </c>
      <c r="G9" s="18">
        <f t="shared" si="1"/>
        <v>43.297286400000004</v>
      </c>
      <c r="H9" s="18">
        <f t="shared" si="1"/>
        <v>44.163232128000004</v>
      </c>
      <c r="I9" s="18">
        <f t="shared" si="1"/>
        <v>45.046496770560005</v>
      </c>
      <c r="J9" s="18">
        <f t="shared" si="1"/>
        <v>45.947426705971203</v>
      </c>
      <c r="K9" s="18">
        <f t="shared" si="1"/>
        <v>46.866375240090626</v>
      </c>
      <c r="L9" s="18">
        <f t="shared" si="1"/>
        <v>47.803702744892441</v>
      </c>
      <c r="M9" s="18">
        <f t="shared" si="1"/>
        <v>48.759776799790288</v>
      </c>
      <c r="N9" s="18">
        <f t="shared" si="1"/>
        <v>49.734972335786097</v>
      </c>
      <c r="O9" s="18">
        <f t="shared" si="1"/>
        <v>50.729671782501818</v>
      </c>
    </row>
    <row r="10" spans="1:15" x14ac:dyDescent="0.25">
      <c r="A10" s="2" t="s">
        <v>24</v>
      </c>
      <c r="C10" s="14">
        <f>C5*C9</f>
        <v>1600</v>
      </c>
      <c r="D10" s="14">
        <f t="shared" ref="D10:O10" si="2">D5*D9</f>
        <v>1632</v>
      </c>
      <c r="E10" s="14">
        <f t="shared" si="2"/>
        <v>1664.6399999999999</v>
      </c>
      <c r="F10" s="14">
        <f t="shared" si="2"/>
        <v>1697.9328</v>
      </c>
      <c r="G10" s="14">
        <f t="shared" si="2"/>
        <v>1731.8914560000003</v>
      </c>
      <c r="H10" s="14">
        <f t="shared" si="2"/>
        <v>1766.5292851200002</v>
      </c>
      <c r="I10" s="14">
        <f t="shared" si="2"/>
        <v>1801.8598708224001</v>
      </c>
      <c r="J10" s="14">
        <f t="shared" si="2"/>
        <v>1837.8970682388481</v>
      </c>
      <c r="K10" s="14">
        <f t="shared" si="2"/>
        <v>1874.6550096036251</v>
      </c>
      <c r="L10" s="14">
        <f t="shared" si="2"/>
        <v>1912.1481097956976</v>
      </c>
      <c r="M10" s="14">
        <f t="shared" si="2"/>
        <v>1950.3910719916116</v>
      </c>
      <c r="N10" s="14">
        <f t="shared" si="2"/>
        <v>1989.3988934314439</v>
      </c>
      <c r="O10" s="14">
        <f t="shared" si="2"/>
        <v>2029.1868713000727</v>
      </c>
    </row>
    <row r="12" spans="1:15" x14ac:dyDescent="0.25">
      <c r="A12" s="5" t="s">
        <v>25</v>
      </c>
    </row>
    <row r="13" spans="1:15" x14ac:dyDescent="0.25">
      <c r="A13" s="2" t="s">
        <v>18</v>
      </c>
      <c r="B13" s="14">
        <v>80</v>
      </c>
      <c r="C13" s="14">
        <v>80</v>
      </c>
      <c r="D13" s="14">
        <v>80</v>
      </c>
      <c r="E13" s="14">
        <v>80</v>
      </c>
      <c r="F13" s="14">
        <v>80</v>
      </c>
      <c r="G13" s="14">
        <v>80</v>
      </c>
      <c r="H13" s="14">
        <v>80</v>
      </c>
      <c r="I13" s="14">
        <v>80</v>
      </c>
      <c r="J13" s="14">
        <v>80</v>
      </c>
      <c r="K13" s="14">
        <v>80</v>
      </c>
      <c r="L13" s="14">
        <v>80</v>
      </c>
      <c r="M13" s="14">
        <v>80</v>
      </c>
      <c r="N13" s="14">
        <v>80</v>
      </c>
      <c r="O13" s="14">
        <v>80</v>
      </c>
    </row>
    <row r="14" spans="1:15" x14ac:dyDescent="0.25">
      <c r="A14" s="2" t="s">
        <v>51</v>
      </c>
      <c r="B14" s="14"/>
      <c r="C14" s="19">
        <v>6</v>
      </c>
      <c r="D14" s="19">
        <v>6</v>
      </c>
      <c r="E14" s="19">
        <v>6</v>
      </c>
      <c r="F14" s="19">
        <v>6</v>
      </c>
      <c r="G14" s="19">
        <v>6</v>
      </c>
      <c r="H14" s="19">
        <v>6</v>
      </c>
      <c r="I14" s="19">
        <v>6</v>
      </c>
      <c r="J14" s="19">
        <v>6</v>
      </c>
      <c r="K14" s="19">
        <v>6</v>
      </c>
      <c r="L14" s="19">
        <v>6</v>
      </c>
      <c r="M14" s="19">
        <v>6</v>
      </c>
      <c r="N14" s="19">
        <v>6</v>
      </c>
      <c r="O14" s="19">
        <v>6</v>
      </c>
    </row>
    <row r="15" spans="1:15" x14ac:dyDescent="0.25">
      <c r="A15" s="2" t="s">
        <v>53</v>
      </c>
      <c r="B15" s="14"/>
      <c r="C15" s="19">
        <f>B15+C14</f>
        <v>6</v>
      </c>
      <c r="D15" s="19">
        <f t="shared" ref="D15:O15" si="3">C15+D14</f>
        <v>12</v>
      </c>
      <c r="E15" s="19">
        <f t="shared" si="3"/>
        <v>18</v>
      </c>
      <c r="F15" s="19">
        <f t="shared" si="3"/>
        <v>24</v>
      </c>
      <c r="G15" s="19">
        <f t="shared" si="3"/>
        <v>30</v>
      </c>
      <c r="H15" s="19">
        <f t="shared" si="3"/>
        <v>36</v>
      </c>
      <c r="I15" s="19">
        <f t="shared" si="3"/>
        <v>42</v>
      </c>
      <c r="J15" s="19">
        <f t="shared" si="3"/>
        <v>48</v>
      </c>
      <c r="K15" s="19">
        <f t="shared" si="3"/>
        <v>54</v>
      </c>
      <c r="L15" s="19">
        <f t="shared" si="3"/>
        <v>60</v>
      </c>
      <c r="M15" s="19">
        <f t="shared" si="3"/>
        <v>66</v>
      </c>
      <c r="N15" s="19">
        <f t="shared" si="3"/>
        <v>72</v>
      </c>
      <c r="O15" s="19">
        <f t="shared" si="3"/>
        <v>78</v>
      </c>
    </row>
    <row r="16" spans="1:15" x14ac:dyDescent="0.25">
      <c r="A16" s="2" t="s">
        <v>32</v>
      </c>
      <c r="B16" s="13">
        <v>0.02</v>
      </c>
      <c r="C16" s="13">
        <v>0.02</v>
      </c>
      <c r="D16" s="13">
        <v>0.02</v>
      </c>
      <c r="E16" s="13">
        <v>0.02</v>
      </c>
      <c r="F16" s="13">
        <v>0.02</v>
      </c>
      <c r="G16" s="13">
        <v>0.02</v>
      </c>
      <c r="H16" s="13">
        <v>0.02</v>
      </c>
      <c r="I16" s="13">
        <v>0.02</v>
      </c>
      <c r="J16" s="13">
        <v>0.02</v>
      </c>
      <c r="K16" s="13">
        <v>0.02</v>
      </c>
      <c r="L16" s="13">
        <v>0.02</v>
      </c>
      <c r="M16" s="13">
        <v>0.02</v>
      </c>
      <c r="N16" s="13">
        <v>0.02</v>
      </c>
      <c r="O16" s="13">
        <v>0.02</v>
      </c>
    </row>
    <row r="17" spans="1:15" x14ac:dyDescent="0.25">
      <c r="A17" s="2" t="s">
        <v>23</v>
      </c>
      <c r="C17" s="18">
        <v>80</v>
      </c>
      <c r="D17" s="18">
        <f>C17*(1+D16)</f>
        <v>81.599999999999994</v>
      </c>
      <c r="E17" s="18">
        <f t="shared" ref="E17:O17" si="4">D17*(1+E16)</f>
        <v>83.231999999999999</v>
      </c>
      <c r="F17" s="18">
        <f t="shared" si="4"/>
        <v>84.896640000000005</v>
      </c>
      <c r="G17" s="18">
        <f t="shared" si="4"/>
        <v>86.594572800000009</v>
      </c>
      <c r="H17" s="18">
        <f t="shared" si="4"/>
        <v>88.326464256000008</v>
      </c>
      <c r="I17" s="18">
        <f t="shared" si="4"/>
        <v>90.092993541120009</v>
      </c>
      <c r="J17" s="18">
        <f t="shared" si="4"/>
        <v>91.894853411942407</v>
      </c>
      <c r="K17" s="18">
        <f t="shared" si="4"/>
        <v>93.732750480181252</v>
      </c>
      <c r="L17" s="18">
        <f t="shared" si="4"/>
        <v>95.607405489784881</v>
      </c>
      <c r="M17" s="18">
        <f t="shared" si="4"/>
        <v>97.519553599580576</v>
      </c>
      <c r="N17" s="18">
        <f t="shared" si="4"/>
        <v>99.469944671572193</v>
      </c>
      <c r="O17" s="18">
        <f t="shared" si="4"/>
        <v>101.45934356500364</v>
      </c>
    </row>
    <row r="18" spans="1:15" x14ac:dyDescent="0.25">
      <c r="A18" s="2" t="s">
        <v>26</v>
      </c>
      <c r="C18" s="14">
        <f>C13*C17</f>
        <v>6400</v>
      </c>
      <c r="D18" s="14">
        <f t="shared" ref="D18:O18" si="5">D13*D17</f>
        <v>6528</v>
      </c>
      <c r="E18" s="14">
        <f t="shared" si="5"/>
        <v>6658.5599999999995</v>
      </c>
      <c r="F18" s="14">
        <f t="shared" si="5"/>
        <v>6791.7312000000002</v>
      </c>
      <c r="G18" s="14">
        <f t="shared" si="5"/>
        <v>6927.5658240000012</v>
      </c>
      <c r="H18" s="14">
        <f t="shared" si="5"/>
        <v>7066.1171404800007</v>
      </c>
      <c r="I18" s="14">
        <f t="shared" si="5"/>
        <v>7207.4394832896005</v>
      </c>
      <c r="J18" s="14">
        <f t="shared" si="5"/>
        <v>7351.5882729553923</v>
      </c>
      <c r="K18" s="14">
        <f t="shared" si="5"/>
        <v>7498.6200384145004</v>
      </c>
      <c r="L18" s="14">
        <f t="shared" si="5"/>
        <v>7648.5924391827903</v>
      </c>
      <c r="M18" s="14">
        <f t="shared" si="5"/>
        <v>7801.5642879664465</v>
      </c>
      <c r="N18" s="14">
        <f t="shared" si="5"/>
        <v>7957.5955737257755</v>
      </c>
      <c r="O18" s="14">
        <f t="shared" si="5"/>
        <v>8116.7474852002906</v>
      </c>
    </row>
    <row r="20" spans="1:15" x14ac:dyDescent="0.25">
      <c r="A20" s="5" t="s">
        <v>30</v>
      </c>
    </row>
    <row r="21" spans="1:15" x14ac:dyDescent="0.25">
      <c r="A21" s="2" t="s">
        <v>28</v>
      </c>
      <c r="B21" s="13">
        <v>0.6</v>
      </c>
      <c r="C21" s="13">
        <v>0.6</v>
      </c>
      <c r="D21" s="13">
        <v>0.6</v>
      </c>
      <c r="E21" s="13">
        <v>0.6</v>
      </c>
      <c r="F21" s="13">
        <v>0.6</v>
      </c>
      <c r="G21" s="13">
        <v>0.6</v>
      </c>
      <c r="H21" s="13">
        <v>0.6</v>
      </c>
      <c r="I21" s="13">
        <v>0.6</v>
      </c>
      <c r="J21" s="13">
        <v>0.6</v>
      </c>
      <c r="K21" s="13">
        <v>0.6</v>
      </c>
      <c r="L21" s="13">
        <v>0.6</v>
      </c>
      <c r="M21" s="13">
        <v>0.6</v>
      </c>
      <c r="N21" s="13">
        <v>0.6</v>
      </c>
      <c r="O21" s="13">
        <v>0.6</v>
      </c>
    </row>
    <row r="22" spans="1:15" x14ac:dyDescent="0.25">
      <c r="A22" s="2" t="s">
        <v>29</v>
      </c>
      <c r="B22" s="14">
        <f>B5*B21</f>
        <v>24</v>
      </c>
      <c r="C22" s="14">
        <f t="shared" ref="C22:O22" si="6">C5*C21</f>
        <v>24</v>
      </c>
      <c r="D22" s="14">
        <f t="shared" si="6"/>
        <v>24</v>
      </c>
      <c r="E22" s="14">
        <f t="shared" si="6"/>
        <v>24</v>
      </c>
      <c r="F22" s="14">
        <f t="shared" si="6"/>
        <v>24</v>
      </c>
      <c r="G22" s="14">
        <f t="shared" si="6"/>
        <v>24</v>
      </c>
      <c r="H22" s="14">
        <f t="shared" si="6"/>
        <v>24</v>
      </c>
      <c r="I22" s="14">
        <f t="shared" si="6"/>
        <v>24</v>
      </c>
      <c r="J22" s="14">
        <f t="shared" si="6"/>
        <v>24</v>
      </c>
      <c r="K22" s="14">
        <f t="shared" si="6"/>
        <v>24</v>
      </c>
      <c r="L22" s="14">
        <f t="shared" si="6"/>
        <v>24</v>
      </c>
      <c r="M22" s="14">
        <f t="shared" si="6"/>
        <v>24</v>
      </c>
      <c r="N22" s="14">
        <f t="shared" si="6"/>
        <v>24</v>
      </c>
      <c r="O22" s="14">
        <f t="shared" si="6"/>
        <v>24</v>
      </c>
    </row>
    <row r="23" spans="1:15" x14ac:dyDescent="0.25">
      <c r="A23" s="2" t="s">
        <v>38</v>
      </c>
      <c r="B23" s="14">
        <f>B22*B9</f>
        <v>0</v>
      </c>
      <c r="C23" s="14">
        <f t="shared" ref="C23:O23" si="7">C22*C9</f>
        <v>960</v>
      </c>
      <c r="D23" s="14">
        <f t="shared" si="7"/>
        <v>979.19999999999993</v>
      </c>
      <c r="E23" s="14">
        <f t="shared" si="7"/>
        <v>998.78399999999999</v>
      </c>
      <c r="F23" s="14">
        <f t="shared" si="7"/>
        <v>1018.7596800000001</v>
      </c>
      <c r="G23" s="14">
        <f t="shared" si="7"/>
        <v>1039.1348736</v>
      </c>
      <c r="H23" s="14">
        <f t="shared" si="7"/>
        <v>1059.9175710720001</v>
      </c>
      <c r="I23" s="14">
        <f t="shared" si="7"/>
        <v>1081.1159224934402</v>
      </c>
      <c r="J23" s="14">
        <f t="shared" si="7"/>
        <v>1102.7382409433089</v>
      </c>
      <c r="K23" s="14">
        <f t="shared" si="7"/>
        <v>1124.793005762175</v>
      </c>
      <c r="L23" s="14">
        <f t="shared" si="7"/>
        <v>1147.2888658774186</v>
      </c>
      <c r="M23" s="14">
        <f t="shared" si="7"/>
        <v>1170.2346431949668</v>
      </c>
      <c r="N23" s="14">
        <f t="shared" si="7"/>
        <v>1193.6393360588663</v>
      </c>
      <c r="O23" s="14">
        <f t="shared" si="7"/>
        <v>1217.5121227800437</v>
      </c>
    </row>
    <row r="25" spans="1:15" x14ac:dyDescent="0.25">
      <c r="A25" t="s">
        <v>27</v>
      </c>
    </row>
    <row r="26" spans="1:15" x14ac:dyDescent="0.25">
      <c r="A26" s="2" t="s">
        <v>28</v>
      </c>
      <c r="B26" s="13">
        <v>0.6</v>
      </c>
      <c r="C26" s="13">
        <v>0.6</v>
      </c>
      <c r="D26" s="13">
        <v>0.6</v>
      </c>
      <c r="E26" s="13">
        <v>0.6</v>
      </c>
      <c r="F26" s="13">
        <v>0.6</v>
      </c>
      <c r="G26" s="13">
        <v>0.6</v>
      </c>
      <c r="H26" s="13">
        <v>0.6</v>
      </c>
      <c r="I26" s="13">
        <v>0.6</v>
      </c>
      <c r="J26" s="13">
        <v>0.6</v>
      </c>
      <c r="K26" s="13">
        <v>0.6</v>
      </c>
      <c r="L26" s="13">
        <v>0.6</v>
      </c>
      <c r="M26" s="13">
        <v>0.6</v>
      </c>
      <c r="N26" s="13">
        <v>0.6</v>
      </c>
      <c r="O26" s="13">
        <v>0.6</v>
      </c>
    </row>
    <row r="27" spans="1:15" x14ac:dyDescent="0.25">
      <c r="A27" s="2" t="s">
        <v>31</v>
      </c>
      <c r="B27" s="14">
        <f>B13*B26</f>
        <v>48</v>
      </c>
      <c r="C27" s="14">
        <f t="shared" ref="C27:O27" si="8">C13*C26</f>
        <v>48</v>
      </c>
      <c r="D27" s="14">
        <f t="shared" si="8"/>
        <v>48</v>
      </c>
      <c r="E27" s="14">
        <f t="shared" si="8"/>
        <v>48</v>
      </c>
      <c r="F27" s="14">
        <f t="shared" si="8"/>
        <v>48</v>
      </c>
      <c r="G27" s="14">
        <f t="shared" si="8"/>
        <v>48</v>
      </c>
      <c r="H27" s="14">
        <f t="shared" si="8"/>
        <v>48</v>
      </c>
      <c r="I27" s="14">
        <f t="shared" si="8"/>
        <v>48</v>
      </c>
      <c r="J27" s="14">
        <f t="shared" si="8"/>
        <v>48</v>
      </c>
      <c r="K27" s="14">
        <f t="shared" si="8"/>
        <v>48</v>
      </c>
      <c r="L27" s="14">
        <f t="shared" si="8"/>
        <v>48</v>
      </c>
      <c r="M27" s="14">
        <f t="shared" si="8"/>
        <v>48</v>
      </c>
      <c r="N27" s="14">
        <f t="shared" si="8"/>
        <v>48</v>
      </c>
      <c r="O27" s="14">
        <f t="shared" si="8"/>
        <v>48</v>
      </c>
    </row>
    <row r="28" spans="1:15" x14ac:dyDescent="0.25">
      <c r="A28" s="2" t="s">
        <v>39</v>
      </c>
      <c r="B28" s="14">
        <f>B27*B17</f>
        <v>0</v>
      </c>
      <c r="C28" s="14">
        <f t="shared" ref="C28:O28" si="9">C27*C17</f>
        <v>3840</v>
      </c>
      <c r="D28" s="14">
        <f t="shared" si="9"/>
        <v>3916.7999999999997</v>
      </c>
      <c r="E28" s="14">
        <f t="shared" si="9"/>
        <v>3995.136</v>
      </c>
      <c r="F28" s="14">
        <f t="shared" si="9"/>
        <v>4075.0387200000005</v>
      </c>
      <c r="G28" s="14">
        <f t="shared" si="9"/>
        <v>4156.5394944</v>
      </c>
      <c r="H28" s="14">
        <f t="shared" si="9"/>
        <v>4239.6702842880004</v>
      </c>
      <c r="I28" s="14">
        <f t="shared" si="9"/>
        <v>4324.4636899737607</v>
      </c>
      <c r="J28" s="14">
        <f t="shared" si="9"/>
        <v>4410.9529637732358</v>
      </c>
      <c r="K28" s="14">
        <f t="shared" si="9"/>
        <v>4499.1720230486999</v>
      </c>
      <c r="L28" s="14">
        <f t="shared" si="9"/>
        <v>4589.1554635096745</v>
      </c>
      <c r="M28" s="14">
        <f t="shared" si="9"/>
        <v>4680.9385727798672</v>
      </c>
      <c r="N28" s="14">
        <f t="shared" si="9"/>
        <v>4774.5573442354653</v>
      </c>
      <c r="O28" s="14">
        <f t="shared" si="9"/>
        <v>4870.0484911201747</v>
      </c>
    </row>
    <row r="30" spans="1:15" x14ac:dyDescent="0.25">
      <c r="A30" s="5" t="s">
        <v>37</v>
      </c>
    </row>
    <row r="31" spans="1:15" x14ac:dyDescent="0.25">
      <c r="A31" s="2" t="s">
        <v>19</v>
      </c>
      <c r="B31" s="14">
        <v>300</v>
      </c>
      <c r="C31" s="14">
        <v>300</v>
      </c>
      <c r="D31" s="14">
        <v>300</v>
      </c>
      <c r="E31" s="14">
        <v>300</v>
      </c>
      <c r="F31" s="14">
        <v>300</v>
      </c>
      <c r="G31" s="14">
        <v>300</v>
      </c>
      <c r="H31" s="14">
        <v>300</v>
      </c>
      <c r="I31" s="14">
        <v>300</v>
      </c>
      <c r="J31" s="14">
        <v>300</v>
      </c>
      <c r="K31" s="14">
        <v>300</v>
      </c>
      <c r="L31" s="14">
        <v>300</v>
      </c>
      <c r="M31" s="14">
        <v>300</v>
      </c>
      <c r="N31" s="14">
        <v>300</v>
      </c>
      <c r="O31" s="14">
        <v>300</v>
      </c>
    </row>
    <row r="32" spans="1:15" x14ac:dyDescent="0.25">
      <c r="A32" s="2" t="s">
        <v>40</v>
      </c>
      <c r="B32" s="14">
        <v>50</v>
      </c>
      <c r="C32" s="14">
        <v>50</v>
      </c>
      <c r="D32" s="14">
        <v>50</v>
      </c>
      <c r="E32" s="14">
        <v>50</v>
      </c>
      <c r="F32" s="14">
        <v>50</v>
      </c>
      <c r="G32" s="14">
        <v>50</v>
      </c>
      <c r="H32" s="14">
        <v>50</v>
      </c>
      <c r="I32" s="14">
        <v>50</v>
      </c>
      <c r="J32" s="14">
        <v>50</v>
      </c>
      <c r="K32" s="14">
        <v>50</v>
      </c>
      <c r="L32" s="14">
        <v>50</v>
      </c>
      <c r="M32" s="14">
        <v>50</v>
      </c>
      <c r="N32" s="14">
        <v>50</v>
      </c>
      <c r="O32" s="14">
        <v>50</v>
      </c>
    </row>
    <row r="33" spans="1:15" x14ac:dyDescent="0.25">
      <c r="A33" s="2" t="s">
        <v>41</v>
      </c>
      <c r="B33">
        <v>500</v>
      </c>
      <c r="C33">
        <v>500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  <c r="N33">
        <v>500</v>
      </c>
      <c r="O33">
        <v>500</v>
      </c>
    </row>
    <row r="34" spans="1:15" x14ac:dyDescent="0.25">
      <c r="A34" s="2" t="s">
        <v>42</v>
      </c>
      <c r="B34">
        <f>B35*B36</f>
        <v>500</v>
      </c>
      <c r="C34">
        <f t="shared" ref="C34:O34" si="10">C35*C36</f>
        <v>500</v>
      </c>
      <c r="D34">
        <f t="shared" si="10"/>
        <v>500</v>
      </c>
      <c r="E34">
        <f t="shared" si="10"/>
        <v>500</v>
      </c>
      <c r="F34">
        <f t="shared" si="10"/>
        <v>500</v>
      </c>
      <c r="G34">
        <f t="shared" si="10"/>
        <v>500</v>
      </c>
      <c r="H34">
        <f t="shared" si="10"/>
        <v>500</v>
      </c>
      <c r="I34">
        <f t="shared" si="10"/>
        <v>500</v>
      </c>
      <c r="J34">
        <f t="shared" si="10"/>
        <v>500</v>
      </c>
      <c r="K34">
        <f t="shared" si="10"/>
        <v>500</v>
      </c>
      <c r="L34">
        <f t="shared" si="10"/>
        <v>500</v>
      </c>
      <c r="M34">
        <f t="shared" si="10"/>
        <v>500</v>
      </c>
      <c r="N34">
        <f t="shared" si="10"/>
        <v>500</v>
      </c>
      <c r="O34">
        <f t="shared" si="10"/>
        <v>500</v>
      </c>
    </row>
    <row r="35" spans="1:15" x14ac:dyDescent="0.25">
      <c r="A35" s="2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</row>
    <row r="36" spans="1:15" x14ac:dyDescent="0.25">
      <c r="A36" s="2" t="s">
        <v>44</v>
      </c>
      <c r="B36">
        <v>250</v>
      </c>
      <c r="C36">
        <v>250</v>
      </c>
      <c r="D36">
        <v>250</v>
      </c>
      <c r="E36">
        <v>250</v>
      </c>
      <c r="F36">
        <v>250</v>
      </c>
      <c r="G36">
        <v>250</v>
      </c>
      <c r="H36">
        <v>250</v>
      </c>
      <c r="I36">
        <v>250</v>
      </c>
      <c r="J36">
        <v>250</v>
      </c>
      <c r="K36">
        <v>250</v>
      </c>
      <c r="L36">
        <v>250</v>
      </c>
      <c r="M36">
        <v>250</v>
      </c>
      <c r="N36">
        <v>250</v>
      </c>
      <c r="O36">
        <v>250</v>
      </c>
    </row>
    <row r="37" spans="1:15" x14ac:dyDescent="0.25">
      <c r="A37" s="2" t="s">
        <v>45</v>
      </c>
      <c r="B37" s="6">
        <f>SUM(B31:B34)</f>
        <v>1350</v>
      </c>
      <c r="C37" s="6">
        <f t="shared" ref="C37:O37" si="11">SUM(C31:C34)</f>
        <v>1350</v>
      </c>
      <c r="D37" s="6">
        <f t="shared" si="11"/>
        <v>1350</v>
      </c>
      <c r="E37" s="6">
        <f t="shared" si="11"/>
        <v>1350</v>
      </c>
      <c r="F37" s="6">
        <f t="shared" si="11"/>
        <v>1350</v>
      </c>
      <c r="G37" s="6">
        <f t="shared" si="11"/>
        <v>1350</v>
      </c>
      <c r="H37" s="6">
        <f t="shared" si="11"/>
        <v>1350</v>
      </c>
      <c r="I37" s="6">
        <f t="shared" si="11"/>
        <v>1350</v>
      </c>
      <c r="J37" s="6">
        <f t="shared" si="11"/>
        <v>1350</v>
      </c>
      <c r="K37" s="6">
        <f t="shared" si="11"/>
        <v>1350</v>
      </c>
      <c r="L37" s="6">
        <f t="shared" si="11"/>
        <v>1350</v>
      </c>
      <c r="M37" s="6">
        <f t="shared" si="11"/>
        <v>1350</v>
      </c>
      <c r="N37" s="6">
        <f t="shared" si="11"/>
        <v>1350</v>
      </c>
      <c r="O37" s="6">
        <f t="shared" si="11"/>
        <v>1350</v>
      </c>
    </row>
    <row r="39" spans="1:15" x14ac:dyDescent="0.25">
      <c r="A39" s="2" t="s">
        <v>47</v>
      </c>
    </row>
    <row r="40" spans="1:15" x14ac:dyDescent="0.25">
      <c r="A40" s="2" t="s">
        <v>48</v>
      </c>
      <c r="B40" s="14">
        <v>500</v>
      </c>
      <c r="C40" s="14">
        <v>500</v>
      </c>
      <c r="D40" s="14">
        <v>500</v>
      </c>
      <c r="E40" s="14">
        <v>500</v>
      </c>
      <c r="F40" s="14">
        <v>500</v>
      </c>
      <c r="G40" s="14">
        <v>500</v>
      </c>
      <c r="H40" s="14">
        <v>500</v>
      </c>
      <c r="I40" s="14">
        <v>500</v>
      </c>
      <c r="J40" s="14">
        <v>500</v>
      </c>
      <c r="K40" s="14">
        <v>500</v>
      </c>
      <c r="L40" s="14">
        <v>500</v>
      </c>
      <c r="M40" s="14">
        <v>500</v>
      </c>
      <c r="N40" s="14">
        <v>500</v>
      </c>
      <c r="O40" s="14">
        <v>500</v>
      </c>
    </row>
    <row r="41" spans="1:15" x14ac:dyDescent="0.25">
      <c r="A41" s="2" t="s">
        <v>49</v>
      </c>
      <c r="B41" s="14">
        <v>500</v>
      </c>
      <c r="C41" s="14">
        <v>500</v>
      </c>
      <c r="D41" s="14">
        <v>500</v>
      </c>
      <c r="E41" s="14">
        <v>500</v>
      </c>
      <c r="F41" s="14">
        <v>500</v>
      </c>
      <c r="G41" s="14">
        <v>500</v>
      </c>
      <c r="H41" s="14">
        <v>500</v>
      </c>
      <c r="I41" s="14">
        <v>500</v>
      </c>
      <c r="J41" s="14">
        <v>500</v>
      </c>
      <c r="K41" s="14">
        <v>500</v>
      </c>
      <c r="L41" s="14">
        <v>500</v>
      </c>
      <c r="M41" s="14">
        <v>500</v>
      </c>
      <c r="N41" s="14">
        <v>500</v>
      </c>
      <c r="O41" s="14">
        <v>500</v>
      </c>
    </row>
    <row r="42" spans="1:15" x14ac:dyDescent="0.25">
      <c r="A42" s="2" t="s">
        <v>59</v>
      </c>
      <c r="B42" s="14">
        <v>50</v>
      </c>
      <c r="C42" s="14">
        <v>50</v>
      </c>
      <c r="D42" s="14">
        <v>50</v>
      </c>
      <c r="E42" s="14">
        <v>50</v>
      </c>
      <c r="F42" s="14">
        <v>50</v>
      </c>
      <c r="G42" s="14">
        <v>50</v>
      </c>
      <c r="H42" s="14">
        <v>50</v>
      </c>
      <c r="I42" s="14">
        <v>50</v>
      </c>
      <c r="J42" s="14">
        <v>50</v>
      </c>
      <c r="K42" s="14">
        <v>50</v>
      </c>
      <c r="L42" s="14">
        <v>50</v>
      </c>
      <c r="M42" s="14">
        <v>50</v>
      </c>
      <c r="N42" s="14">
        <v>50</v>
      </c>
      <c r="O42" s="14">
        <v>50</v>
      </c>
    </row>
    <row r="43" spans="1:15" x14ac:dyDescent="0.25">
      <c r="A43" s="2" t="s">
        <v>60</v>
      </c>
      <c r="B43" s="14">
        <v>200</v>
      </c>
      <c r="C43" s="14">
        <v>200</v>
      </c>
      <c r="D43" s="14">
        <v>200</v>
      </c>
      <c r="E43" s="14">
        <v>200</v>
      </c>
      <c r="F43" s="14">
        <v>200</v>
      </c>
      <c r="G43" s="14">
        <v>200</v>
      </c>
      <c r="H43" s="14">
        <v>200</v>
      </c>
      <c r="I43" s="14">
        <v>200</v>
      </c>
      <c r="J43" s="14">
        <v>200</v>
      </c>
      <c r="K43" s="14">
        <v>200</v>
      </c>
      <c r="L43" s="14">
        <v>200</v>
      </c>
      <c r="M43" s="14">
        <v>200</v>
      </c>
      <c r="N43" s="14">
        <v>200</v>
      </c>
      <c r="O43" s="14">
        <v>200</v>
      </c>
    </row>
    <row r="44" spans="1:15" x14ac:dyDescent="0.25">
      <c r="A44" s="2" t="s">
        <v>61</v>
      </c>
      <c r="B44" s="14">
        <v>200</v>
      </c>
      <c r="C44" s="14"/>
      <c r="D44" s="14"/>
      <c r="E44" s="14">
        <v>200</v>
      </c>
      <c r="F44" s="14"/>
      <c r="G44" s="14"/>
      <c r="H44" s="14">
        <v>200</v>
      </c>
      <c r="I44" s="14"/>
      <c r="J44" s="14"/>
      <c r="K44" s="14">
        <v>200</v>
      </c>
      <c r="L44" s="14"/>
      <c r="M44" s="14"/>
      <c r="N44" s="14">
        <v>200</v>
      </c>
      <c r="O44" s="14"/>
    </row>
    <row r="45" spans="1:15" x14ac:dyDescent="0.25">
      <c r="A45" s="2" t="s">
        <v>62</v>
      </c>
      <c r="B45" s="14">
        <v>50</v>
      </c>
      <c r="C45" s="14">
        <v>50</v>
      </c>
      <c r="D45" s="14">
        <v>50</v>
      </c>
      <c r="E45" s="14">
        <v>50</v>
      </c>
      <c r="F45" s="14">
        <v>50</v>
      </c>
      <c r="G45" s="14">
        <v>50</v>
      </c>
      <c r="H45" s="14">
        <v>50</v>
      </c>
      <c r="I45" s="14">
        <v>50</v>
      </c>
      <c r="J45" s="14">
        <v>50</v>
      </c>
      <c r="K45" s="14">
        <v>50</v>
      </c>
      <c r="L45" s="14">
        <v>50</v>
      </c>
      <c r="M45" s="14">
        <v>50</v>
      </c>
      <c r="N45" s="14">
        <v>50</v>
      </c>
      <c r="O45" s="14">
        <v>50</v>
      </c>
    </row>
    <row r="46" spans="1:15" x14ac:dyDescent="0.25">
      <c r="A46" s="2" t="s">
        <v>63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250</v>
      </c>
      <c r="I46" s="14">
        <v>250</v>
      </c>
      <c r="J46" s="14">
        <v>250</v>
      </c>
      <c r="K46" s="14">
        <v>250</v>
      </c>
      <c r="L46" s="14">
        <v>250</v>
      </c>
      <c r="M46" s="14">
        <v>250</v>
      </c>
      <c r="N46" s="14">
        <v>250</v>
      </c>
      <c r="O46" s="14">
        <v>250</v>
      </c>
    </row>
    <row r="47" spans="1:15" x14ac:dyDescent="0.25">
      <c r="A47" s="2" t="s">
        <v>67</v>
      </c>
      <c r="B47" s="14">
        <f>SUM(B40:B46)</f>
        <v>1500</v>
      </c>
      <c r="C47" s="14">
        <f t="shared" ref="C47:O47" si="12">SUM(C40:C46)</f>
        <v>1300</v>
      </c>
      <c r="D47" s="14">
        <f t="shared" si="12"/>
        <v>1300</v>
      </c>
      <c r="E47" s="14">
        <f t="shared" si="12"/>
        <v>1500</v>
      </c>
      <c r="F47" s="14">
        <f t="shared" si="12"/>
        <v>1300</v>
      </c>
      <c r="G47" s="14">
        <f t="shared" si="12"/>
        <v>1300</v>
      </c>
      <c r="H47" s="14">
        <f t="shared" si="12"/>
        <v>1750</v>
      </c>
      <c r="I47" s="14">
        <f t="shared" si="12"/>
        <v>1550</v>
      </c>
      <c r="J47" s="14">
        <f t="shared" si="12"/>
        <v>1550</v>
      </c>
      <c r="K47" s="14">
        <f t="shared" si="12"/>
        <v>1750</v>
      </c>
      <c r="L47" s="14">
        <f t="shared" si="12"/>
        <v>1550</v>
      </c>
      <c r="M47" s="14">
        <f t="shared" si="12"/>
        <v>1550</v>
      </c>
      <c r="N47" s="14">
        <f t="shared" si="12"/>
        <v>1750</v>
      </c>
      <c r="O47" s="14">
        <f t="shared" si="12"/>
        <v>1550</v>
      </c>
    </row>
    <row r="49" spans="1:15" x14ac:dyDescent="0.25">
      <c r="A49" s="5" t="s">
        <v>54</v>
      </c>
    </row>
    <row r="50" spans="1:15" x14ac:dyDescent="0.25">
      <c r="A50" s="2" t="s">
        <v>55</v>
      </c>
      <c r="C50" s="6">
        <f>C52*C51</f>
        <v>16.5</v>
      </c>
      <c r="D50" s="6">
        <f t="shared" ref="D50:O50" si="13">D52*D51</f>
        <v>33</v>
      </c>
      <c r="E50" s="6">
        <f t="shared" si="13"/>
        <v>49.5</v>
      </c>
      <c r="F50" s="6">
        <f t="shared" si="13"/>
        <v>66</v>
      </c>
      <c r="G50" s="6">
        <f t="shared" si="13"/>
        <v>82.5</v>
      </c>
      <c r="H50" s="6">
        <f t="shared" si="13"/>
        <v>99</v>
      </c>
      <c r="I50" s="6">
        <f t="shared" si="13"/>
        <v>115.5</v>
      </c>
      <c r="J50" s="6">
        <f t="shared" si="13"/>
        <v>132</v>
      </c>
      <c r="K50" s="6">
        <f t="shared" si="13"/>
        <v>148.5</v>
      </c>
      <c r="L50" s="6">
        <f t="shared" si="13"/>
        <v>165</v>
      </c>
      <c r="M50" s="6">
        <f t="shared" si="13"/>
        <v>181.5</v>
      </c>
      <c r="N50" s="6">
        <f t="shared" si="13"/>
        <v>198</v>
      </c>
      <c r="O50" s="6">
        <f t="shared" si="13"/>
        <v>214.5</v>
      </c>
    </row>
    <row r="51" spans="1:15" x14ac:dyDescent="0.25">
      <c r="A51" s="4" t="s">
        <v>56</v>
      </c>
      <c r="B51" s="14">
        <v>1.5</v>
      </c>
      <c r="C51" s="14">
        <v>1.5</v>
      </c>
      <c r="D51" s="14">
        <v>1.5</v>
      </c>
      <c r="E51" s="14">
        <v>1.5</v>
      </c>
      <c r="F51" s="14">
        <v>1.5</v>
      </c>
      <c r="G51" s="14">
        <v>1.5</v>
      </c>
      <c r="H51" s="14">
        <v>1.5</v>
      </c>
      <c r="I51" s="14">
        <v>1.5</v>
      </c>
      <c r="J51" s="14">
        <v>1.5</v>
      </c>
      <c r="K51" s="14">
        <v>1.5</v>
      </c>
      <c r="L51" s="14">
        <v>1.5</v>
      </c>
      <c r="M51" s="14">
        <v>1.5</v>
      </c>
      <c r="N51" s="14">
        <v>1.5</v>
      </c>
      <c r="O51" s="14">
        <v>1.5</v>
      </c>
    </row>
    <row r="52" spans="1:15" x14ac:dyDescent="0.25">
      <c r="A52" s="4" t="s">
        <v>57</v>
      </c>
      <c r="C52">
        <f>C15+C7</f>
        <v>11</v>
      </c>
      <c r="D52">
        <f>D15+D7</f>
        <v>22</v>
      </c>
      <c r="E52">
        <f t="shared" ref="E52:O52" si="14">E15+E7</f>
        <v>33</v>
      </c>
      <c r="F52">
        <f t="shared" si="14"/>
        <v>44</v>
      </c>
      <c r="G52">
        <f t="shared" si="14"/>
        <v>55</v>
      </c>
      <c r="H52">
        <f t="shared" si="14"/>
        <v>66</v>
      </c>
      <c r="I52">
        <f t="shared" si="14"/>
        <v>77</v>
      </c>
      <c r="J52">
        <f t="shared" si="14"/>
        <v>88</v>
      </c>
      <c r="K52">
        <f t="shared" si="14"/>
        <v>99</v>
      </c>
      <c r="L52">
        <f t="shared" si="14"/>
        <v>110</v>
      </c>
      <c r="M52">
        <f t="shared" si="14"/>
        <v>121</v>
      </c>
      <c r="N52">
        <f t="shared" si="14"/>
        <v>132</v>
      </c>
      <c r="O52">
        <f t="shared" si="14"/>
        <v>143</v>
      </c>
    </row>
    <row r="53" spans="1:15" x14ac:dyDescent="0.25">
      <c r="A53" s="2" t="s">
        <v>58</v>
      </c>
      <c r="B53" s="6">
        <v>15</v>
      </c>
      <c r="C53" s="6">
        <v>15</v>
      </c>
      <c r="D53" s="6">
        <v>15</v>
      </c>
      <c r="E53" s="6">
        <v>15</v>
      </c>
      <c r="F53" s="6">
        <v>15</v>
      </c>
      <c r="G53" s="6">
        <v>15</v>
      </c>
      <c r="H53" s="6">
        <v>15</v>
      </c>
      <c r="I53" s="6">
        <v>15</v>
      </c>
      <c r="J53" s="6">
        <v>15</v>
      </c>
      <c r="K53" s="6">
        <v>15</v>
      </c>
      <c r="L53" s="6">
        <v>15</v>
      </c>
      <c r="M53" s="6">
        <v>15</v>
      </c>
      <c r="N53" s="6">
        <v>15</v>
      </c>
      <c r="O53" s="6">
        <v>15</v>
      </c>
    </row>
    <row r="54" spans="1:15" x14ac:dyDescent="0.25">
      <c r="A54" s="2" t="s">
        <v>64</v>
      </c>
      <c r="B54" s="14">
        <f>B55+((B10+B18)*B56)</f>
        <v>100</v>
      </c>
      <c r="C54" s="14">
        <f t="shared" ref="C54:O54" si="15">C55+((C10+C18)*C56)</f>
        <v>260</v>
      </c>
      <c r="D54" s="14">
        <f t="shared" si="15"/>
        <v>263.20000000000005</v>
      </c>
      <c r="E54" s="14">
        <f t="shared" si="15"/>
        <v>266.46399999999994</v>
      </c>
      <c r="F54" s="14">
        <f t="shared" si="15"/>
        <v>269.79327999999998</v>
      </c>
      <c r="G54" s="14">
        <f t="shared" si="15"/>
        <v>273.18914560000007</v>
      </c>
      <c r="H54" s="14">
        <f t="shared" si="15"/>
        <v>276.65292851200002</v>
      </c>
      <c r="I54" s="14">
        <f t="shared" si="15"/>
        <v>280.18598708223999</v>
      </c>
      <c r="J54" s="14">
        <f t="shared" si="15"/>
        <v>283.78970682388479</v>
      </c>
      <c r="K54" s="14">
        <f t="shared" si="15"/>
        <v>287.46550096036253</v>
      </c>
      <c r="L54" s="14">
        <f t="shared" si="15"/>
        <v>291.21481097956973</v>
      </c>
      <c r="M54" s="14">
        <f t="shared" si="15"/>
        <v>295.03910719916115</v>
      </c>
      <c r="N54" s="14">
        <f t="shared" si="15"/>
        <v>298.93988934314439</v>
      </c>
      <c r="O54" s="14">
        <f t="shared" si="15"/>
        <v>302.91868713000724</v>
      </c>
    </row>
    <row r="55" spans="1:15" x14ac:dyDescent="0.25">
      <c r="A55" s="2" t="s">
        <v>65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</row>
    <row r="56" spans="1:15" x14ac:dyDescent="0.25">
      <c r="A56" s="2" t="s">
        <v>66</v>
      </c>
      <c r="B56" s="13">
        <v>0.02</v>
      </c>
      <c r="C56" s="13">
        <v>0.02</v>
      </c>
      <c r="D56" s="13">
        <v>0.02</v>
      </c>
      <c r="E56" s="13">
        <v>0.02</v>
      </c>
      <c r="F56" s="13">
        <v>0.02</v>
      </c>
      <c r="G56" s="13">
        <v>0.02</v>
      </c>
      <c r="H56" s="13">
        <v>0.02</v>
      </c>
      <c r="I56" s="13">
        <v>0.02</v>
      </c>
      <c r="J56" s="13">
        <v>0.02</v>
      </c>
      <c r="K56" s="13">
        <v>0.02</v>
      </c>
      <c r="L56" s="13">
        <v>0.02</v>
      </c>
      <c r="M56" s="13">
        <v>0.02</v>
      </c>
      <c r="N56" s="13">
        <v>0.02</v>
      </c>
      <c r="O56" s="13">
        <v>0.02</v>
      </c>
    </row>
    <row r="57" spans="1:15" x14ac:dyDescent="0.25">
      <c r="A57" s="2" t="s">
        <v>68</v>
      </c>
      <c r="B57" s="6">
        <f>B50+B53+B54</f>
        <v>115</v>
      </c>
      <c r="C57" s="6">
        <f t="shared" ref="C57:O57" si="16">C50+C53+C54</f>
        <v>291.5</v>
      </c>
      <c r="D57" s="6">
        <f t="shared" si="16"/>
        <v>311.20000000000005</v>
      </c>
      <c r="E57" s="6">
        <f t="shared" si="16"/>
        <v>330.96399999999994</v>
      </c>
      <c r="F57" s="6">
        <f t="shared" si="16"/>
        <v>350.79327999999998</v>
      </c>
      <c r="G57" s="6">
        <f t="shared" si="16"/>
        <v>370.68914560000007</v>
      </c>
      <c r="H57" s="6">
        <f t="shared" si="16"/>
        <v>390.65292851200002</v>
      </c>
      <c r="I57" s="6">
        <f t="shared" si="16"/>
        <v>410.68598708223999</v>
      </c>
      <c r="J57" s="6">
        <f t="shared" si="16"/>
        <v>430.78970682388479</v>
      </c>
      <c r="K57" s="6">
        <f t="shared" si="16"/>
        <v>450.96550096036253</v>
      </c>
      <c r="L57" s="6">
        <f t="shared" si="16"/>
        <v>471.21481097956973</v>
      </c>
      <c r="M57" s="6">
        <f t="shared" si="16"/>
        <v>491.53910719916115</v>
      </c>
      <c r="N57" s="6">
        <f t="shared" si="16"/>
        <v>511.93988934314439</v>
      </c>
      <c r="O57" s="6">
        <f t="shared" si="16"/>
        <v>532.41868713000724</v>
      </c>
    </row>
    <row r="59" spans="1:15" x14ac:dyDescent="0.25">
      <c r="A59" s="5" t="s">
        <v>76</v>
      </c>
    </row>
    <row r="60" spans="1:15" x14ac:dyDescent="0.25">
      <c r="A60" s="2" t="s">
        <v>16</v>
      </c>
      <c r="B60" s="21">
        <v>20000</v>
      </c>
    </row>
    <row r="61" spans="1:15" x14ac:dyDescent="0.25">
      <c r="A61" s="2" t="s">
        <v>84</v>
      </c>
      <c r="C61" s="21">
        <f>PMT(0%,60,-B60)</f>
        <v>333.33333333333331</v>
      </c>
      <c r="D61" s="21">
        <f>C61</f>
        <v>333.33333333333331</v>
      </c>
      <c r="E61" s="21">
        <f t="shared" ref="E61:O61" si="17">D61</f>
        <v>333.33333333333331</v>
      </c>
      <c r="F61" s="21">
        <f t="shared" si="17"/>
        <v>333.33333333333331</v>
      </c>
      <c r="G61" s="21">
        <f t="shared" si="17"/>
        <v>333.33333333333331</v>
      </c>
      <c r="H61" s="21">
        <f t="shared" si="17"/>
        <v>333.33333333333331</v>
      </c>
      <c r="I61" s="21">
        <f t="shared" si="17"/>
        <v>333.33333333333331</v>
      </c>
      <c r="J61" s="21">
        <f t="shared" si="17"/>
        <v>333.33333333333331</v>
      </c>
      <c r="K61" s="21">
        <f t="shared" si="17"/>
        <v>333.33333333333331</v>
      </c>
      <c r="L61" s="21">
        <f t="shared" si="17"/>
        <v>333.33333333333331</v>
      </c>
      <c r="M61" s="21">
        <f t="shared" si="17"/>
        <v>333.33333333333331</v>
      </c>
      <c r="N61" s="21">
        <f t="shared" si="17"/>
        <v>333.33333333333331</v>
      </c>
      <c r="O61" s="21">
        <f t="shared" si="17"/>
        <v>333.33333333333331</v>
      </c>
    </row>
    <row r="63" spans="1:15" x14ac:dyDescent="0.25">
      <c r="A63" t="s">
        <v>87</v>
      </c>
    </row>
    <row r="64" spans="1:15" x14ac:dyDescent="0.25">
      <c r="A64" s="2" t="s">
        <v>88</v>
      </c>
      <c r="B64" s="21">
        <v>20000</v>
      </c>
      <c r="G64" s="21">
        <v>25000</v>
      </c>
    </row>
    <row r="65" spans="1:15" x14ac:dyDescent="0.25">
      <c r="A65" s="2" t="s">
        <v>77</v>
      </c>
      <c r="G65" s="21"/>
    </row>
    <row r="67" spans="1:15" x14ac:dyDescent="0.25">
      <c r="A67" t="s">
        <v>91</v>
      </c>
    </row>
    <row r="68" spans="1:15" x14ac:dyDescent="0.25">
      <c r="A68" s="2" t="s">
        <v>92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</row>
    <row r="69" spans="1:15" x14ac:dyDescent="0.25">
      <c r="A69" s="2"/>
    </row>
    <row r="70" spans="1:15" x14ac:dyDescent="0.25">
      <c r="A70" t="s">
        <v>1</v>
      </c>
    </row>
    <row r="71" spans="1:15" x14ac:dyDescent="0.25">
      <c r="A71" s="2" t="s">
        <v>2</v>
      </c>
      <c r="B71" s="21">
        <v>50000</v>
      </c>
    </row>
    <row r="73" spans="1:15" x14ac:dyDescent="0.25">
      <c r="A73" s="5" t="s">
        <v>0</v>
      </c>
    </row>
    <row r="74" spans="1:15" x14ac:dyDescent="0.25">
      <c r="A74" s="2" t="s">
        <v>96</v>
      </c>
      <c r="B74" s="21">
        <v>30000</v>
      </c>
    </row>
  </sheetData>
  <mergeCells count="14">
    <mergeCell ref="N1:N2"/>
    <mergeCell ref="O1:O2"/>
    <mergeCell ref="H1:H2"/>
    <mergeCell ref="I1:I2"/>
    <mergeCell ref="J1:J2"/>
    <mergeCell ref="K1:K2"/>
    <mergeCell ref="L1:L2"/>
    <mergeCell ref="M1:M2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2F28-1E06-484F-87D3-B0D6EEFAF7E9}">
  <dimension ref="A1:AK2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0.7109375" bestFit="1" customWidth="1"/>
    <col min="2" max="2" width="14.5703125" style="6" bestFit="1" customWidth="1"/>
  </cols>
  <sheetData>
    <row r="1" spans="1:37" x14ac:dyDescent="0.25">
      <c r="A1" s="9" t="s">
        <v>3</v>
      </c>
      <c r="B1" s="27">
        <v>43313</v>
      </c>
      <c r="C1" s="25">
        <v>43344</v>
      </c>
      <c r="D1" s="27">
        <v>43374</v>
      </c>
      <c r="E1" s="25">
        <v>43405</v>
      </c>
      <c r="F1" s="27">
        <v>43435</v>
      </c>
      <c r="G1" s="25">
        <v>43466</v>
      </c>
      <c r="H1" s="27">
        <v>43497</v>
      </c>
      <c r="I1" s="25">
        <v>43525</v>
      </c>
      <c r="J1" s="27">
        <v>43556</v>
      </c>
      <c r="K1" s="25">
        <v>43586</v>
      </c>
      <c r="L1" s="27">
        <v>43617</v>
      </c>
      <c r="M1" s="25">
        <v>43647</v>
      </c>
      <c r="N1" s="27">
        <v>43678</v>
      </c>
      <c r="O1" s="25">
        <v>43709</v>
      </c>
      <c r="P1" s="27">
        <v>43739</v>
      </c>
      <c r="Q1" s="25">
        <v>43770</v>
      </c>
      <c r="R1" s="27">
        <v>43800</v>
      </c>
      <c r="S1" s="25">
        <v>43831</v>
      </c>
      <c r="T1" s="27">
        <v>43862</v>
      </c>
      <c r="U1" s="25">
        <v>43891</v>
      </c>
      <c r="V1" s="27">
        <v>43922</v>
      </c>
      <c r="W1" s="25">
        <v>43952</v>
      </c>
      <c r="X1" s="27">
        <v>43983</v>
      </c>
      <c r="Y1" s="25">
        <v>44013</v>
      </c>
      <c r="Z1" s="27">
        <v>44044</v>
      </c>
      <c r="AA1" s="25">
        <v>44075</v>
      </c>
      <c r="AB1" s="27">
        <v>44105</v>
      </c>
      <c r="AC1" s="25">
        <v>44136</v>
      </c>
      <c r="AD1" s="27">
        <v>44166</v>
      </c>
      <c r="AE1" s="25">
        <v>44197</v>
      </c>
      <c r="AF1" s="27">
        <v>44228</v>
      </c>
      <c r="AG1" s="25">
        <v>44256</v>
      </c>
      <c r="AH1" s="27">
        <v>44287</v>
      </c>
      <c r="AI1" s="25">
        <v>44317</v>
      </c>
      <c r="AJ1" s="27">
        <v>44348</v>
      </c>
      <c r="AK1" s="25">
        <v>44378</v>
      </c>
    </row>
    <row r="2" spans="1:37" x14ac:dyDescent="0.25">
      <c r="A2" s="7" t="s">
        <v>4</v>
      </c>
      <c r="B2" s="29"/>
      <c r="C2" s="26"/>
      <c r="D2" s="28"/>
      <c r="E2" s="26"/>
      <c r="F2" s="28"/>
      <c r="G2" s="26"/>
      <c r="H2" s="28"/>
      <c r="I2" s="26"/>
      <c r="J2" s="28"/>
      <c r="K2" s="26"/>
      <c r="L2" s="28"/>
      <c r="M2" s="26"/>
      <c r="N2" s="28"/>
      <c r="O2" s="26"/>
      <c r="P2" s="28"/>
      <c r="Q2" s="26"/>
      <c r="R2" s="28"/>
      <c r="S2" s="26"/>
      <c r="T2" s="28"/>
      <c r="U2" s="26"/>
      <c r="V2" s="28"/>
      <c r="W2" s="26"/>
      <c r="X2" s="28"/>
      <c r="Y2" s="26"/>
      <c r="Z2" s="28"/>
      <c r="AA2" s="26"/>
      <c r="AB2" s="28"/>
      <c r="AC2" s="26"/>
      <c r="AD2" s="28"/>
      <c r="AE2" s="26"/>
      <c r="AF2" s="28"/>
      <c r="AG2" s="26"/>
      <c r="AH2" s="28"/>
      <c r="AI2" s="26"/>
      <c r="AJ2" s="28"/>
      <c r="AK2" s="26"/>
    </row>
    <row r="4" spans="1:37" x14ac:dyDescent="0.25">
      <c r="A4" s="10" t="s">
        <v>5</v>
      </c>
      <c r="B4" s="6">
        <f>SUM(B6:B7,B9)</f>
        <v>67035</v>
      </c>
      <c r="C4" s="6">
        <f>SUM(C6:C9)</f>
        <v>66960.166666666672</v>
      </c>
      <c r="D4" s="6">
        <f t="shared" ref="D4:M4" si="0">SUM(D6:D9)</f>
        <v>66929.633333333331</v>
      </c>
      <c r="E4" s="6">
        <f t="shared" si="0"/>
        <v>66744.616000000009</v>
      </c>
      <c r="F4" s="6">
        <f t="shared" si="0"/>
        <v>66806.354986666673</v>
      </c>
      <c r="G4" s="6">
        <f t="shared" si="0"/>
        <v>91916.115419733338</v>
      </c>
      <c r="H4" s="6">
        <f t="shared" si="0"/>
        <v>91625.187728128003</v>
      </c>
      <c r="I4" s="6">
        <f t="shared" si="0"/>
        <v>91584.888149357226</v>
      </c>
      <c r="J4" s="6">
        <f t="shared" si="0"/>
        <v>91596.559245677709</v>
      </c>
      <c r="K4" s="6">
        <f t="shared" si="0"/>
        <v>91461.570430591266</v>
      </c>
      <c r="L4" s="6">
        <f t="shared" si="0"/>
        <v>91581.318505869756</v>
      </c>
      <c r="M4" s="6">
        <f t="shared" si="0"/>
        <v>91757.228209320485</v>
      </c>
    </row>
    <row r="5" spans="1:37" x14ac:dyDescent="0.25">
      <c r="A5" s="1" t="s">
        <v>6</v>
      </c>
    </row>
    <row r="6" spans="1:37" x14ac:dyDescent="0.25">
      <c r="A6" s="3" t="s">
        <v>7</v>
      </c>
      <c r="B6" s="6">
        <f>'Flujo de caja'!B25</f>
        <v>37035</v>
      </c>
      <c r="C6" s="6">
        <f>'Flujo de caja'!C25</f>
        <v>30560.166666666668</v>
      </c>
      <c r="D6" s="6">
        <f>'Flujo de caja'!D25</f>
        <v>30401.633333333335</v>
      </c>
      <c r="E6" s="6">
        <f>'Flujo de caja'!E25</f>
        <v>30086.056</v>
      </c>
      <c r="F6" s="6">
        <f>'Flujo de caja'!F25</f>
        <v>30014.623786666667</v>
      </c>
      <c r="G6" s="6">
        <f>'Flujo de caja'!G25</f>
        <v>54988.549595733333</v>
      </c>
      <c r="H6" s="6">
        <f>'Flujo de caja'!H25</f>
        <v>54559.070587647999</v>
      </c>
      <c r="I6" s="6">
        <f>'Flujo de caja'!I25</f>
        <v>54377.448666067627</v>
      </c>
      <c r="J6" s="6">
        <f>'Flujo de caja'!J25</f>
        <v>54244.970972722316</v>
      </c>
      <c r="K6" s="6">
        <f>'Flujo de caja'!K25</f>
        <v>53962.950392176761</v>
      </c>
      <c r="L6" s="6">
        <f>'Flujo de caja'!L25</f>
        <v>53932.726066686962</v>
      </c>
      <c r="M6" s="6">
        <f>'Flujo de caja'!M25</f>
        <v>53955.663921354033</v>
      </c>
    </row>
    <row r="7" spans="1:37" x14ac:dyDescent="0.25">
      <c r="A7" s="3" t="s">
        <v>8</v>
      </c>
      <c r="B7" s="6">
        <f>'Estado de resultados'!B4-'Flujo de caja'!B5-'Flujo de caja'!B6</f>
        <v>0</v>
      </c>
      <c r="C7" s="6">
        <f>B7+'Estado de resultados'!C4-'Flujo de caja'!C5-'Flujo de caja'!C6</f>
        <v>6400</v>
      </c>
      <c r="D7" s="6">
        <f>C7+'Estado de resultados'!D4-'Flujo de caja'!D5-'Flujo de caja'!D6</f>
        <v>6528</v>
      </c>
      <c r="E7" s="6">
        <f>D7+'Estado de resultados'!E4-'Flujo de caja'!E5-'Flujo de caja'!E6</f>
        <v>6658.5599999999995</v>
      </c>
      <c r="F7" s="6">
        <f>E7+'Estado de resultados'!F4-'Flujo de caja'!F5-'Flujo de caja'!F6</f>
        <v>6791.7312000000002</v>
      </c>
      <c r="G7" s="6">
        <f>F7+'Estado de resultados'!G4-'Flujo de caja'!G5-'Flujo de caja'!G6</f>
        <v>6927.565824000003</v>
      </c>
      <c r="H7" s="6">
        <f>G7+'Estado de resultados'!H4-'Flujo de caja'!H5-'Flujo de caja'!H6</f>
        <v>7066.1171404800007</v>
      </c>
      <c r="I7" s="6">
        <f>H7+'Estado de resultados'!I4-'Flujo de caja'!I5-'Flujo de caja'!I6</f>
        <v>7207.4394832896014</v>
      </c>
      <c r="J7" s="6">
        <f>I7+'Estado de resultados'!J4-'Flujo de caja'!J5-'Flujo de caja'!J6</f>
        <v>7351.5882729553932</v>
      </c>
      <c r="K7" s="6">
        <f>J7+'Estado de resultados'!K4-'Flujo de caja'!K5-'Flujo de caja'!K6</f>
        <v>7498.6200384145031</v>
      </c>
      <c r="L7" s="6">
        <f>K7+'Estado de resultados'!L4-'Flujo de caja'!L5-'Flujo de caja'!L6</f>
        <v>7648.5924391827948</v>
      </c>
      <c r="M7" s="6">
        <f>L7+'Estado de resultados'!M4-'Flujo de caja'!M5-'Flujo de caja'!M6</f>
        <v>7801.5642879664501</v>
      </c>
    </row>
    <row r="8" spans="1:37" x14ac:dyDescent="0.25">
      <c r="A8" s="1" t="s">
        <v>9</v>
      </c>
    </row>
    <row r="9" spans="1:37" x14ac:dyDescent="0.25">
      <c r="A9" s="3" t="s">
        <v>10</v>
      </c>
      <c r="B9" s="21">
        <f>Supuestos2!B74</f>
        <v>30000</v>
      </c>
      <c r="C9" s="6">
        <f>B9+Supuestos2!C68</f>
        <v>30000</v>
      </c>
      <c r="D9" s="6">
        <f>C9+Supuestos2!D68</f>
        <v>30000</v>
      </c>
      <c r="E9" s="6">
        <f>D9+Supuestos2!E68</f>
        <v>30000</v>
      </c>
      <c r="F9" s="6">
        <f>E9+Supuestos2!F68</f>
        <v>30000</v>
      </c>
      <c r="G9" s="6">
        <f>F9+Supuestos2!G68</f>
        <v>30000</v>
      </c>
      <c r="H9" s="6">
        <f>G9+Supuestos2!H68</f>
        <v>30000</v>
      </c>
      <c r="I9" s="6">
        <f>H9+Supuestos2!I68</f>
        <v>30000</v>
      </c>
      <c r="J9" s="6">
        <f>I9+Supuestos2!J68</f>
        <v>30000</v>
      </c>
      <c r="K9" s="6">
        <f>J9+Supuestos2!K68</f>
        <v>30000</v>
      </c>
      <c r="L9" s="6">
        <f>K9+Supuestos2!L68</f>
        <v>30000</v>
      </c>
      <c r="M9" s="6">
        <f>L9+Supuestos2!M68</f>
        <v>30000</v>
      </c>
    </row>
    <row r="11" spans="1:37" x14ac:dyDescent="0.25">
      <c r="A11" s="11" t="s">
        <v>11</v>
      </c>
      <c r="B11" s="6">
        <f>SUM(B13)</f>
        <v>20000</v>
      </c>
      <c r="C11" s="6">
        <f>SUM(C13)</f>
        <v>19666.666666666668</v>
      </c>
      <c r="D11" s="6">
        <f t="shared" ref="D11:M11" si="1">SUM(D13)</f>
        <v>19333.333333333336</v>
      </c>
      <c r="E11" s="6">
        <f t="shared" si="1"/>
        <v>19000.000000000004</v>
      </c>
      <c r="F11" s="6">
        <f t="shared" si="1"/>
        <v>18666.666666666672</v>
      </c>
      <c r="G11" s="6">
        <f t="shared" si="1"/>
        <v>18333.333333333339</v>
      </c>
      <c r="H11" s="6">
        <f t="shared" si="1"/>
        <v>18000.000000000007</v>
      </c>
      <c r="I11" s="6">
        <f t="shared" si="1"/>
        <v>17666.666666666675</v>
      </c>
      <c r="J11" s="6">
        <f t="shared" si="1"/>
        <v>17333.333333333343</v>
      </c>
      <c r="K11" s="6">
        <f t="shared" si="1"/>
        <v>17000.000000000011</v>
      </c>
      <c r="L11" s="6">
        <f t="shared" si="1"/>
        <v>16666.666666666679</v>
      </c>
      <c r="M11" s="6">
        <f t="shared" si="1"/>
        <v>16333.333333333345</v>
      </c>
    </row>
    <row r="12" spans="1:37" x14ac:dyDescent="0.25">
      <c r="A12" s="1" t="s">
        <v>6</v>
      </c>
    </row>
    <row r="13" spans="1:37" x14ac:dyDescent="0.25">
      <c r="A13" s="3" t="s">
        <v>12</v>
      </c>
      <c r="B13" s="21">
        <f>Supuestos2!B60</f>
        <v>20000</v>
      </c>
      <c r="C13" s="6">
        <f>B13+'Flujo de caja'!C12+'Flujo de caja'!C13</f>
        <v>19666.666666666668</v>
      </c>
      <c r="D13" s="6">
        <f>C13+'Flujo de caja'!D12+'Flujo de caja'!D13</f>
        <v>19333.333333333336</v>
      </c>
      <c r="E13" s="6">
        <f>D13+'Flujo de caja'!E12+'Flujo de caja'!E13</f>
        <v>19000.000000000004</v>
      </c>
      <c r="F13" s="6">
        <f>E13+'Flujo de caja'!F12+'Flujo de caja'!F13</f>
        <v>18666.666666666672</v>
      </c>
      <c r="G13" s="6">
        <f>F13+'Flujo de caja'!G12+'Flujo de caja'!G13</f>
        <v>18333.333333333339</v>
      </c>
      <c r="H13" s="6">
        <f>G13+'Flujo de caja'!H12+'Flujo de caja'!H13</f>
        <v>18000.000000000007</v>
      </c>
      <c r="I13" s="6">
        <f>H13+'Flujo de caja'!I12+'Flujo de caja'!I13</f>
        <v>17666.666666666675</v>
      </c>
      <c r="J13" s="6">
        <f>I13+'Flujo de caja'!J12+'Flujo de caja'!J13</f>
        <v>17333.333333333343</v>
      </c>
      <c r="K13" s="6">
        <f>J13+'Flujo de caja'!K12+'Flujo de caja'!K13</f>
        <v>17000.000000000011</v>
      </c>
      <c r="L13" s="6">
        <f>K13+'Flujo de caja'!L12+'Flujo de caja'!L13</f>
        <v>16666.666666666679</v>
      </c>
      <c r="M13" s="6">
        <f>L13+'Flujo de caja'!M12+'Flujo de caja'!M13</f>
        <v>16333.333333333345</v>
      </c>
    </row>
    <row r="16" spans="1:37" x14ac:dyDescent="0.25">
      <c r="A16" s="10" t="s">
        <v>1</v>
      </c>
      <c r="B16" s="6">
        <f>SUM(B17:B18)</f>
        <v>47035</v>
      </c>
      <c r="C16" s="6">
        <f>SUM(C17:C18)</f>
        <v>47293.5</v>
      </c>
      <c r="D16" s="6">
        <f t="shared" ref="D16:M16" si="2">SUM(D17:D18)</f>
        <v>47596.3</v>
      </c>
      <c r="E16" s="6">
        <f t="shared" si="2"/>
        <v>47744.616000000002</v>
      </c>
      <c r="F16" s="6">
        <f t="shared" si="2"/>
        <v>48139.688320000001</v>
      </c>
      <c r="G16" s="6">
        <f t="shared" si="2"/>
        <v>73582.782086399995</v>
      </c>
      <c r="H16" s="6">
        <f t="shared" si="2"/>
        <v>73625.187728128003</v>
      </c>
      <c r="I16" s="6">
        <f t="shared" si="2"/>
        <v>73918.221482690555</v>
      </c>
      <c r="J16" s="6">
        <f t="shared" si="2"/>
        <v>74263.22591234438</v>
      </c>
      <c r="K16" s="6">
        <f t="shared" si="2"/>
        <v>74461.570430591266</v>
      </c>
      <c r="L16" s="6">
        <f t="shared" si="2"/>
        <v>74914.651839203085</v>
      </c>
      <c r="M16" s="6">
        <f t="shared" si="2"/>
        <v>75423.894875987142</v>
      </c>
    </row>
    <row r="17" spans="1:13" x14ac:dyDescent="0.25">
      <c r="A17" s="2" t="s">
        <v>13</v>
      </c>
      <c r="B17" s="21">
        <f>Supuestos2!B71</f>
        <v>50000</v>
      </c>
      <c r="C17" s="6">
        <f>B17+'Flujo de caja'!C14</f>
        <v>50000</v>
      </c>
      <c r="D17" s="6">
        <f>C17+'Flujo de caja'!D14</f>
        <v>50000</v>
      </c>
      <c r="E17" s="6">
        <f>D17+'Flujo de caja'!E14</f>
        <v>50000</v>
      </c>
      <c r="F17" s="6">
        <f>E17+'Flujo de caja'!F14</f>
        <v>50000</v>
      </c>
      <c r="G17" s="6">
        <f>F17+'Flujo de caja'!G14</f>
        <v>75000</v>
      </c>
      <c r="H17" s="6">
        <f>G17+'Flujo de caja'!H14</f>
        <v>75000</v>
      </c>
      <c r="I17" s="6">
        <f>H17+'Flujo de caja'!I14</f>
        <v>75000</v>
      </c>
      <c r="J17" s="6">
        <f>I17+'Flujo de caja'!J14</f>
        <v>75000</v>
      </c>
      <c r="K17" s="6">
        <f>J17+'Flujo de caja'!K14</f>
        <v>75000</v>
      </c>
      <c r="L17" s="6">
        <f>K17+'Flujo de caja'!L14</f>
        <v>75000</v>
      </c>
      <c r="M17" s="6">
        <f>L17+'Flujo de caja'!M14</f>
        <v>75000</v>
      </c>
    </row>
    <row r="18" spans="1:13" x14ac:dyDescent="0.25">
      <c r="A18" s="2" t="s">
        <v>14</v>
      </c>
      <c r="B18" s="6">
        <f>'Estado de resultados'!B29</f>
        <v>-2965</v>
      </c>
      <c r="C18" s="6">
        <f>B18+'Estado de resultados'!C29</f>
        <v>-2706.5</v>
      </c>
      <c r="D18" s="6">
        <f>C18+'Estado de resultados'!D29</f>
        <v>-2403.6999999999998</v>
      </c>
      <c r="E18" s="6">
        <f>D18+'Estado de resultados'!E29</f>
        <v>-2255.3840000000009</v>
      </c>
      <c r="F18" s="6">
        <f>E18+'Estado de resultados'!F29</f>
        <v>-1860.3116800000007</v>
      </c>
      <c r="G18" s="6">
        <f>F18+'Estado de resultados'!G29</f>
        <v>-1417.2179135999984</v>
      </c>
      <c r="H18" s="6">
        <f>G18+'Estado de resultados'!H29</f>
        <v>-1374.812271871999</v>
      </c>
      <c r="I18" s="6">
        <f>H18+'Estado de resultados'!I29</f>
        <v>-1081.7785173094383</v>
      </c>
      <c r="J18" s="6">
        <f>I18+'Estado de resultados'!J29</f>
        <v>-736.77408765562689</v>
      </c>
      <c r="K18" s="6">
        <f>J18+'Estado de resultados'!K29</f>
        <v>-538.42956940873876</v>
      </c>
      <c r="L18" s="6">
        <f>K18+'Estado de resultados'!L29</f>
        <v>-85.348160796915181</v>
      </c>
      <c r="M18" s="6">
        <f>L18+'Estado de resultados'!M29</f>
        <v>423.89487598714783</v>
      </c>
    </row>
    <row r="20" spans="1:13" s="8" customFormat="1" ht="15.75" x14ac:dyDescent="0.3">
      <c r="A20" s="12" t="s">
        <v>15</v>
      </c>
      <c r="B20" s="22" t="str">
        <f>IF(ROUND((B4-B11-B16),0)=0,"ü","û")</f>
        <v>ü</v>
      </c>
      <c r="C20" s="22" t="str">
        <f t="shared" ref="C20:M20" si="3">IF(ROUND((C4-C11-C16),0)=0,"ü","û")</f>
        <v>ü</v>
      </c>
      <c r="D20" s="22" t="str">
        <f t="shared" si="3"/>
        <v>ü</v>
      </c>
      <c r="E20" s="22" t="str">
        <f t="shared" si="3"/>
        <v>ü</v>
      </c>
      <c r="F20" s="22" t="str">
        <f t="shared" si="3"/>
        <v>ü</v>
      </c>
      <c r="G20" s="22" t="str">
        <f t="shared" si="3"/>
        <v>ü</v>
      </c>
      <c r="H20" s="22" t="str">
        <f t="shared" si="3"/>
        <v>ü</v>
      </c>
      <c r="I20" s="22" t="str">
        <f t="shared" si="3"/>
        <v>ü</v>
      </c>
      <c r="J20" s="22" t="str">
        <f t="shared" si="3"/>
        <v>ü</v>
      </c>
      <c r="K20" s="22" t="str">
        <f t="shared" si="3"/>
        <v>ü</v>
      </c>
      <c r="L20" s="22" t="str">
        <f t="shared" si="3"/>
        <v>ü</v>
      </c>
      <c r="M20" s="22" t="str">
        <f t="shared" si="3"/>
        <v>ü</v>
      </c>
    </row>
  </sheetData>
  <mergeCells count="36">
    <mergeCell ref="B1:B2"/>
    <mergeCell ref="C1:C2"/>
    <mergeCell ref="D1:D2"/>
    <mergeCell ref="E1:E2"/>
    <mergeCell ref="F1:F2"/>
    <mergeCell ref="G1:G2"/>
    <mergeCell ref="M1:M2"/>
    <mergeCell ref="N1:N2"/>
    <mergeCell ref="O1:O2"/>
    <mergeCell ref="P1:P2"/>
    <mergeCell ref="H1:H2"/>
    <mergeCell ref="I1:I2"/>
    <mergeCell ref="J1:J2"/>
    <mergeCell ref="K1:K2"/>
    <mergeCell ref="L1:L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K1:AK2"/>
    <mergeCell ref="AF1:AF2"/>
    <mergeCell ref="AG1:AG2"/>
    <mergeCell ref="AH1:AH2"/>
    <mergeCell ref="AI1:AI2"/>
    <mergeCell ref="AJ1:AJ2"/>
  </mergeCells>
  <conditionalFormatting sqref="B20:XFD2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F34B-9642-4B26-963F-8C2B27A5F432}">
  <dimension ref="A1:O29"/>
  <sheetViews>
    <sheetView tabSelected="1" topLeftCell="A4" workbookViewId="0">
      <selection activeCell="A35" sqref="A35"/>
    </sheetView>
  </sheetViews>
  <sheetFormatPr baseColWidth="10" defaultRowHeight="15" x14ac:dyDescent="0.25"/>
  <cols>
    <col min="1" max="1" width="26.5703125" bestFit="1" customWidth="1"/>
  </cols>
  <sheetData>
    <row r="1" spans="1:15" x14ac:dyDescent="0.25">
      <c r="A1" t="s">
        <v>33</v>
      </c>
      <c r="B1" s="24">
        <v>43313</v>
      </c>
      <c r="C1" s="24">
        <v>43344</v>
      </c>
      <c r="D1" s="24">
        <v>43374</v>
      </c>
      <c r="E1" s="24">
        <v>43405</v>
      </c>
      <c r="F1" s="24">
        <v>43435</v>
      </c>
      <c r="G1" s="24">
        <v>43466</v>
      </c>
      <c r="H1" s="24">
        <v>43497</v>
      </c>
      <c r="I1" s="24">
        <v>43525</v>
      </c>
      <c r="J1" s="24">
        <v>43556</v>
      </c>
      <c r="K1" s="24">
        <v>43586</v>
      </c>
      <c r="L1" s="24">
        <v>43617</v>
      </c>
      <c r="M1" s="24">
        <v>43647</v>
      </c>
      <c r="N1" s="24">
        <v>43678</v>
      </c>
      <c r="O1" s="24">
        <v>43709</v>
      </c>
    </row>
    <row r="2" spans="1:15" x14ac:dyDescent="0.25">
      <c r="A2" s="7" t="s">
        <v>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x14ac:dyDescent="0.25">
      <c r="A4" t="s">
        <v>17</v>
      </c>
      <c r="B4" s="16">
        <f>SUM(B5:B6)</f>
        <v>0</v>
      </c>
      <c r="C4" s="16">
        <f t="shared" ref="C4:O4" si="0">SUM(C5:C6)</f>
        <v>8000</v>
      </c>
      <c r="D4" s="16">
        <f t="shared" si="0"/>
        <v>8160</v>
      </c>
      <c r="E4" s="16">
        <f t="shared" si="0"/>
        <v>8323.1999999999989</v>
      </c>
      <c r="F4" s="16">
        <f t="shared" si="0"/>
        <v>8489.6640000000007</v>
      </c>
      <c r="G4" s="16">
        <f t="shared" si="0"/>
        <v>8659.4572800000024</v>
      </c>
      <c r="H4" s="16">
        <f t="shared" si="0"/>
        <v>8832.6464255999999</v>
      </c>
      <c r="I4" s="16">
        <f t="shared" si="0"/>
        <v>9009.2993541120013</v>
      </c>
      <c r="J4" s="16">
        <f t="shared" si="0"/>
        <v>9189.4853411942404</v>
      </c>
      <c r="K4" s="16">
        <f t="shared" si="0"/>
        <v>9373.2750480181257</v>
      </c>
      <c r="L4" s="16">
        <f t="shared" si="0"/>
        <v>9560.7405489784869</v>
      </c>
      <c r="M4" s="16">
        <f t="shared" si="0"/>
        <v>9751.9553599580577</v>
      </c>
      <c r="N4" s="16">
        <f t="shared" si="0"/>
        <v>9946.9944671572193</v>
      </c>
      <c r="O4" s="16">
        <f t="shared" si="0"/>
        <v>10145.934356500364</v>
      </c>
    </row>
    <row r="5" spans="1:15" x14ac:dyDescent="0.25">
      <c r="A5" s="2" t="s">
        <v>34</v>
      </c>
      <c r="C5" s="15">
        <f>Supuestos2!C5*Supuestos2!C9</f>
        <v>1600</v>
      </c>
      <c r="D5" s="15">
        <f>Supuestos2!D5*Supuestos2!D9</f>
        <v>1632</v>
      </c>
      <c r="E5" s="15">
        <f>Supuestos2!E5*Supuestos2!E9</f>
        <v>1664.6399999999999</v>
      </c>
      <c r="F5" s="15">
        <f>Supuestos2!F5*Supuestos2!F9</f>
        <v>1697.9328</v>
      </c>
      <c r="G5" s="15">
        <f>Supuestos2!G5*Supuestos2!G9</f>
        <v>1731.8914560000003</v>
      </c>
      <c r="H5" s="15">
        <f>Supuestos2!H5*Supuestos2!H9</f>
        <v>1766.5292851200002</v>
      </c>
      <c r="I5" s="15">
        <f>Supuestos2!I5*Supuestos2!I9</f>
        <v>1801.8598708224001</v>
      </c>
      <c r="J5" s="15">
        <f>Supuestos2!J5*Supuestos2!J9</f>
        <v>1837.8970682388481</v>
      </c>
      <c r="K5" s="15">
        <f>Supuestos2!K5*Supuestos2!K9</f>
        <v>1874.6550096036251</v>
      </c>
      <c r="L5" s="15">
        <f>Supuestos2!L5*Supuestos2!L9</f>
        <v>1912.1481097956976</v>
      </c>
      <c r="M5" s="15">
        <f>Supuestos2!M5*Supuestos2!M9</f>
        <v>1950.3910719916116</v>
      </c>
      <c r="N5" s="15">
        <f>Supuestos2!N5*Supuestos2!N9</f>
        <v>1989.3988934314439</v>
      </c>
      <c r="O5" s="15">
        <f>Supuestos2!O5*Supuestos2!O9</f>
        <v>2029.1868713000727</v>
      </c>
    </row>
    <row r="6" spans="1:15" x14ac:dyDescent="0.25">
      <c r="A6" s="2" t="s">
        <v>35</v>
      </c>
      <c r="C6" s="15">
        <f>Supuestos2!C13*Supuestos2!C17</f>
        <v>6400</v>
      </c>
      <c r="D6" s="15">
        <f>Supuestos2!D13*Supuestos2!D17</f>
        <v>6528</v>
      </c>
      <c r="E6" s="15">
        <f>Supuestos2!E13*Supuestos2!E17</f>
        <v>6658.5599999999995</v>
      </c>
      <c r="F6" s="15">
        <f>Supuestos2!F13*Supuestos2!F17</f>
        <v>6791.7312000000002</v>
      </c>
      <c r="G6" s="15">
        <f>Supuestos2!G13*Supuestos2!G17</f>
        <v>6927.5658240000012</v>
      </c>
      <c r="H6" s="15">
        <f>Supuestos2!H13*Supuestos2!H17</f>
        <v>7066.1171404800007</v>
      </c>
      <c r="I6" s="15">
        <f>Supuestos2!I13*Supuestos2!I17</f>
        <v>7207.4394832896005</v>
      </c>
      <c r="J6" s="15">
        <f>Supuestos2!J13*Supuestos2!J17</f>
        <v>7351.5882729553923</v>
      </c>
      <c r="K6" s="15">
        <f>Supuestos2!K13*Supuestos2!K17</f>
        <v>7498.6200384145004</v>
      </c>
      <c r="L6" s="15">
        <f>Supuestos2!L13*Supuestos2!L17</f>
        <v>7648.5924391827903</v>
      </c>
      <c r="M6" s="15">
        <f>Supuestos2!M13*Supuestos2!M17</f>
        <v>7801.5642879664465</v>
      </c>
      <c r="N6" s="15">
        <f>Supuestos2!N13*Supuestos2!N17</f>
        <v>7957.5955737257755</v>
      </c>
      <c r="O6" s="15">
        <f>Supuestos2!O13*Supuestos2!O17</f>
        <v>8116.7474852002906</v>
      </c>
    </row>
    <row r="8" spans="1:15" x14ac:dyDescent="0.25">
      <c r="A8" t="s">
        <v>36</v>
      </c>
      <c r="B8" s="17">
        <f>SUM(B9:B11)</f>
        <v>1350</v>
      </c>
      <c r="C8" s="17">
        <f t="shared" ref="C8:O8" si="1">SUM(C9:C11)</f>
        <v>6150</v>
      </c>
      <c r="D8" s="17">
        <f t="shared" si="1"/>
        <v>6246</v>
      </c>
      <c r="E8" s="17">
        <f t="shared" si="1"/>
        <v>6343.92</v>
      </c>
      <c r="F8" s="17">
        <f t="shared" si="1"/>
        <v>6443.7984000000006</v>
      </c>
      <c r="G8" s="17">
        <f t="shared" si="1"/>
        <v>6545.674368</v>
      </c>
      <c r="H8" s="17">
        <f t="shared" si="1"/>
        <v>6649.5878553600005</v>
      </c>
      <c r="I8" s="17">
        <f t="shared" si="1"/>
        <v>6755.5796124672006</v>
      </c>
      <c r="J8" s="17">
        <f t="shared" si="1"/>
        <v>6863.6912047165442</v>
      </c>
      <c r="K8" s="17">
        <f t="shared" si="1"/>
        <v>6973.9650288108751</v>
      </c>
      <c r="L8" s="17">
        <f t="shared" si="1"/>
        <v>7086.4443293870936</v>
      </c>
      <c r="M8" s="17">
        <f t="shared" si="1"/>
        <v>7201.1732159748335</v>
      </c>
      <c r="N8" s="17">
        <f t="shared" si="1"/>
        <v>7318.1966802943316</v>
      </c>
      <c r="O8" s="17">
        <f t="shared" si="1"/>
        <v>7437.5606139002184</v>
      </c>
    </row>
    <row r="9" spans="1:15" x14ac:dyDescent="0.25">
      <c r="A9" s="2" t="s">
        <v>34</v>
      </c>
      <c r="B9" s="14">
        <f>Supuestos2!B23</f>
        <v>0</v>
      </c>
      <c r="C9" s="14">
        <f>Supuestos2!C23</f>
        <v>960</v>
      </c>
      <c r="D9" s="14">
        <f>Supuestos2!D23</f>
        <v>979.19999999999993</v>
      </c>
      <c r="E9" s="14">
        <f>Supuestos2!E23</f>
        <v>998.78399999999999</v>
      </c>
      <c r="F9" s="14">
        <f>Supuestos2!F23</f>
        <v>1018.7596800000001</v>
      </c>
      <c r="G9" s="14">
        <f>Supuestos2!G23</f>
        <v>1039.1348736</v>
      </c>
      <c r="H9" s="14">
        <f>Supuestos2!H23</f>
        <v>1059.9175710720001</v>
      </c>
      <c r="I9" s="14">
        <f>Supuestos2!I23</f>
        <v>1081.1159224934402</v>
      </c>
      <c r="J9" s="14">
        <f>Supuestos2!J23</f>
        <v>1102.7382409433089</v>
      </c>
      <c r="K9" s="14">
        <f>Supuestos2!K23</f>
        <v>1124.793005762175</v>
      </c>
      <c r="L9" s="14">
        <f>Supuestos2!L23</f>
        <v>1147.2888658774186</v>
      </c>
      <c r="M9" s="14">
        <f>Supuestos2!M23</f>
        <v>1170.2346431949668</v>
      </c>
      <c r="N9" s="14">
        <f>Supuestos2!N23</f>
        <v>1193.6393360588663</v>
      </c>
      <c r="O9" s="14">
        <f>Supuestos2!O23</f>
        <v>1217.5121227800437</v>
      </c>
    </row>
    <row r="10" spans="1:15" x14ac:dyDescent="0.25">
      <c r="A10" s="2" t="s">
        <v>35</v>
      </c>
      <c r="B10" s="14">
        <f>Supuestos2!B28</f>
        <v>0</v>
      </c>
      <c r="C10" s="14">
        <f>Supuestos2!C28</f>
        <v>3840</v>
      </c>
      <c r="D10" s="14">
        <f>Supuestos2!D28</f>
        <v>3916.7999999999997</v>
      </c>
      <c r="E10" s="14">
        <f>Supuestos2!E28</f>
        <v>3995.136</v>
      </c>
      <c r="F10" s="14">
        <f>Supuestos2!F28</f>
        <v>4075.0387200000005</v>
      </c>
      <c r="G10" s="14">
        <f>Supuestos2!G28</f>
        <v>4156.5394944</v>
      </c>
      <c r="H10" s="14">
        <f>Supuestos2!H28</f>
        <v>4239.6702842880004</v>
      </c>
      <c r="I10" s="14">
        <f>Supuestos2!I28</f>
        <v>4324.4636899737607</v>
      </c>
      <c r="J10" s="14">
        <f>Supuestos2!J28</f>
        <v>4410.9529637732358</v>
      </c>
      <c r="K10" s="14">
        <f>Supuestos2!K28</f>
        <v>4499.1720230486999</v>
      </c>
      <c r="L10" s="14">
        <f>Supuestos2!L28</f>
        <v>4589.1554635096745</v>
      </c>
      <c r="M10" s="14">
        <f>Supuestos2!M28</f>
        <v>4680.9385727798672</v>
      </c>
      <c r="N10" s="14">
        <f>Supuestos2!N28</f>
        <v>4774.5573442354653</v>
      </c>
      <c r="O10" s="14">
        <f>Supuestos2!O28</f>
        <v>4870.0484911201747</v>
      </c>
    </row>
    <row r="11" spans="1:15" x14ac:dyDescent="0.25">
      <c r="A11" s="2" t="s">
        <v>37</v>
      </c>
      <c r="B11" s="6">
        <f>Supuestos2!B37</f>
        <v>1350</v>
      </c>
      <c r="C11" s="6">
        <f>Supuestos2!C37</f>
        <v>1350</v>
      </c>
      <c r="D11" s="6">
        <f>Supuestos2!D37</f>
        <v>1350</v>
      </c>
      <c r="E11" s="6">
        <f>Supuestos2!E37</f>
        <v>1350</v>
      </c>
      <c r="F11" s="6">
        <f>Supuestos2!F37</f>
        <v>1350</v>
      </c>
      <c r="G11" s="6">
        <f>Supuestos2!G37</f>
        <v>1350</v>
      </c>
      <c r="H11" s="6">
        <f>Supuestos2!H37</f>
        <v>1350</v>
      </c>
      <c r="I11" s="6">
        <f>Supuestos2!I37</f>
        <v>1350</v>
      </c>
      <c r="J11" s="6">
        <f>Supuestos2!J37</f>
        <v>1350</v>
      </c>
      <c r="K11" s="6">
        <f>Supuestos2!K37</f>
        <v>1350</v>
      </c>
      <c r="L11" s="6">
        <f>Supuestos2!L37</f>
        <v>1350</v>
      </c>
      <c r="M11" s="6">
        <f>Supuestos2!M37</f>
        <v>1350</v>
      </c>
      <c r="N11" s="6">
        <f>Supuestos2!N37</f>
        <v>1350</v>
      </c>
      <c r="O11" s="6">
        <f>Supuestos2!O37</f>
        <v>1350</v>
      </c>
    </row>
    <row r="13" spans="1:15" x14ac:dyDescent="0.25">
      <c r="A13" s="2" t="s">
        <v>46</v>
      </c>
      <c r="B13" s="6">
        <f>B4-B8</f>
        <v>-1350</v>
      </c>
      <c r="C13" s="6">
        <f t="shared" ref="C13:O13" si="2">C4-C8</f>
        <v>1850</v>
      </c>
      <c r="D13" s="6">
        <f t="shared" si="2"/>
        <v>1914</v>
      </c>
      <c r="E13" s="6">
        <f t="shared" si="2"/>
        <v>1979.2799999999988</v>
      </c>
      <c r="F13" s="6">
        <f t="shared" si="2"/>
        <v>2045.8656000000001</v>
      </c>
      <c r="G13" s="6">
        <f t="shared" si="2"/>
        <v>2113.7829120000024</v>
      </c>
      <c r="H13" s="6">
        <f t="shared" si="2"/>
        <v>2183.0585702399994</v>
      </c>
      <c r="I13" s="6">
        <f t="shared" si="2"/>
        <v>2253.7197416448007</v>
      </c>
      <c r="J13" s="6">
        <f t="shared" si="2"/>
        <v>2325.7941364776962</v>
      </c>
      <c r="K13" s="6">
        <f t="shared" si="2"/>
        <v>2399.3100192072507</v>
      </c>
      <c r="L13" s="6">
        <f t="shared" si="2"/>
        <v>2474.2962195913933</v>
      </c>
      <c r="M13" s="6">
        <f t="shared" si="2"/>
        <v>2550.7821439832242</v>
      </c>
      <c r="N13" s="6">
        <f t="shared" si="2"/>
        <v>2628.7977868628877</v>
      </c>
      <c r="O13" s="6">
        <f t="shared" si="2"/>
        <v>2708.3737426001453</v>
      </c>
    </row>
    <row r="15" spans="1:15" x14ac:dyDescent="0.25">
      <c r="A15" s="5" t="s">
        <v>69</v>
      </c>
      <c r="B15" s="14">
        <f>Supuestos2!B47</f>
        <v>1500</v>
      </c>
      <c r="C15" s="14">
        <f>Supuestos2!C47</f>
        <v>1300</v>
      </c>
      <c r="D15" s="14">
        <f>Supuestos2!D47</f>
        <v>1300</v>
      </c>
      <c r="E15" s="14">
        <f>Supuestos2!E47</f>
        <v>1500</v>
      </c>
      <c r="F15" s="14">
        <f>Supuestos2!F47</f>
        <v>1300</v>
      </c>
      <c r="G15" s="14">
        <f>Supuestos2!G47</f>
        <v>1300</v>
      </c>
      <c r="H15" s="14">
        <f>Supuestos2!H47</f>
        <v>1750</v>
      </c>
      <c r="I15" s="14">
        <f>Supuestos2!I47</f>
        <v>1550</v>
      </c>
      <c r="J15" s="14">
        <f>Supuestos2!J47</f>
        <v>1550</v>
      </c>
      <c r="K15" s="14">
        <f>Supuestos2!K47</f>
        <v>1750</v>
      </c>
      <c r="L15" s="14">
        <f>Supuestos2!L47</f>
        <v>1550</v>
      </c>
      <c r="M15" s="14">
        <f>Supuestos2!M47</f>
        <v>1550</v>
      </c>
      <c r="N15" s="14">
        <f>Supuestos2!N47</f>
        <v>1750</v>
      </c>
      <c r="O15" s="14">
        <f>Supuestos2!O47</f>
        <v>1550</v>
      </c>
    </row>
    <row r="17" spans="1:15" x14ac:dyDescent="0.25">
      <c r="A17" t="s">
        <v>54</v>
      </c>
      <c r="B17" s="14">
        <f>Supuestos2!B57</f>
        <v>115</v>
      </c>
      <c r="C17" s="14">
        <f>Supuestos2!C57</f>
        <v>291.5</v>
      </c>
      <c r="D17" s="14">
        <f>Supuestos2!D57</f>
        <v>311.20000000000005</v>
      </c>
      <c r="E17" s="14">
        <f>Supuestos2!E57</f>
        <v>330.96399999999994</v>
      </c>
      <c r="F17" s="14">
        <f>Supuestos2!F57</f>
        <v>350.79327999999998</v>
      </c>
      <c r="G17" s="14">
        <f>Supuestos2!G57</f>
        <v>370.68914560000007</v>
      </c>
      <c r="H17" s="14">
        <f>Supuestos2!H57</f>
        <v>390.65292851200002</v>
      </c>
      <c r="I17" s="14">
        <f>Supuestos2!I57</f>
        <v>410.68598708223999</v>
      </c>
      <c r="J17" s="14">
        <f>Supuestos2!J57</f>
        <v>430.78970682388479</v>
      </c>
      <c r="K17" s="14">
        <f>Supuestos2!K57</f>
        <v>450.96550096036253</v>
      </c>
      <c r="L17" s="14">
        <f>Supuestos2!L57</f>
        <v>471.21481097956973</v>
      </c>
      <c r="M17" s="14">
        <f>Supuestos2!M57</f>
        <v>491.53910719916115</v>
      </c>
      <c r="N17" s="14">
        <f>Supuestos2!N57</f>
        <v>511.93988934314439</v>
      </c>
      <c r="O17" s="14">
        <f>Supuestos2!O57</f>
        <v>532.41868713000724</v>
      </c>
    </row>
    <row r="19" spans="1:15" x14ac:dyDescent="0.25">
      <c r="A19" s="2" t="s">
        <v>70</v>
      </c>
      <c r="B19" s="6">
        <f>B13-B15-B17</f>
        <v>-2965</v>
      </c>
      <c r="C19" s="6">
        <f t="shared" ref="C19:O19" si="3">C13-C15-C17</f>
        <v>258.5</v>
      </c>
      <c r="D19" s="6">
        <f t="shared" si="3"/>
        <v>302.79999999999995</v>
      </c>
      <c r="E19" s="6">
        <f t="shared" si="3"/>
        <v>148.31599999999889</v>
      </c>
      <c r="F19" s="6">
        <f t="shared" si="3"/>
        <v>395.0723200000001</v>
      </c>
      <c r="G19" s="6">
        <f t="shared" si="3"/>
        <v>443.09376640000232</v>
      </c>
      <c r="H19" s="6">
        <f t="shared" si="3"/>
        <v>42.405641727999409</v>
      </c>
      <c r="I19" s="6">
        <f t="shared" si="3"/>
        <v>293.03375456256072</v>
      </c>
      <c r="J19" s="6">
        <f t="shared" si="3"/>
        <v>345.00442965381137</v>
      </c>
      <c r="K19" s="6">
        <f t="shared" si="3"/>
        <v>198.34451824688813</v>
      </c>
      <c r="L19" s="6">
        <f t="shared" si="3"/>
        <v>453.08140861182358</v>
      </c>
      <c r="M19" s="6">
        <f t="shared" si="3"/>
        <v>509.24303678406301</v>
      </c>
      <c r="N19" s="6">
        <f t="shared" si="3"/>
        <v>366.85789751974335</v>
      </c>
      <c r="O19" s="6">
        <f t="shared" si="3"/>
        <v>625.95505547013806</v>
      </c>
    </row>
    <row r="21" spans="1:15" x14ac:dyDescent="0.25">
      <c r="A21" t="s">
        <v>71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</row>
    <row r="23" spans="1:15" x14ac:dyDescent="0.25">
      <c r="A23" t="s">
        <v>72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</row>
    <row r="25" spans="1:15" x14ac:dyDescent="0.25">
      <c r="A25" t="s">
        <v>73</v>
      </c>
      <c r="B25" s="6">
        <f>B19+B21-B22</f>
        <v>-2965</v>
      </c>
      <c r="C25" s="6">
        <f t="shared" ref="C25:O25" si="4">C19+C21-C22</f>
        <v>258.5</v>
      </c>
      <c r="D25" s="6">
        <f t="shared" si="4"/>
        <v>302.79999999999995</v>
      </c>
      <c r="E25" s="6">
        <f t="shared" si="4"/>
        <v>148.31599999999889</v>
      </c>
      <c r="F25" s="6">
        <f t="shared" si="4"/>
        <v>395.0723200000001</v>
      </c>
      <c r="G25" s="6">
        <f t="shared" si="4"/>
        <v>443.09376640000232</v>
      </c>
      <c r="H25" s="6">
        <f t="shared" si="4"/>
        <v>42.405641727999409</v>
      </c>
      <c r="I25" s="6">
        <f t="shared" si="4"/>
        <v>293.03375456256072</v>
      </c>
      <c r="J25" s="6">
        <f t="shared" si="4"/>
        <v>345.00442965381137</v>
      </c>
      <c r="K25" s="6">
        <f t="shared" si="4"/>
        <v>198.34451824688813</v>
      </c>
      <c r="L25" s="6">
        <f t="shared" si="4"/>
        <v>453.08140861182358</v>
      </c>
      <c r="M25" s="6">
        <f t="shared" si="4"/>
        <v>509.24303678406301</v>
      </c>
      <c r="N25" s="6">
        <f t="shared" si="4"/>
        <v>366.85789751974335</v>
      </c>
      <c r="O25" s="6">
        <f t="shared" si="4"/>
        <v>625.95505547013806</v>
      </c>
    </row>
    <row r="27" spans="1:15" x14ac:dyDescent="0.2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9" spans="1:15" x14ac:dyDescent="0.25">
      <c r="A29" t="s">
        <v>74</v>
      </c>
      <c r="B29" s="6">
        <f>B25-B27</f>
        <v>-2965</v>
      </c>
      <c r="C29" s="6">
        <f t="shared" ref="C29:O29" si="5">C25-C27</f>
        <v>258.5</v>
      </c>
      <c r="D29" s="6">
        <f t="shared" si="5"/>
        <v>302.79999999999995</v>
      </c>
      <c r="E29" s="6">
        <f t="shared" si="5"/>
        <v>148.31599999999889</v>
      </c>
      <c r="F29" s="6">
        <f t="shared" si="5"/>
        <v>395.0723200000001</v>
      </c>
      <c r="G29" s="6">
        <f t="shared" si="5"/>
        <v>443.09376640000232</v>
      </c>
      <c r="H29" s="6">
        <f t="shared" si="5"/>
        <v>42.405641727999409</v>
      </c>
      <c r="I29" s="6">
        <f t="shared" si="5"/>
        <v>293.03375456256072</v>
      </c>
      <c r="J29" s="6">
        <f t="shared" si="5"/>
        <v>345.00442965381137</v>
      </c>
      <c r="K29" s="6">
        <f t="shared" si="5"/>
        <v>198.34451824688813</v>
      </c>
      <c r="L29" s="6">
        <f t="shared" si="5"/>
        <v>453.08140861182358</v>
      </c>
      <c r="M29" s="6">
        <f t="shared" si="5"/>
        <v>509.24303678406301</v>
      </c>
      <c r="N29" s="6">
        <f t="shared" si="5"/>
        <v>366.85789751974335</v>
      </c>
      <c r="O29" s="6">
        <f t="shared" si="5"/>
        <v>625.95505547013806</v>
      </c>
    </row>
  </sheetData>
  <mergeCells count="14">
    <mergeCell ref="N1:N2"/>
    <mergeCell ref="O1:O2"/>
    <mergeCell ref="H1:H2"/>
    <mergeCell ref="I1:I2"/>
    <mergeCell ref="J1:J2"/>
    <mergeCell ref="K1:K2"/>
    <mergeCell ref="L1:L2"/>
    <mergeCell ref="M1:M2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2A8A-C47C-45B2-81C5-5891DE2898F5}">
  <dimension ref="A1:M25"/>
  <sheetViews>
    <sheetView workbookViewId="0">
      <selection activeCell="B18" sqref="B18"/>
    </sheetView>
  </sheetViews>
  <sheetFormatPr baseColWidth="10" defaultRowHeight="15" x14ac:dyDescent="0.25"/>
  <cols>
    <col min="1" max="1" width="41.5703125" bestFit="1" customWidth="1"/>
  </cols>
  <sheetData>
    <row r="1" spans="1:13" x14ac:dyDescent="0.25">
      <c r="A1" s="7" t="s">
        <v>75</v>
      </c>
      <c r="B1" s="24">
        <v>43313</v>
      </c>
      <c r="C1" s="24">
        <v>43344</v>
      </c>
      <c r="D1" s="24">
        <v>43374</v>
      </c>
      <c r="E1" s="24">
        <v>43405</v>
      </c>
      <c r="F1" s="24">
        <v>43435</v>
      </c>
      <c r="G1" s="24">
        <v>43466</v>
      </c>
      <c r="H1" s="24">
        <v>43497</v>
      </c>
      <c r="I1" s="24">
        <v>43525</v>
      </c>
      <c r="J1" s="24">
        <v>43556</v>
      </c>
      <c r="K1" s="24">
        <v>43586</v>
      </c>
      <c r="L1" s="24">
        <v>43617</v>
      </c>
      <c r="M1" s="24">
        <v>43647</v>
      </c>
    </row>
    <row r="2" spans="1:13" x14ac:dyDescent="0.25">
      <c r="A2" s="7" t="s">
        <v>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4" spans="1:13" x14ac:dyDescent="0.25">
      <c r="A4" t="s">
        <v>80</v>
      </c>
    </row>
    <row r="5" spans="1:13" x14ac:dyDescent="0.25">
      <c r="A5" s="2" t="s">
        <v>22</v>
      </c>
      <c r="B5" s="14">
        <f>'Estado de resultados'!B5</f>
        <v>0</v>
      </c>
      <c r="C5" s="14">
        <f>'Estado de resultados'!C5</f>
        <v>1600</v>
      </c>
      <c r="D5" s="14">
        <f>'Estado de resultados'!D5</f>
        <v>1632</v>
      </c>
      <c r="E5" s="14">
        <f>'Estado de resultados'!E5</f>
        <v>1664.6399999999999</v>
      </c>
      <c r="F5" s="14">
        <f>'Estado de resultados'!F5</f>
        <v>1697.9328</v>
      </c>
      <c r="G5" s="14">
        <f>'Estado de resultados'!G5</f>
        <v>1731.8914560000003</v>
      </c>
      <c r="H5" s="14">
        <f>'Estado de resultados'!H5</f>
        <v>1766.5292851200002</v>
      </c>
      <c r="I5" s="14">
        <f>'Estado de resultados'!I5</f>
        <v>1801.8598708224001</v>
      </c>
      <c r="J5" s="14">
        <f>'Estado de resultados'!J5</f>
        <v>1837.8970682388481</v>
      </c>
      <c r="K5" s="14">
        <f>'Estado de resultados'!K5</f>
        <v>1874.6550096036251</v>
      </c>
      <c r="L5" s="14">
        <f>'Estado de resultados'!L5</f>
        <v>1912.1481097956976</v>
      </c>
      <c r="M5" s="14">
        <f>'Estado de resultados'!M5</f>
        <v>1950.3910719916116</v>
      </c>
    </row>
    <row r="6" spans="1:13" x14ac:dyDescent="0.25">
      <c r="A6" s="2" t="s">
        <v>25</v>
      </c>
      <c r="C6" s="14">
        <f>'Estado de resultados'!B6</f>
        <v>0</v>
      </c>
      <c r="D6" s="14">
        <f>'Estado de resultados'!C6</f>
        <v>6400</v>
      </c>
      <c r="E6" s="14">
        <f>'Estado de resultados'!D6</f>
        <v>6528</v>
      </c>
      <c r="F6" s="14">
        <f>'Estado de resultados'!E6</f>
        <v>6658.5599999999995</v>
      </c>
      <c r="G6" s="14">
        <f>'Estado de resultados'!F6</f>
        <v>6791.7312000000002</v>
      </c>
      <c r="H6" s="14">
        <f>'Estado de resultados'!G6</f>
        <v>6927.5658240000012</v>
      </c>
      <c r="I6" s="14">
        <f>'Estado de resultados'!H6</f>
        <v>7066.1171404800007</v>
      </c>
      <c r="J6" s="14">
        <f>'Estado de resultados'!I6</f>
        <v>7207.4394832896005</v>
      </c>
      <c r="K6" s="14">
        <f>'Estado de resultados'!J6</f>
        <v>7351.5882729553923</v>
      </c>
      <c r="L6" s="14">
        <f>'Estado de resultados'!K6</f>
        <v>7498.6200384145004</v>
      </c>
      <c r="M6" s="14">
        <f>'Estado de resultados'!L6</f>
        <v>7648.5924391827903</v>
      </c>
    </row>
    <row r="7" spans="1:13" x14ac:dyDescent="0.25">
      <c r="A7" s="2" t="s">
        <v>81</v>
      </c>
      <c r="B7" s="6">
        <f>-'Estado de resultados'!B8</f>
        <v>-1350</v>
      </c>
      <c r="C7" s="6">
        <f>-'Estado de resultados'!C8</f>
        <v>-6150</v>
      </c>
      <c r="D7" s="6">
        <f>-'Estado de resultados'!D8</f>
        <v>-6246</v>
      </c>
      <c r="E7" s="6">
        <f>-'Estado de resultados'!E8</f>
        <v>-6343.92</v>
      </c>
      <c r="F7" s="6">
        <f>-'Estado de resultados'!F8</f>
        <v>-6443.7984000000006</v>
      </c>
      <c r="G7" s="6">
        <f>-'Estado de resultados'!G8</f>
        <v>-6545.674368</v>
      </c>
      <c r="H7" s="6">
        <f>-'Estado de resultados'!H8</f>
        <v>-6649.5878553600005</v>
      </c>
      <c r="I7" s="6">
        <f>-'Estado de resultados'!I8</f>
        <v>-6755.5796124672006</v>
      </c>
      <c r="J7" s="6">
        <f>-'Estado de resultados'!J8</f>
        <v>-6863.6912047165442</v>
      </c>
      <c r="K7" s="6">
        <f>-'Estado de resultados'!K8</f>
        <v>-6973.9650288108751</v>
      </c>
      <c r="L7" s="6">
        <f>-'Estado de resultados'!L8</f>
        <v>-7086.4443293870936</v>
      </c>
      <c r="M7" s="6">
        <f>-'Estado de resultados'!M8</f>
        <v>-7201.1732159748335</v>
      </c>
    </row>
    <row r="8" spans="1:13" x14ac:dyDescent="0.25">
      <c r="A8" s="2" t="s">
        <v>82</v>
      </c>
      <c r="B8" s="6">
        <f>-'Estado de resultados'!B15</f>
        <v>-1500</v>
      </c>
      <c r="C8" s="6">
        <f>-'Estado de resultados'!C15</f>
        <v>-1300</v>
      </c>
      <c r="D8" s="6">
        <f>-'Estado de resultados'!D15</f>
        <v>-1300</v>
      </c>
      <c r="E8" s="6">
        <f>-'Estado de resultados'!E15</f>
        <v>-1500</v>
      </c>
      <c r="F8" s="6">
        <f>-'Estado de resultados'!F15</f>
        <v>-1300</v>
      </c>
      <c r="G8" s="6">
        <f>-'Estado de resultados'!G15</f>
        <v>-1300</v>
      </c>
      <c r="H8" s="6">
        <f>-'Estado de resultados'!H15</f>
        <v>-1750</v>
      </c>
      <c r="I8" s="6">
        <f>-'Estado de resultados'!I15</f>
        <v>-1550</v>
      </c>
      <c r="J8" s="6">
        <f>-'Estado de resultados'!J15</f>
        <v>-1550</v>
      </c>
      <c r="K8" s="6">
        <f>-'Estado de resultados'!K15</f>
        <v>-1750</v>
      </c>
      <c r="L8" s="6">
        <f>-'Estado de resultados'!L15</f>
        <v>-1550</v>
      </c>
      <c r="M8" s="6">
        <f>-'Estado de resultados'!M15</f>
        <v>-1550</v>
      </c>
    </row>
    <row r="9" spans="1:13" x14ac:dyDescent="0.25">
      <c r="A9" s="2" t="s">
        <v>83</v>
      </c>
      <c r="B9" s="6">
        <f>-'Estado de resultados'!B17</f>
        <v>-115</v>
      </c>
      <c r="C9" s="6">
        <f>-'Estado de resultados'!C17</f>
        <v>-291.5</v>
      </c>
      <c r="D9" s="6">
        <f>-'Estado de resultados'!D17</f>
        <v>-311.20000000000005</v>
      </c>
      <c r="E9" s="6">
        <f>-'Estado de resultados'!E17</f>
        <v>-330.96399999999994</v>
      </c>
      <c r="F9" s="6">
        <f>-'Estado de resultados'!F17</f>
        <v>-350.79327999999998</v>
      </c>
      <c r="G9" s="6">
        <f>-'Estado de resultados'!G17</f>
        <v>-370.68914560000007</v>
      </c>
      <c r="H9" s="6">
        <f>-'Estado de resultados'!H17</f>
        <v>-390.65292851200002</v>
      </c>
      <c r="I9" s="6">
        <f>-'Estado de resultados'!I17</f>
        <v>-410.68598708223999</v>
      </c>
      <c r="J9" s="6">
        <f>-'Estado de resultados'!J17</f>
        <v>-430.78970682388479</v>
      </c>
      <c r="K9" s="6">
        <f>-'Estado de resultados'!K17</f>
        <v>-450.96550096036253</v>
      </c>
      <c r="L9" s="6">
        <f>-'Estado de resultados'!L17</f>
        <v>-471.21481097956973</v>
      </c>
      <c r="M9" s="6">
        <f>-'Estado de resultados'!M17</f>
        <v>-491.53910719916115</v>
      </c>
    </row>
    <row r="11" spans="1:13" x14ac:dyDescent="0.25">
      <c r="A11" s="5" t="s">
        <v>85</v>
      </c>
    </row>
    <row r="12" spans="1:13" x14ac:dyDescent="0.25">
      <c r="A12" s="2" t="s">
        <v>76</v>
      </c>
      <c r="B12" s="21">
        <f>Supuestos2!B60</f>
        <v>20000</v>
      </c>
    </row>
    <row r="13" spans="1:13" x14ac:dyDescent="0.25">
      <c r="A13" s="2" t="s">
        <v>86</v>
      </c>
      <c r="C13" s="21">
        <f>-Supuestos2!C61</f>
        <v>-333.33333333333331</v>
      </c>
      <c r="D13" s="21">
        <f>-Supuestos2!D61</f>
        <v>-333.33333333333331</v>
      </c>
      <c r="E13" s="21">
        <f>-Supuestos2!E61</f>
        <v>-333.33333333333331</v>
      </c>
      <c r="F13" s="21">
        <f>-Supuestos2!F61</f>
        <v>-333.33333333333331</v>
      </c>
      <c r="G13" s="21">
        <f>-Supuestos2!G61</f>
        <v>-333.33333333333331</v>
      </c>
      <c r="H13" s="21">
        <f>-Supuestos2!H61</f>
        <v>-333.33333333333331</v>
      </c>
      <c r="I13" s="21">
        <f>-Supuestos2!I61</f>
        <v>-333.33333333333331</v>
      </c>
      <c r="J13" s="21">
        <f>-Supuestos2!J61</f>
        <v>-333.33333333333331</v>
      </c>
      <c r="K13" s="21">
        <f>-Supuestos2!K61</f>
        <v>-333.33333333333331</v>
      </c>
      <c r="L13" s="21">
        <f>-Supuestos2!L61</f>
        <v>-333.33333333333331</v>
      </c>
      <c r="M13" s="21">
        <f>-Supuestos2!M61</f>
        <v>-333.33333333333331</v>
      </c>
    </row>
    <row r="14" spans="1:13" x14ac:dyDescent="0.25">
      <c r="A14" s="2" t="s">
        <v>87</v>
      </c>
      <c r="B14" s="21">
        <f>Supuestos2!B64</f>
        <v>20000</v>
      </c>
      <c r="C14" s="21">
        <f>Supuestos2!C64</f>
        <v>0</v>
      </c>
      <c r="D14" s="21">
        <f>Supuestos2!D64</f>
        <v>0</v>
      </c>
      <c r="E14" s="21">
        <f>Supuestos2!E64</f>
        <v>0</v>
      </c>
      <c r="F14" s="21">
        <f>Supuestos2!F64</f>
        <v>0</v>
      </c>
      <c r="G14" s="21">
        <f>Supuestos2!G64</f>
        <v>25000</v>
      </c>
      <c r="H14" s="21">
        <f>Supuestos2!H64</f>
        <v>0</v>
      </c>
      <c r="I14" s="21">
        <f>Supuestos2!I64</f>
        <v>0</v>
      </c>
      <c r="J14" s="21">
        <f>Supuestos2!J64</f>
        <v>0</v>
      </c>
      <c r="K14" s="21">
        <f>Supuestos2!K64</f>
        <v>0</v>
      </c>
      <c r="L14" s="21">
        <f>Supuestos2!L64</f>
        <v>0</v>
      </c>
      <c r="M14" s="21">
        <f>Supuestos2!M64</f>
        <v>0</v>
      </c>
    </row>
    <row r="15" spans="1:13" x14ac:dyDescent="0.25">
      <c r="A15" s="2" t="s">
        <v>77</v>
      </c>
    </row>
    <row r="17" spans="1:13" x14ac:dyDescent="0.25">
      <c r="A17" s="5" t="s">
        <v>89</v>
      </c>
    </row>
    <row r="18" spans="1:13" x14ac:dyDescent="0.25">
      <c r="A18" s="2" t="s">
        <v>90</v>
      </c>
      <c r="B18" s="21">
        <f>Supuestos2!B68</f>
        <v>0</v>
      </c>
      <c r="C18" s="21">
        <f>Supuestos2!C68</f>
        <v>0</v>
      </c>
      <c r="D18" s="21">
        <f>Supuestos2!D68</f>
        <v>0</v>
      </c>
      <c r="E18" s="21">
        <f>Supuestos2!E68</f>
        <v>0</v>
      </c>
      <c r="F18" s="21">
        <f>Supuestos2!F68</f>
        <v>0</v>
      </c>
      <c r="G18" s="21">
        <f>Supuestos2!G68</f>
        <v>0</v>
      </c>
      <c r="H18" s="21">
        <f>Supuestos2!H68</f>
        <v>0</v>
      </c>
      <c r="I18" s="21">
        <f>Supuestos2!I68</f>
        <v>0</v>
      </c>
      <c r="J18" s="21">
        <f>Supuestos2!J68</f>
        <v>0</v>
      </c>
      <c r="K18" s="21">
        <f>Supuestos2!K68</f>
        <v>0</v>
      </c>
      <c r="L18" s="21">
        <f>Supuestos2!L68</f>
        <v>0</v>
      </c>
      <c r="M18" s="21">
        <f>Supuestos2!M68</f>
        <v>0</v>
      </c>
    </row>
    <row r="20" spans="1:13" x14ac:dyDescent="0.25">
      <c r="A20" s="2" t="s">
        <v>93</v>
      </c>
      <c r="B20" s="6">
        <f>SUM(B5:B9)</f>
        <v>-2965</v>
      </c>
      <c r="C20" s="6">
        <f t="shared" ref="C20:M20" si="0">SUM(C5:C9)</f>
        <v>-6141.5</v>
      </c>
      <c r="D20" s="6">
        <f t="shared" si="0"/>
        <v>174.79999999999995</v>
      </c>
      <c r="E20" s="6">
        <f t="shared" si="0"/>
        <v>17.755999999999403</v>
      </c>
      <c r="F20" s="6">
        <f t="shared" si="0"/>
        <v>261.90111999999942</v>
      </c>
      <c r="G20" s="6">
        <f t="shared" si="0"/>
        <v>307.25914239999952</v>
      </c>
      <c r="H20" s="6">
        <f t="shared" si="0"/>
        <v>-96.145674752000104</v>
      </c>
      <c r="I20" s="6">
        <f t="shared" si="0"/>
        <v>151.71141175295998</v>
      </c>
      <c r="J20" s="6">
        <f t="shared" si="0"/>
        <v>200.85563998802047</v>
      </c>
      <c r="K20" s="6">
        <f t="shared" si="0"/>
        <v>51.312752787779118</v>
      </c>
      <c r="L20" s="6">
        <f t="shared" si="0"/>
        <v>303.10900784353464</v>
      </c>
      <c r="M20" s="6">
        <f t="shared" si="0"/>
        <v>356.27118800040677</v>
      </c>
    </row>
    <row r="21" spans="1:13" x14ac:dyDescent="0.25">
      <c r="A21" s="2" t="s">
        <v>95</v>
      </c>
      <c r="B21" s="21">
        <f>SUM(B12:B15)</f>
        <v>40000</v>
      </c>
      <c r="C21" s="21">
        <f t="shared" ref="C21:M21" si="1">SUM(C12:C15)</f>
        <v>-333.33333333333331</v>
      </c>
      <c r="D21" s="21">
        <f t="shared" si="1"/>
        <v>-333.33333333333331</v>
      </c>
      <c r="E21" s="21">
        <f t="shared" si="1"/>
        <v>-333.33333333333331</v>
      </c>
      <c r="F21" s="21">
        <f t="shared" si="1"/>
        <v>-333.33333333333331</v>
      </c>
      <c r="G21" s="21">
        <f t="shared" si="1"/>
        <v>24666.666666666668</v>
      </c>
      <c r="H21" s="21">
        <f t="shared" si="1"/>
        <v>-333.33333333333331</v>
      </c>
      <c r="I21" s="21">
        <f t="shared" si="1"/>
        <v>-333.33333333333331</v>
      </c>
      <c r="J21" s="21">
        <f t="shared" si="1"/>
        <v>-333.33333333333331</v>
      </c>
      <c r="K21" s="21">
        <f t="shared" si="1"/>
        <v>-333.33333333333331</v>
      </c>
      <c r="L21" s="21">
        <f t="shared" si="1"/>
        <v>-333.33333333333331</v>
      </c>
      <c r="M21" s="21">
        <f t="shared" si="1"/>
        <v>-333.33333333333331</v>
      </c>
    </row>
    <row r="22" spans="1:13" x14ac:dyDescent="0.25">
      <c r="A22" s="2" t="s">
        <v>94</v>
      </c>
      <c r="B22" s="21">
        <f>SUM(B18)</f>
        <v>0</v>
      </c>
      <c r="C22" s="21">
        <f t="shared" ref="C22:M22" si="2">SUM(C18)</f>
        <v>0</v>
      </c>
      <c r="D22" s="21">
        <f t="shared" si="2"/>
        <v>0</v>
      </c>
      <c r="E22" s="21">
        <f t="shared" si="2"/>
        <v>0</v>
      </c>
      <c r="F22" s="21">
        <f t="shared" si="2"/>
        <v>0</v>
      </c>
      <c r="G22" s="21">
        <f t="shared" si="2"/>
        <v>0</v>
      </c>
      <c r="H22" s="21">
        <f t="shared" si="2"/>
        <v>0</v>
      </c>
      <c r="I22" s="21">
        <f t="shared" si="2"/>
        <v>0</v>
      </c>
      <c r="J22" s="21">
        <f t="shared" si="2"/>
        <v>0</v>
      </c>
      <c r="K22" s="21">
        <f t="shared" si="2"/>
        <v>0</v>
      </c>
      <c r="L22" s="21">
        <f t="shared" si="2"/>
        <v>0</v>
      </c>
      <c r="M22" s="21">
        <f t="shared" si="2"/>
        <v>0</v>
      </c>
    </row>
    <row r="24" spans="1:13" x14ac:dyDescent="0.25">
      <c r="A24" s="2" t="s">
        <v>78</v>
      </c>
      <c r="B24" s="6">
        <f>SUM(B20:B22)</f>
        <v>37035</v>
      </c>
      <c r="C24" s="6">
        <f t="shared" ref="C24:M24" si="3">SUM(C20:C22)</f>
        <v>-6474.833333333333</v>
      </c>
      <c r="D24" s="6">
        <f t="shared" si="3"/>
        <v>-158.53333333333336</v>
      </c>
      <c r="E24" s="6">
        <f t="shared" si="3"/>
        <v>-315.57733333333391</v>
      </c>
      <c r="F24" s="6">
        <f t="shared" si="3"/>
        <v>-71.432213333333891</v>
      </c>
      <c r="G24" s="6">
        <f t="shared" si="3"/>
        <v>24973.925809066666</v>
      </c>
      <c r="H24" s="6">
        <f t="shared" si="3"/>
        <v>-429.47900808533342</v>
      </c>
      <c r="I24" s="6">
        <f t="shared" si="3"/>
        <v>-181.62192158037334</v>
      </c>
      <c r="J24" s="6">
        <f t="shared" si="3"/>
        <v>-132.47769334531284</v>
      </c>
      <c r="K24" s="6">
        <f t="shared" si="3"/>
        <v>-282.0205805455542</v>
      </c>
      <c r="L24" s="6">
        <f t="shared" si="3"/>
        <v>-30.224325489798673</v>
      </c>
      <c r="M24" s="6">
        <f t="shared" si="3"/>
        <v>22.937854667073452</v>
      </c>
    </row>
    <row r="25" spans="1:13" x14ac:dyDescent="0.25">
      <c r="A25" s="2" t="s">
        <v>79</v>
      </c>
      <c r="B25" s="6">
        <f>B24</f>
        <v>37035</v>
      </c>
      <c r="C25" s="6">
        <f>B25+C24</f>
        <v>30560.166666666668</v>
      </c>
      <c r="D25" s="6">
        <f t="shared" ref="D25:M25" si="4">C25+D24</f>
        <v>30401.633333333335</v>
      </c>
      <c r="E25" s="6">
        <f t="shared" si="4"/>
        <v>30086.056</v>
      </c>
      <c r="F25" s="6">
        <f t="shared" si="4"/>
        <v>30014.623786666667</v>
      </c>
      <c r="G25" s="6">
        <f t="shared" si="4"/>
        <v>54988.549595733333</v>
      </c>
      <c r="H25" s="6">
        <f t="shared" si="4"/>
        <v>54559.070587647999</v>
      </c>
      <c r="I25" s="6">
        <f t="shared" si="4"/>
        <v>54377.448666067627</v>
      </c>
      <c r="J25" s="6">
        <f t="shared" si="4"/>
        <v>54244.970972722316</v>
      </c>
      <c r="K25" s="6">
        <f t="shared" si="4"/>
        <v>53962.950392176761</v>
      </c>
      <c r="L25" s="6">
        <f t="shared" si="4"/>
        <v>53932.726066686962</v>
      </c>
      <c r="M25" s="6">
        <f t="shared" si="4"/>
        <v>53955.663921354033</v>
      </c>
    </row>
  </sheetData>
  <mergeCells count="1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01F6-2970-458C-A50F-CCA8BFAB029E}">
  <dimension ref="A1:M10"/>
  <sheetViews>
    <sheetView workbookViewId="0">
      <selection activeCell="C10" sqref="C10"/>
    </sheetView>
  </sheetViews>
  <sheetFormatPr baseColWidth="10" defaultRowHeight="15" x14ac:dyDescent="0.25"/>
  <cols>
    <col min="1" max="1" width="18.7109375" bestFit="1" customWidth="1"/>
  </cols>
  <sheetData>
    <row r="1" spans="1:13" x14ac:dyDescent="0.25">
      <c r="B1" s="24">
        <v>43313</v>
      </c>
      <c r="C1" s="24">
        <v>43344</v>
      </c>
      <c r="D1" s="24">
        <v>43374</v>
      </c>
      <c r="E1" s="24">
        <v>43405</v>
      </c>
      <c r="F1" s="24">
        <v>43435</v>
      </c>
      <c r="G1" s="24">
        <v>43466</v>
      </c>
      <c r="H1" s="24">
        <v>43497</v>
      </c>
      <c r="I1" s="24">
        <v>43525</v>
      </c>
      <c r="J1" s="24">
        <v>43556</v>
      </c>
      <c r="K1" s="24">
        <v>43586</v>
      </c>
      <c r="L1" s="24">
        <v>43617</v>
      </c>
      <c r="M1" s="24">
        <v>43647</v>
      </c>
    </row>
    <row r="2" spans="1:13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t="s">
        <v>97</v>
      </c>
      <c r="B3" s="23" t="str">
        <f>IFERROR('Estado de resultados'!B13/'Estado de resultados'!B4,"")</f>
        <v/>
      </c>
      <c r="C3" s="23">
        <f>'Estado de resultados'!C13/'Estado de resultados'!C4</f>
        <v>0.23125000000000001</v>
      </c>
      <c r="D3" s="23">
        <f>'Estado de resultados'!D13/'Estado de resultados'!D4</f>
        <v>0.23455882352941176</v>
      </c>
      <c r="E3" s="23">
        <f>'Estado de resultados'!E13/'Estado de resultados'!E4</f>
        <v>0.23780276816608986</v>
      </c>
      <c r="F3" s="23">
        <f>'Estado de resultados'!F13/'Estado de resultados'!F4</f>
        <v>0.24098310604518622</v>
      </c>
      <c r="G3" s="23">
        <f>'Estado de resultados'!G13/'Estado de resultados'!G4</f>
        <v>0.24410108435802594</v>
      </c>
      <c r="H3" s="23">
        <f>'Estado de resultados'!H13/'Estado de resultados'!H4</f>
        <v>0.24715792584120164</v>
      </c>
      <c r="I3" s="23">
        <f>'Estado de resultados'!I13/'Estado de resultados'!I4</f>
        <v>0.25015482925608012</v>
      </c>
      <c r="J3" s="23">
        <f>'Estado de resultados'!J13/'Estado de resultados'!J4</f>
        <v>0.25309296985890206</v>
      </c>
      <c r="K3" s="23">
        <f>'Estado de resultados'!K13/'Estado de resultados'!K4</f>
        <v>0.25597349986166873</v>
      </c>
      <c r="L3" s="23">
        <f>'Estado de resultados'!L13/'Estado de resultados'!L4</f>
        <v>0.25879754888398876</v>
      </c>
      <c r="M3" s="23">
        <f>'Estado de resultados'!M13/'Estado de resultados'!M4</f>
        <v>0.26156622439606769</v>
      </c>
    </row>
    <row r="4" spans="1:13" x14ac:dyDescent="0.25">
      <c r="A4" t="s">
        <v>98</v>
      </c>
      <c r="B4" s="23" t="str">
        <f>IFERROR('Estado de resultados'!B19/'Estado de resultados'!B4,"")</f>
        <v/>
      </c>
      <c r="C4" s="23">
        <f>'Estado de resultados'!C19/'Estado de resultados'!C4</f>
        <v>3.2312500000000001E-2</v>
      </c>
      <c r="D4" s="23">
        <f>'Estado de resultados'!D19/'Estado de resultados'!D4</f>
        <v>3.7107843137254896E-2</v>
      </c>
      <c r="E4" s="23">
        <f>'Estado de resultados'!E19/'Estado de resultados'!E4</f>
        <v>1.78195886197615E-2</v>
      </c>
      <c r="F4" s="23">
        <f>'Estado de resultados'!F19/'Estado de resultados'!F4</f>
        <v>4.6535683862164633E-2</v>
      </c>
      <c r="G4" s="23">
        <f>'Estado de resultados'!G19/'Estado de resultados'!G4</f>
        <v>5.1168768673687852E-2</v>
      </c>
      <c r="H4" s="23">
        <f>'Estado de resultados'!H19/'Estado de resultados'!H4</f>
        <v>4.8010120279572722E-3</v>
      </c>
      <c r="I4" s="23">
        <f>'Estado de resultados'!I19/'Estado de resultados'!I4</f>
        <v>3.2525698508265796E-2</v>
      </c>
      <c r="J4" s="23">
        <f>'Estado de resultados'!J19/'Estado de resultados'!J4</f>
        <v>3.7543389737751683E-2</v>
      </c>
      <c r="K4" s="23">
        <f>'Estado de resultados'!K19/'Estado de resultados'!K4</f>
        <v>2.1160642062757549E-2</v>
      </c>
      <c r="L4" s="23">
        <f>'Estado de resultados'!L19/'Estado de resultados'!L4</f>
        <v>4.7389781815618127E-2</v>
      </c>
      <c r="M4" s="23">
        <f>'Estado de resultados'!M19/'Estado de resultados'!M4</f>
        <v>5.22195824311334E-2</v>
      </c>
    </row>
    <row r="5" spans="1:13" x14ac:dyDescent="0.25">
      <c r="A5" t="s">
        <v>99</v>
      </c>
      <c r="B5" s="23">
        <f>'Estado de resultados'!B4/'Estado de situacion financiera'!B9</f>
        <v>0</v>
      </c>
      <c r="C5" s="23">
        <f>'Estado de resultados'!C4/'Estado de situacion financiera'!C9</f>
        <v>0.26666666666666666</v>
      </c>
      <c r="D5" s="23">
        <f>'Estado de resultados'!D4/'Estado de situacion financiera'!D9</f>
        <v>0.27200000000000002</v>
      </c>
      <c r="E5" s="23">
        <f>'Estado de resultados'!E4/'Estado de situacion financiera'!E9</f>
        <v>0.27743999999999996</v>
      </c>
      <c r="F5" s="23">
        <f>'Estado de resultados'!F4/'Estado de situacion financiera'!F9</f>
        <v>0.28298880000000004</v>
      </c>
      <c r="G5" s="23">
        <f>'Estado de resultados'!G4/'Estado de situacion financiera'!G9</f>
        <v>0.2886485760000001</v>
      </c>
      <c r="H5" s="23">
        <f>'Estado de resultados'!H4/'Estado de situacion financiera'!H9</f>
        <v>0.29442154751999999</v>
      </c>
      <c r="I5" s="23">
        <f>'Estado de resultados'!I4/'Estado de situacion financiera'!I9</f>
        <v>0.30030997847040003</v>
      </c>
      <c r="J5" s="23">
        <f>'Estado de resultados'!J4/'Estado de situacion financiera'!J9</f>
        <v>0.30631617803980804</v>
      </c>
      <c r="K5" s="23">
        <f>'Estado de resultados'!K4/'Estado de situacion financiera'!K9</f>
        <v>0.31244250160060422</v>
      </c>
      <c r="L5" s="23">
        <f>'Estado de resultados'!L4/'Estado de situacion financiera'!L9</f>
        <v>0.31869135163261625</v>
      </c>
      <c r="M5" s="23">
        <f>'Estado de resultados'!M4/'Estado de situacion financiera'!M9</f>
        <v>0.32506517866526857</v>
      </c>
    </row>
    <row r="6" spans="1:13" x14ac:dyDescent="0.25">
      <c r="A6" t="s">
        <v>100</v>
      </c>
      <c r="B6" s="6">
        <f>'Estado de resultados'!B19</f>
        <v>-2965</v>
      </c>
      <c r="C6" s="6">
        <f>'Estado de resultados'!C19</f>
        <v>258.5</v>
      </c>
      <c r="D6" s="6">
        <f>'Estado de resultados'!D19</f>
        <v>302.79999999999995</v>
      </c>
      <c r="E6" s="6">
        <f>'Estado de resultados'!E19</f>
        <v>148.31599999999889</v>
      </c>
      <c r="F6" s="6">
        <f>'Estado de resultados'!F19</f>
        <v>395.0723200000001</v>
      </c>
      <c r="G6" s="6">
        <f>'Estado de resultados'!G19</f>
        <v>443.09376640000232</v>
      </c>
      <c r="H6" s="6">
        <f>'Estado de resultados'!H19</f>
        <v>42.405641727999409</v>
      </c>
      <c r="I6" s="6">
        <f>'Estado de resultados'!I19</f>
        <v>293.03375456256072</v>
      </c>
      <c r="J6" s="6">
        <f>'Estado de resultados'!J19</f>
        <v>345.00442965381137</v>
      </c>
      <c r="K6" s="6">
        <f>'Estado de resultados'!K19</f>
        <v>198.34451824688813</v>
      </c>
      <c r="L6" s="6">
        <f>'Estado de resultados'!L19</f>
        <v>453.08140861182358</v>
      </c>
      <c r="M6" s="6">
        <f>'Estado de resultados'!M19</f>
        <v>509.24303678406301</v>
      </c>
    </row>
    <row r="8" spans="1:13" x14ac:dyDescent="0.25">
      <c r="A8" t="s">
        <v>101</v>
      </c>
      <c r="B8" s="14" t="str">
        <f>IFERROR('Estado de resultados'!B17/(Supuestos2!B6+Supuestos2!B14),"")</f>
        <v/>
      </c>
      <c r="C8" s="14">
        <f>'Estado de resultados'!C17/(Supuestos2!C6+Supuestos2!C14)</f>
        <v>26.5</v>
      </c>
      <c r="D8" s="14">
        <f>'Estado de resultados'!D17/(Supuestos2!D6+Supuestos2!D14)</f>
        <v>28.290909090909096</v>
      </c>
      <c r="E8" s="14">
        <f>'Estado de resultados'!E17/(Supuestos2!E6+Supuestos2!E14)</f>
        <v>30.08763636363636</v>
      </c>
      <c r="F8" s="14">
        <f>'Estado de resultados'!F17/(Supuestos2!F6+Supuestos2!F14)</f>
        <v>31.890298181818181</v>
      </c>
      <c r="G8" s="14">
        <f>'Estado de resultados'!G17/(Supuestos2!G6+Supuestos2!G14)</f>
        <v>33.699013236363641</v>
      </c>
      <c r="H8" s="14">
        <f>'Estado de resultados'!H17/(Supuestos2!H6+Supuestos2!H14)</f>
        <v>35.513902592000001</v>
      </c>
      <c r="I8" s="14">
        <f>'Estado de resultados'!I17/(Supuestos2!I6+Supuestos2!I14)</f>
        <v>37.33508973474909</v>
      </c>
      <c r="J8" s="14">
        <f>'Estado de resultados'!J17/(Supuestos2!J6+Supuestos2!J14)</f>
        <v>39.162700620353164</v>
      </c>
      <c r="K8" s="14">
        <f>'Estado de resultados'!K17/(Supuestos2!K6+Supuestos2!K14)</f>
        <v>40.996863723669321</v>
      </c>
      <c r="L8" s="14">
        <f>'Estado de resultados'!L17/(Supuestos2!L6+Supuestos2!L14)</f>
        <v>42.837710089051797</v>
      </c>
      <c r="M8" s="14">
        <f>'Estado de resultados'!M17/(Supuestos2!M6+Supuestos2!M14)</f>
        <v>44.685373381741925</v>
      </c>
    </row>
    <row r="9" spans="1:13" x14ac:dyDescent="0.25">
      <c r="A9" s="13">
        <v>0</v>
      </c>
    </row>
    <row r="10" spans="1:13" x14ac:dyDescent="0.25">
      <c r="A10" t="s">
        <v>102</v>
      </c>
      <c r="B10" s="14" t="e">
        <f>('Estado de resultados'!B4/(Supuestos2!B6+Supuestos2!B14)/1+Indicadores!A9)-Indicadores!B8</f>
        <v>#DIV/0!</v>
      </c>
      <c r="C10" s="14">
        <f>('Estado de resultados'!C4/(Supuestos2!C6+Supuestos2!C14)/1+Indicadores!B9)-Indicadores!C8</f>
        <v>700.77272727272725</v>
      </c>
      <c r="D10" s="14">
        <f>('Estado de resultados'!D4/(Supuestos2!D6+Supuestos2!D14)/1+Indicadores!C9)-Indicadores!D8</f>
        <v>713.52727272727282</v>
      </c>
      <c r="E10" s="14">
        <f>('Estado de resultados'!E4/(Supuestos2!E6+Supuestos2!E14)/1+Indicadores!D9)-Indicadores!E8</f>
        <v>726.56690909090901</v>
      </c>
      <c r="F10" s="14">
        <f>('Estado de resultados'!F4/(Supuestos2!F6+Supuestos2!F14)/1+Indicadores!E9)-Indicadores!F8</f>
        <v>739.89733818181833</v>
      </c>
      <c r="G10" s="14">
        <f>('Estado de resultados'!G4/(Supuestos2!G6+Supuestos2!G14)/1+Indicadores!F9)-Indicadores!G8</f>
        <v>753.52437585454572</v>
      </c>
      <c r="H10" s="14">
        <f>('Estado de resultados'!H4/(Supuestos2!H6+Supuestos2!H14)/1+Indicadores!G9)-Indicadores!H8</f>
        <v>767.4539542807272</v>
      </c>
      <c r="I10" s="14">
        <f>('Estado de resultados'!I4/(Supuestos2!I6+Supuestos2!I14)/1+Indicadores!H9)-Indicadores!I8</f>
        <v>781.69212427543289</v>
      </c>
      <c r="J10" s="14">
        <f>('Estado de resultados'!J4/(Supuestos2!J6+Supuestos2!J14)/1+Indicadores!I9)-Indicadores!J8</f>
        <v>796.24505767003234</v>
      </c>
      <c r="K10" s="14">
        <f>('Estado de resultados'!K4/(Supuestos2!K6+Supuestos2!K14)/1+Indicadores!J9)-Indicadores!K8</f>
        <v>811.11904973252388</v>
      </c>
      <c r="L10" s="14">
        <f>('Estado de resultados'!L4/(Supuestos2!L6+Supuestos2!L14)/1+Indicadores!K9)-Indicadores!L8</f>
        <v>826.3205216362652</v>
      </c>
      <c r="M10" s="14">
        <f>('Estado de resultados'!M4/(Supuestos2!M6+Supuestos2!M14)/1+Indicadores!L9)-Indicadores!M8</f>
        <v>841.85602297808157</v>
      </c>
    </row>
  </sheetData>
  <mergeCells count="1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Supuestos2</vt:lpstr>
      <vt:lpstr>Estado de situacion financiera</vt:lpstr>
      <vt:lpstr>Estado de resultados</vt:lpstr>
      <vt:lpstr>Flujo de caja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rubio martinez</dc:creator>
  <cp:lastModifiedBy>marco antonio rubio martinez</cp:lastModifiedBy>
  <dcterms:created xsi:type="dcterms:W3CDTF">2019-03-12T03:24:16Z</dcterms:created>
  <dcterms:modified xsi:type="dcterms:W3CDTF">2019-03-26T20:04:55Z</dcterms:modified>
</cp:coreProperties>
</file>