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849dacac0477a9/Documentos/Diplomas/Excel financiero/"/>
    </mc:Choice>
  </mc:AlternateContent>
  <xr:revisionPtr revIDLastSave="7" documentId="8_{02C8D047-D4F9-42F4-A43D-ED8754DB5E48}" xr6:coauthVersionLast="46" xr6:coauthVersionMax="46" xr10:uidLastSave="{5AFF4E43-74DC-45F3-AD09-C50EE6CBFCA3}"/>
  <bookViews>
    <workbookView xWindow="-120" yWindow="-120" windowWidth="20730" windowHeight="11160" tabRatio="920" activeTab="2" xr2:uid="{4BA8C5CB-89FA-40AD-AEE3-17E114B2C837}"/>
  </bookViews>
  <sheets>
    <sheet name="P&amp;L Input" sheetId="1" r:id="rId1"/>
    <sheet name="FCF" sheetId="3" r:id="rId2"/>
    <sheet name="Balance Sheet Input" sheetId="2" r:id="rId3"/>
    <sheet name="pasivo financiero" sheetId="6" r:id="rId4"/>
    <sheet name="activos fijos" sheetId="5" r:id="rId5"/>
    <sheet name="variacion en capital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T20" i="1"/>
  <c r="K19" i="2" l="1"/>
  <c r="D8" i="7" s="1"/>
  <c r="E4" i="7" s="1"/>
  <c r="L19" i="2"/>
  <c r="E8" i="7" s="1"/>
  <c r="F4" i="7" s="1"/>
  <c r="M19" i="2"/>
  <c r="F8" i="7" s="1"/>
  <c r="G4" i="7" s="1"/>
  <c r="J19" i="2"/>
  <c r="K17" i="2"/>
  <c r="L17" i="2"/>
  <c r="E11" i="3" s="1"/>
  <c r="M17" i="2"/>
  <c r="F11" i="3" s="1"/>
  <c r="J17" i="2"/>
  <c r="K16" i="2"/>
  <c r="L16" i="2"/>
  <c r="M16" i="2"/>
  <c r="N16" i="2"/>
  <c r="J16" i="2"/>
  <c r="K12" i="2"/>
  <c r="L12" i="2"/>
  <c r="N12" i="2"/>
  <c r="J12" i="2"/>
  <c r="K14" i="2"/>
  <c r="L14" i="2"/>
  <c r="M14" i="2"/>
  <c r="N14" i="2"/>
  <c r="J14" i="2"/>
  <c r="K11" i="2"/>
  <c r="L11" i="2"/>
  <c r="M11" i="2"/>
  <c r="N11" i="2"/>
  <c r="J11" i="2"/>
  <c r="K10" i="2"/>
  <c r="D5" i="5" s="1"/>
  <c r="L10" i="2"/>
  <c r="E5" i="5" s="1"/>
  <c r="M10" i="2"/>
  <c r="F5" i="5" s="1"/>
  <c r="N10" i="2"/>
  <c r="G5" i="5" s="1"/>
  <c r="J10" i="2"/>
  <c r="D3" i="5" s="1"/>
  <c r="K8" i="2"/>
  <c r="L8" i="2"/>
  <c r="M8" i="2"/>
  <c r="N8" i="2"/>
  <c r="J8" i="2"/>
  <c r="K9" i="2"/>
  <c r="L9" i="2"/>
  <c r="M9" i="2"/>
  <c r="N9" i="2"/>
  <c r="J9" i="2"/>
  <c r="L16" i="1"/>
  <c r="M16" i="1"/>
  <c r="N16" i="1"/>
  <c r="O16" i="1"/>
  <c r="K16" i="1"/>
  <c r="L15" i="1"/>
  <c r="M15" i="1"/>
  <c r="N15" i="1"/>
  <c r="O15" i="1"/>
  <c r="G6" i="3" s="1"/>
  <c r="K15" i="1"/>
  <c r="L13" i="1"/>
  <c r="D5" i="3" s="1"/>
  <c r="M13" i="1"/>
  <c r="E5" i="3" s="1"/>
  <c r="N13" i="1"/>
  <c r="F5" i="3" s="1"/>
  <c r="O13" i="1"/>
  <c r="G5" i="3" s="1"/>
  <c r="K13" i="1"/>
  <c r="L11" i="1"/>
  <c r="M11" i="1"/>
  <c r="L28" i="1" s="1"/>
  <c r="N11" i="1"/>
  <c r="M28" i="1" s="1"/>
  <c r="O11" i="1"/>
  <c r="N28" i="1" s="1"/>
  <c r="K11" i="1"/>
  <c r="N10" i="1"/>
  <c r="N12" i="1" s="1"/>
  <c r="L9" i="1"/>
  <c r="M9" i="1"/>
  <c r="L27" i="1" s="1"/>
  <c r="N9" i="1"/>
  <c r="O9" i="1"/>
  <c r="K9" i="1"/>
  <c r="L8" i="1"/>
  <c r="L10" i="1" s="1"/>
  <c r="L12" i="1" s="1"/>
  <c r="M8" i="1"/>
  <c r="N8" i="1"/>
  <c r="O8" i="1"/>
  <c r="P8" i="1" s="1"/>
  <c r="K8" i="1"/>
  <c r="K10" i="1" s="1"/>
  <c r="K12" i="1" s="1"/>
  <c r="K14" i="1" s="1"/>
  <c r="K17" i="1" s="1"/>
  <c r="F4" i="3" l="1"/>
  <c r="N14" i="1"/>
  <c r="N17" i="1" s="1"/>
  <c r="F6" i="7" s="1"/>
  <c r="D4" i="3"/>
  <c r="L14" i="1"/>
  <c r="L17" i="1" s="1"/>
  <c r="D6" i="7" s="1"/>
  <c r="Q31" i="1"/>
  <c r="P31" i="1"/>
  <c r="R31" i="1"/>
  <c r="S31" i="1"/>
  <c r="T31" i="1"/>
  <c r="M26" i="2"/>
  <c r="F8" i="3"/>
  <c r="N24" i="2"/>
  <c r="D4" i="5"/>
  <c r="E3" i="5"/>
  <c r="M25" i="2"/>
  <c r="F9" i="3"/>
  <c r="N27" i="2"/>
  <c r="J13" i="2"/>
  <c r="K13" i="2"/>
  <c r="E15" i="3"/>
  <c r="L28" i="2"/>
  <c r="E7" i="6"/>
  <c r="Q8" i="1"/>
  <c r="J27" i="1"/>
  <c r="K27" i="1"/>
  <c r="M10" i="1"/>
  <c r="M12" i="1" s="1"/>
  <c r="M29" i="1"/>
  <c r="F6" i="3"/>
  <c r="L26" i="2"/>
  <c r="E8" i="3"/>
  <c r="M24" i="2"/>
  <c r="G7" i="3"/>
  <c r="H3" i="5"/>
  <c r="L25" i="2"/>
  <c r="E9" i="3"/>
  <c r="N13" i="2"/>
  <c r="J28" i="2"/>
  <c r="C7" i="6"/>
  <c r="D4" i="6" s="1"/>
  <c r="K28" i="2"/>
  <c r="D15" i="3"/>
  <c r="D7" i="6"/>
  <c r="M18" i="2"/>
  <c r="M20" i="2" s="1"/>
  <c r="N27" i="1"/>
  <c r="L29" i="1"/>
  <c r="E6" i="3"/>
  <c r="J26" i="2"/>
  <c r="K26" i="2"/>
  <c r="D8" i="3"/>
  <c r="L24" i="2"/>
  <c r="F7" i="3"/>
  <c r="G3" i="5"/>
  <c r="G4" i="5" s="1"/>
  <c r="J25" i="2"/>
  <c r="K25" i="2"/>
  <c r="D9" i="3"/>
  <c r="L27" i="2"/>
  <c r="E10" i="3"/>
  <c r="M13" i="2"/>
  <c r="G7" i="6"/>
  <c r="G15" i="3"/>
  <c r="N28" i="2"/>
  <c r="D11" i="3"/>
  <c r="L18" i="2"/>
  <c r="L20" i="2" s="1"/>
  <c r="M27" i="1"/>
  <c r="O10" i="1"/>
  <c r="O12" i="1" s="1"/>
  <c r="J28" i="1"/>
  <c r="K28" i="1"/>
  <c r="J29" i="1"/>
  <c r="K29" i="1"/>
  <c r="D6" i="3"/>
  <c r="N26" i="2"/>
  <c r="G8" i="3"/>
  <c r="J24" i="2"/>
  <c r="D7" i="3"/>
  <c r="K24" i="2"/>
  <c r="E7" i="3"/>
  <c r="E4" i="5"/>
  <c r="F3" i="5"/>
  <c r="F4" i="5" s="1"/>
  <c r="N25" i="2"/>
  <c r="G9" i="3"/>
  <c r="J27" i="2"/>
  <c r="K27" i="2"/>
  <c r="D10" i="3"/>
  <c r="L13" i="2"/>
  <c r="F7" i="6"/>
  <c r="F15" i="3"/>
  <c r="M28" i="2"/>
  <c r="J18" i="2"/>
  <c r="K18" i="2"/>
  <c r="K20" i="2" s="1"/>
  <c r="K22" i="2" s="1"/>
  <c r="J20" i="2"/>
  <c r="J22" i="2" s="1"/>
  <c r="C8" i="7"/>
  <c r="D4" i="7" s="1"/>
  <c r="F14" i="2"/>
  <c r="M12" i="2" s="1"/>
  <c r="G26" i="2"/>
  <c r="B4" i="3"/>
  <c r="C7" i="1"/>
  <c r="C11" i="1" s="1"/>
  <c r="G31" i="2"/>
  <c r="N19" i="2" s="1"/>
  <c r="E30" i="2"/>
  <c r="E33" i="2" s="1"/>
  <c r="D30" i="2"/>
  <c r="D33" i="2" s="1"/>
  <c r="C30" i="2"/>
  <c r="C33" i="2" s="1"/>
  <c r="G29" i="2"/>
  <c r="N17" i="2" s="1"/>
  <c r="F26" i="2"/>
  <c r="F30" i="2" s="1"/>
  <c r="F33" i="2" s="1"/>
  <c r="G9" i="2"/>
  <c r="G17" i="2" s="1"/>
  <c r="F9" i="2"/>
  <c r="E9" i="2"/>
  <c r="E17" i="2" s="1"/>
  <c r="D9" i="2"/>
  <c r="C9" i="2"/>
  <c r="C17" i="2" s="1"/>
  <c r="G7" i="1"/>
  <c r="F7" i="1"/>
  <c r="E7" i="1"/>
  <c r="D7" i="1"/>
  <c r="G8" i="5" l="1"/>
  <c r="G12" i="3"/>
  <c r="F8" i="5"/>
  <c r="F12" i="3"/>
  <c r="F13" i="3" s="1"/>
  <c r="F18" i="3" s="1"/>
  <c r="T32" i="1"/>
  <c r="Q32" i="1"/>
  <c r="P32" i="1"/>
  <c r="R32" i="1"/>
  <c r="S32" i="1"/>
  <c r="R26" i="2"/>
  <c r="O26" i="2"/>
  <c r="Q26" i="2"/>
  <c r="P26" i="2"/>
  <c r="S26" i="2"/>
  <c r="M22" i="2"/>
  <c r="E6" i="6"/>
  <c r="F4" i="6"/>
  <c r="G11" i="3"/>
  <c r="N18" i="2"/>
  <c r="N20" i="2"/>
  <c r="N22" i="2" s="1"/>
  <c r="G8" i="7"/>
  <c r="H4" i="7" s="1"/>
  <c r="M27" i="2"/>
  <c r="P27" i="2" s="1"/>
  <c r="P12" i="2" s="1"/>
  <c r="I10" i="3" s="1"/>
  <c r="F10" i="3"/>
  <c r="G4" i="6"/>
  <c r="F6" i="6"/>
  <c r="Q27" i="2"/>
  <c r="Q12" i="2" s="1"/>
  <c r="R27" i="2"/>
  <c r="S27" i="2"/>
  <c r="O27" i="2"/>
  <c r="O12" i="2" s="1"/>
  <c r="H10" i="3" s="1"/>
  <c r="E8" i="5"/>
  <c r="E12" i="3"/>
  <c r="R24" i="2"/>
  <c r="O24" i="2"/>
  <c r="O8" i="2" s="1"/>
  <c r="S24" i="2"/>
  <c r="Q24" i="2"/>
  <c r="Q8" i="2" s="1"/>
  <c r="P24" i="2"/>
  <c r="P8" i="2" s="1"/>
  <c r="G4" i="3"/>
  <c r="O14" i="1"/>
  <c r="O17" i="1" s="1"/>
  <c r="G6" i="7" s="1"/>
  <c r="P25" i="2"/>
  <c r="O25" i="2"/>
  <c r="R25" i="2"/>
  <c r="Q25" i="2"/>
  <c r="S25" i="2"/>
  <c r="D6" i="6"/>
  <c r="E4" i="6"/>
  <c r="R28" i="2"/>
  <c r="S28" i="2"/>
  <c r="P28" i="2"/>
  <c r="P17" i="2" s="1"/>
  <c r="O28" i="2"/>
  <c r="O17" i="2" s="1"/>
  <c r="H11" i="3" s="1"/>
  <c r="Q28" i="2"/>
  <c r="Q17" i="2" s="1"/>
  <c r="J11" i="3" s="1"/>
  <c r="E4" i="3"/>
  <c r="M14" i="1"/>
  <c r="M17" i="1" s="1"/>
  <c r="E6" i="7" s="1"/>
  <c r="G10" i="3"/>
  <c r="S28" i="1"/>
  <c r="T28" i="1"/>
  <c r="Q28" i="1"/>
  <c r="P28" i="1"/>
  <c r="R28" i="1"/>
  <c r="Q11" i="1"/>
  <c r="R8" i="1"/>
  <c r="D12" i="3"/>
  <c r="D13" i="3" s="1"/>
  <c r="D18" i="3" s="1"/>
  <c r="D8" i="5"/>
  <c r="R30" i="1"/>
  <c r="S30" i="1"/>
  <c r="T30" i="1"/>
  <c r="P30" i="1"/>
  <c r="P11" i="1" s="1"/>
  <c r="Q30" i="1"/>
  <c r="R33" i="1"/>
  <c r="S33" i="1"/>
  <c r="T33" i="1"/>
  <c r="P33" i="1"/>
  <c r="Q33" i="1"/>
  <c r="L22" i="2"/>
  <c r="H4" i="6"/>
  <c r="C19" i="6"/>
  <c r="P13" i="1" s="1"/>
  <c r="H5" i="3" s="1"/>
  <c r="C12" i="6"/>
  <c r="G6" i="6"/>
  <c r="R26" i="1"/>
  <c r="Q27" i="1"/>
  <c r="P27" i="1"/>
  <c r="S26" i="1"/>
  <c r="R27" i="1"/>
  <c r="T26" i="1"/>
  <c r="Q26" i="1"/>
  <c r="P26" i="1"/>
  <c r="S27" i="1"/>
  <c r="T27" i="1"/>
  <c r="G30" i="2"/>
  <c r="G33" i="2" s="1"/>
  <c r="D11" i="1"/>
  <c r="D15" i="1" s="1"/>
  <c r="E11" i="1"/>
  <c r="E15" i="1" s="1"/>
  <c r="F17" i="2"/>
  <c r="F11" i="1"/>
  <c r="F15" i="1" s="1"/>
  <c r="C15" i="1"/>
  <c r="G11" i="1"/>
  <c r="G15" i="1" s="1"/>
  <c r="D19" i="1"/>
  <c r="D21" i="1" s="1"/>
  <c r="D23" i="1" s="1"/>
  <c r="D17" i="2"/>
  <c r="S25" i="1" l="1"/>
  <c r="T25" i="1"/>
  <c r="Q25" i="1"/>
  <c r="Q9" i="1" s="1"/>
  <c r="Q10" i="1" s="1"/>
  <c r="Q12" i="1" s="1"/>
  <c r="P25" i="1"/>
  <c r="P9" i="1" s="1"/>
  <c r="P10" i="1" s="1"/>
  <c r="P12" i="1" s="1"/>
  <c r="R25" i="1"/>
  <c r="L8" i="5"/>
  <c r="I8" i="5"/>
  <c r="H8" i="5"/>
  <c r="H4" i="5" s="1"/>
  <c r="J8" i="5"/>
  <c r="K8" i="5"/>
  <c r="Q14" i="2"/>
  <c r="O9" i="2"/>
  <c r="H8" i="3" s="1"/>
  <c r="F18" i="6"/>
  <c r="J18" i="6"/>
  <c r="N18" i="6"/>
  <c r="R18" i="6"/>
  <c r="V18" i="6"/>
  <c r="G18" i="6"/>
  <c r="K18" i="6"/>
  <c r="O18" i="6"/>
  <c r="S18" i="6"/>
  <c r="C18" i="6"/>
  <c r="C20" i="6" s="1"/>
  <c r="D18" i="6"/>
  <c r="H18" i="6"/>
  <c r="L18" i="6"/>
  <c r="P18" i="6"/>
  <c r="T18" i="6"/>
  <c r="E18" i="6"/>
  <c r="I18" i="6"/>
  <c r="M18" i="6"/>
  <c r="Q18" i="6"/>
  <c r="U18" i="6"/>
  <c r="E13" i="3"/>
  <c r="E18" i="3" s="1"/>
  <c r="G13" i="3"/>
  <c r="G18" i="3" s="1"/>
  <c r="I7" i="3"/>
  <c r="H7" i="3"/>
  <c r="J10" i="3"/>
  <c r="R11" i="1"/>
  <c r="R9" i="1"/>
  <c r="Q9" i="2" s="1"/>
  <c r="J8" i="3" s="1"/>
  <c r="S8" i="1"/>
  <c r="R10" i="1"/>
  <c r="I11" i="3"/>
  <c r="O14" i="2"/>
  <c r="J7" i="3"/>
  <c r="R8" i="2"/>
  <c r="P9" i="2"/>
  <c r="I8" i="3" s="1"/>
  <c r="E19" i="1"/>
  <c r="E21" i="1" s="1"/>
  <c r="E23" i="1" s="1"/>
  <c r="F19" i="1"/>
  <c r="F21" i="1" s="1"/>
  <c r="F23" i="1" s="1"/>
  <c r="G19" i="1"/>
  <c r="G21" i="1" s="1"/>
  <c r="G23" i="1" s="1"/>
  <c r="C19" i="1"/>
  <c r="C21" i="1" s="1"/>
  <c r="C23" i="1" s="1"/>
  <c r="H6" i="6" l="1"/>
  <c r="H7" i="6" s="1"/>
  <c r="C21" i="6"/>
  <c r="R12" i="1"/>
  <c r="T8" i="1"/>
  <c r="S11" i="1"/>
  <c r="S9" i="1"/>
  <c r="S10" i="1"/>
  <c r="S12" i="1" s="1"/>
  <c r="R17" i="2"/>
  <c r="K11" i="3" s="1"/>
  <c r="P14" i="2"/>
  <c r="I4" i="3"/>
  <c r="J9" i="3"/>
  <c r="K7" i="3"/>
  <c r="H9" i="3"/>
  <c r="R12" i="2"/>
  <c r="K10" i="3" s="1"/>
  <c r="H12" i="3"/>
  <c r="H5" i="5"/>
  <c r="P14" i="1"/>
  <c r="P15" i="1" s="1"/>
  <c r="H4" i="3"/>
  <c r="I9" i="3" l="1"/>
  <c r="P17" i="1"/>
  <c r="H6" i="7" s="1"/>
  <c r="H6" i="3"/>
  <c r="H13" i="3" s="1"/>
  <c r="K4" i="3"/>
  <c r="I3" i="5"/>
  <c r="O10" i="2"/>
  <c r="R9" i="2"/>
  <c r="K8" i="3" s="1"/>
  <c r="R14" i="2"/>
  <c r="J4" i="3"/>
  <c r="D19" i="6"/>
  <c r="T11" i="1"/>
  <c r="T9" i="1"/>
  <c r="T10" i="1"/>
  <c r="T12" i="1" s="1"/>
  <c r="S17" i="2"/>
  <c r="L11" i="3" s="1"/>
  <c r="S12" i="2"/>
  <c r="L10" i="3" s="1"/>
  <c r="S8" i="2"/>
  <c r="L7" i="3" s="1"/>
  <c r="I4" i="6"/>
  <c r="O16" i="2"/>
  <c r="L4" i="3" l="1"/>
  <c r="I4" i="5"/>
  <c r="I12" i="3" s="1"/>
  <c r="S14" i="2"/>
  <c r="S9" i="2"/>
  <c r="L8" i="3" s="1"/>
  <c r="K9" i="3"/>
  <c r="H15" i="3"/>
  <c r="H18" i="3" s="1"/>
  <c r="O11" i="2" s="1"/>
  <c r="O13" i="2" s="1"/>
  <c r="O18" i="2"/>
  <c r="Q13" i="1"/>
  <c r="D20" i="6"/>
  <c r="I5" i="5" l="1"/>
  <c r="I5" i="3"/>
  <c r="Q14" i="1"/>
  <c r="Q15" i="1" s="1"/>
  <c r="I6" i="6"/>
  <c r="I7" i="6" s="1"/>
  <c r="D21" i="6"/>
  <c r="L9" i="3"/>
  <c r="Q17" i="1" l="1"/>
  <c r="I6" i="7" s="1"/>
  <c r="I6" i="3"/>
  <c r="J4" i="6"/>
  <c r="P16" i="2"/>
  <c r="I13" i="3"/>
  <c r="E19" i="6"/>
  <c r="J3" i="5"/>
  <c r="P10" i="2"/>
  <c r="I15" i="3" l="1"/>
  <c r="P18" i="2"/>
  <c r="R13" i="1"/>
  <c r="E20" i="6"/>
  <c r="J4" i="5"/>
  <c r="J12" i="3" s="1"/>
  <c r="J5" i="5"/>
  <c r="P13" i="2"/>
  <c r="I18" i="3"/>
  <c r="P11" i="2" s="1"/>
  <c r="H8" i="7"/>
  <c r="I4" i="7" s="1"/>
  <c r="I8" i="7" s="1"/>
  <c r="J5" i="3" l="1"/>
  <c r="R14" i="1"/>
  <c r="R15" i="1" s="1"/>
  <c r="K3" i="5"/>
  <c r="Q10" i="2"/>
  <c r="J6" i="6"/>
  <c r="J7" i="6" s="1"/>
  <c r="E21" i="6"/>
  <c r="O19" i="2"/>
  <c r="O20" i="2" s="1"/>
  <c r="O22" i="2" s="1"/>
  <c r="P19" i="2"/>
  <c r="P20" i="2" s="1"/>
  <c r="P22" i="2" s="1"/>
  <c r="J4" i="7"/>
  <c r="K4" i="5" l="1"/>
  <c r="K12" i="3" s="1"/>
  <c r="K5" i="5"/>
  <c r="F19" i="6"/>
  <c r="R17" i="1"/>
  <c r="J6" i="7" s="1"/>
  <c r="J6" i="3"/>
  <c r="J8" i="7"/>
  <c r="K4" i="7" s="1"/>
  <c r="K4" i="6"/>
  <c r="Q16" i="2"/>
  <c r="J13" i="3"/>
  <c r="Q19" i="2"/>
  <c r="S13" i="1" l="1"/>
  <c r="F20" i="6"/>
  <c r="Q20" i="2"/>
  <c r="J15" i="3"/>
  <c r="J18" i="3" s="1"/>
  <c r="Q11" i="2" s="1"/>
  <c r="Q13" i="2" s="1"/>
  <c r="Q18" i="2"/>
  <c r="L3" i="5"/>
  <c r="R10" i="2"/>
  <c r="L4" i="5" l="1"/>
  <c r="L12" i="3" s="1"/>
  <c r="L5" i="5"/>
  <c r="S10" i="2" s="1"/>
  <c r="K6" i="6"/>
  <c r="K7" i="6" s="1"/>
  <c r="F21" i="6"/>
  <c r="G19" i="6" s="1"/>
  <c r="K5" i="3"/>
  <c r="S14" i="1"/>
  <c r="S15" i="1" s="1"/>
  <c r="Q22" i="2"/>
  <c r="L4" i="6" l="1"/>
  <c r="R16" i="2"/>
  <c r="G20" i="6"/>
  <c r="T13" i="1"/>
  <c r="S17" i="1"/>
  <c r="K6" i="7" s="1"/>
  <c r="K8" i="7" s="1"/>
  <c r="K6" i="3"/>
  <c r="K13" i="3"/>
  <c r="K15" i="3" l="1"/>
  <c r="K18" i="3" s="1"/>
  <c r="R11" i="2" s="1"/>
  <c r="R18" i="2"/>
  <c r="L5" i="3"/>
  <c r="T14" i="1"/>
  <c r="T15" i="1" s="1"/>
  <c r="G21" i="6"/>
  <c r="H19" i="6" s="1"/>
  <c r="H20" i="6" s="1"/>
  <c r="H21" i="6" s="1"/>
  <c r="I19" i="6" s="1"/>
  <c r="I20" i="6" s="1"/>
  <c r="I21" i="6" s="1"/>
  <c r="J19" i="6" s="1"/>
  <c r="J20" i="6" s="1"/>
  <c r="J21" i="6" s="1"/>
  <c r="K19" i="6" s="1"/>
  <c r="K20" i="6" s="1"/>
  <c r="K21" i="6" s="1"/>
  <c r="L6" i="6"/>
  <c r="L7" i="6" s="1"/>
  <c r="S16" i="2" s="1"/>
  <c r="R19" i="2"/>
  <c r="R20" i="2" s="1"/>
  <c r="L4" i="7"/>
  <c r="L15" i="3" l="1"/>
  <c r="S18" i="2"/>
  <c r="R13" i="2"/>
  <c r="R22" i="2" s="1"/>
  <c r="L19" i="6"/>
  <c r="L20" i="6" s="1"/>
  <c r="L21" i="6"/>
  <c r="M19" i="6" s="1"/>
  <c r="M20" i="6" s="1"/>
  <c r="M21" i="6" s="1"/>
  <c r="N19" i="6" s="1"/>
  <c r="N20" i="6" s="1"/>
  <c r="N21" i="6" s="1"/>
  <c r="O19" i="6" s="1"/>
  <c r="O20" i="6" s="1"/>
  <c r="O21" i="6" s="1"/>
  <c r="P19" i="6" s="1"/>
  <c r="P20" i="6" s="1"/>
  <c r="P21" i="6" s="1"/>
  <c r="Q19" i="6" s="1"/>
  <c r="Q20" i="6" s="1"/>
  <c r="Q21" i="6" s="1"/>
  <c r="R19" i="6" s="1"/>
  <c r="R20" i="6" s="1"/>
  <c r="R21" i="6" s="1"/>
  <c r="S19" i="6" s="1"/>
  <c r="S20" i="6" s="1"/>
  <c r="S21" i="6" s="1"/>
  <c r="T19" i="6" s="1"/>
  <c r="T20" i="6" s="1"/>
  <c r="T21" i="6" s="1"/>
  <c r="U19" i="6" s="1"/>
  <c r="U20" i="6" s="1"/>
  <c r="U21" i="6" s="1"/>
  <c r="V19" i="6" s="1"/>
  <c r="V20" i="6" s="1"/>
  <c r="V21" i="6" s="1"/>
  <c r="L13" i="3"/>
  <c r="L18" i="3" s="1"/>
  <c r="S11" i="2" s="1"/>
  <c r="S13" i="2" s="1"/>
  <c r="T17" i="1"/>
  <c r="L6" i="7" s="1"/>
  <c r="L8" i="7" s="1"/>
  <c r="S19" i="2" s="1"/>
  <c r="S20" i="2" s="1"/>
  <c r="S22" i="2" s="1"/>
  <c r="L6" i="3"/>
</calcChain>
</file>

<file path=xl/sharedStrings.xml><?xml version="1.0" encoding="utf-8"?>
<sst xmlns="http://schemas.openxmlformats.org/spreadsheetml/2006/main" count="149" uniqueCount="129">
  <si>
    <t>P&amp;L Input</t>
  </si>
  <si>
    <t>(in thousands)</t>
  </si>
  <si>
    <t>2014
Act</t>
  </si>
  <si>
    <t>2015
Act</t>
  </si>
  <si>
    <t>2016
Act</t>
  </si>
  <si>
    <t>2017
Act</t>
  </si>
  <si>
    <t>Automotive revenues</t>
  </si>
  <si>
    <t>Energy generation and storage</t>
  </si>
  <si>
    <t>Services and other</t>
  </si>
  <si>
    <t>Total revenues</t>
  </si>
  <si>
    <t>Automotive cost of revenues</t>
  </si>
  <si>
    <t>Energy generation and storage cost of revenues</t>
  </si>
  <si>
    <t>Services and other cost of revenues</t>
  </si>
  <si>
    <t>Gross profit</t>
  </si>
  <si>
    <t>Research and development</t>
  </si>
  <si>
    <t>Selling, general and administrative</t>
  </si>
  <si>
    <t>Restructuring and other</t>
  </si>
  <si>
    <t>EBIT</t>
  </si>
  <si>
    <t>Interest income</t>
  </si>
  <si>
    <t>Interest expense</t>
  </si>
  <si>
    <t>Other income (expense), net</t>
  </si>
  <si>
    <t>EBT</t>
  </si>
  <si>
    <t>Provision for income taxes</t>
  </si>
  <si>
    <t>Net loss incl. minority interests</t>
  </si>
  <si>
    <t>Minority interests</t>
  </si>
  <si>
    <t>Net loss</t>
  </si>
  <si>
    <t>Balance Sheet Input</t>
  </si>
  <si>
    <t>31 Dec
2014</t>
  </si>
  <si>
    <t>31 Dec
2015</t>
  </si>
  <si>
    <t>31 Dec
2016</t>
  </si>
  <si>
    <t>31 Dec 
2017</t>
  </si>
  <si>
    <t xml:space="preserve"> 30 Jun
2018</t>
  </si>
  <si>
    <t>Cash and cash equivalents</t>
  </si>
  <si>
    <t>Restricted cash and marketable securities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</si>
  <si>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</si>
  <si>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</si>
  <si>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</si>
  <si>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</si>
  <si>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</si>
  <si>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</si>
  <si>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</si>
  <si>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</si>
  <si>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</si>
  <si>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</si>
  <si>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</si>
  <si>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</si>
  <si>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</si>
  <si>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Accrued liabilities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</si>
  <si>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</si>
  <si>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</si>
  <si>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</si>
  <si>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</si>
  <si>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</si>
  <si>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</si>
  <si>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</si>
  <si>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</si>
  <si>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Other liabilities</t>
  </si>
  <si>
    <t>Total liabilities</t>
  </si>
  <si>
    <t>Total stockholders' equity</t>
  </si>
  <si>
    <t>Noncontrolling interests in subsidiaries</t>
  </si>
  <si>
    <t>Total liabilities and equity</t>
  </si>
  <si>
    <t>DSO</t>
  </si>
  <si>
    <t>DIO</t>
  </si>
  <si>
    <t>DPO</t>
  </si>
  <si>
    <t>2018
Act</t>
  </si>
  <si>
    <t>interest expenses</t>
  </si>
  <si>
    <t>taxes</t>
  </si>
  <si>
    <t>change in trade receivable</t>
  </si>
  <si>
    <t>change in inventory</t>
  </si>
  <si>
    <t>change in trade payable</t>
  </si>
  <si>
    <t>change in other assets</t>
  </si>
  <si>
    <t>change in other liabilities</t>
  </si>
  <si>
    <t>capex</t>
  </si>
  <si>
    <t>operating cash flow</t>
  </si>
  <si>
    <t>dividends</t>
  </si>
  <si>
    <t>change in financial liabilites</t>
  </si>
  <si>
    <t>change in provisions</t>
  </si>
  <si>
    <t>change in equity</t>
  </si>
  <si>
    <t>net cash flow</t>
  </si>
  <si>
    <t>Revenues</t>
  </si>
  <si>
    <t>Cost of sales</t>
  </si>
  <si>
    <t>Operating expenses</t>
  </si>
  <si>
    <t>Interest expenses/income</t>
  </si>
  <si>
    <t>Taxes</t>
  </si>
  <si>
    <t>Minority interest</t>
  </si>
  <si>
    <t>Net Income</t>
  </si>
  <si>
    <t>Liabilities</t>
  </si>
  <si>
    <t>Trade Receivables</t>
  </si>
  <si>
    <t>PP&amp;E</t>
  </si>
  <si>
    <t>Cash</t>
  </si>
  <si>
    <t>Assets</t>
  </si>
  <si>
    <t>Trade Payables</t>
  </si>
  <si>
    <t>Provisions</t>
  </si>
  <si>
    <t>Financial Liabilities</t>
  </si>
  <si>
    <t>Equity</t>
  </si>
  <si>
    <t>Liabilities &amp; Equity</t>
  </si>
  <si>
    <t>CHECK</t>
  </si>
  <si>
    <t>escenario</t>
  </si>
  <si>
    <t>REVENUE</t>
  </si>
  <si>
    <t>positivo</t>
  </si>
  <si>
    <t>base</t>
  </si>
  <si>
    <t>negativo</t>
  </si>
  <si>
    <t>COGS</t>
  </si>
  <si>
    <t>OPEX</t>
  </si>
  <si>
    <t>Other assets %</t>
  </si>
  <si>
    <t>Other liabilities %</t>
  </si>
  <si>
    <t>valor inicial PP&amp;E</t>
  </si>
  <si>
    <t>Capex</t>
  </si>
  <si>
    <t>valor final PP&amp;E</t>
  </si>
  <si>
    <t>Capex as a % del valor inicial PP&amp;E</t>
  </si>
  <si>
    <t>valor inicial deuda</t>
  </si>
  <si>
    <t>new debt</t>
  </si>
  <si>
    <t>principal repayment</t>
  </si>
  <si>
    <t>valor final deuda</t>
  </si>
  <si>
    <t>suponemos que la deuda restante a dic del 18 debe ser pagada en 10 años pagando un interes anual de 9% y calculamos una cuota</t>
  </si>
  <si>
    <t>plazo</t>
  </si>
  <si>
    <t>interes</t>
  </si>
  <si>
    <t>cuota</t>
  </si>
  <si>
    <t>realizamos una tabla de amortizacion para saber cual es el valor a pagar en capital</t>
  </si>
  <si>
    <t>periodo</t>
  </si>
  <si>
    <t>intereses</t>
  </si>
  <si>
    <t>capital</t>
  </si>
  <si>
    <t>residual</t>
  </si>
  <si>
    <t>valor inicial equity</t>
  </si>
  <si>
    <t>increase capital</t>
  </si>
  <si>
    <t>net income (loss)</t>
  </si>
  <si>
    <t>valor final equity</t>
  </si>
  <si>
    <t>Cost of Sales</t>
  </si>
  <si>
    <t>Escenarios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</si>
</sst>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4" formatCode="_-&quot;$&quot;* #,##0.00_-;\-&quot;$&quot;* #,##0.00_-;_-&quot;$&quot;* &quot;-&quot;??_-;_-@_-"/>
    <numFmt numFmtId="164" formatCode="&quot;$&quot;\ #,##0;[Red]\-&quot;$&quot;\ #,##0"/>
    <numFmt numFmtId="165" formatCode="&quot;$&quot;\ #,##0.00;[Red]\-&quot;$&quot;\ #,##0.00"/>
    <numFmt numFmtId="166" formatCode="_-&quot;$&quot;\ * #,##0_-;\-&quot;$&quot;\ * #,##0_-;_-&quot;$&quot;\ * &quot;-&quot;_-;_-@_-"/>
    <numFmt numFmtId="167" formatCode="_(* #,##0_);_(* \(#,##0\);_(* &quot;-&quot;?_);@_)"/>
    <numFmt numFmtId="168" formatCode="_(* #,##0.00_);_(* \(#,##0.00\);_(* &quot;-&quot;??_);_(@_)"/>
    <numFmt numFmtId="169" formatCode="_(* #,##0_);_(* \(#,##0\);_(* &quot;-&quot;??_);_(@_)"/>
    <numFmt numFmtId="170" formatCode="#,##0.0_);\(#,##0.0\)"/>
    <numFmt numFmtId="171" formatCode="_-* #,##0.00_-;\-* #,##0.00_-;_-* &quot;-&quot;_-;_-@_-"/>
    <numFmt numFmtId="172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name val="Arial"/>
      <family val="2"/>
    </font>
    <font>
      <sz val="9"/>
      <color rgb="FFFF0000"/>
      <name val="Arial"/>
      <family val="2"/>
      <charset val="204"/>
    </font>
    <font>
      <sz val="10"/>
      <name val="Arial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8">
    <xf numFmtId="0" fontId="0" fillId="0" borderId="0">
      <alignment vertical="top"/>
    </xf>
    <xf numFmtId="168" fontId="5" fillId="0" borderId="0">
      <alignment vertical="top"/>
    </xf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5" fillId="0" borderId="0">
      <alignment vertical="top"/>
    </xf>
    <xf numFmtId="170" fontId="9" fillId="2" borderId="2"/>
    <xf numFmtId="170" fontId="8" fillId="2" borderId="0"/>
    <xf numFmtId="44" fontId="12" fillId="0" borderId="0" applyFont="0" applyFill="0" applyBorder="0" applyAlignment="0" applyProtection="0"/>
  </cellStyleXfs>
  <cellXfs count="65">
    <xf numFmtId="0" fontId="0" fillId="0" borderId="0" xfId="0">
      <alignment vertical="top"/>
    </xf>
    <xf numFmtId="0" fontId="2" fillId="2" borderId="0" xfId="0" applyFont="1" applyFill="1">
      <alignment vertical="top"/>
    </xf>
    <xf numFmtId="0" fontId="0" fillId="2" borderId="0" xfId="0" applyFill="1">
      <alignment vertical="top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0" fontId="3" fillId="2" borderId="2" xfId="0" applyFont="1" applyFill="1" applyBorder="1">
      <alignment vertical="top"/>
    </xf>
    <xf numFmtId="167" fontId="3" fillId="2" borderId="2" xfId="0" applyNumberFormat="1" applyFont="1" applyFill="1" applyBorder="1" applyAlignment="1">
      <alignment horizontal="right" vertical="top"/>
    </xf>
    <xf numFmtId="0" fontId="5" fillId="2" borderId="0" xfId="0" applyFont="1" applyFill="1">
      <alignment vertical="top"/>
    </xf>
    <xf numFmtId="0" fontId="3" fillId="2" borderId="3" xfId="0" applyFont="1" applyFill="1" applyBorder="1">
      <alignment vertical="top"/>
    </xf>
    <xf numFmtId="167" fontId="3" fillId="2" borderId="3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wrapText="1"/>
    </xf>
    <xf numFmtId="167" fontId="4" fillId="2" borderId="0" xfId="1" applyNumberFormat="1" applyFont="1" applyFill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2" borderId="3" xfId="1" applyNumberFormat="1" applyFont="1" applyFill="1" applyBorder="1" applyAlignment="1">
      <alignment horizontal="right" vertical="top"/>
    </xf>
    <xf numFmtId="0" fontId="3" fillId="2" borderId="0" xfId="0" applyFont="1" applyFill="1">
      <alignment vertical="top"/>
    </xf>
    <xf numFmtId="167" fontId="3" fillId="2" borderId="0" xfId="1" applyNumberFormat="1" applyFont="1" applyFill="1" applyAlignment="1">
      <alignment horizontal="right" vertical="top"/>
    </xf>
    <xf numFmtId="169" fontId="4" fillId="2" borderId="0" xfId="0" applyNumberFormat="1" applyFont="1" applyFill="1">
      <alignment vertical="top"/>
    </xf>
    <xf numFmtId="0" fontId="0" fillId="0" borderId="0" xfId="0" applyAlignment="1"/>
    <xf numFmtId="0" fontId="0" fillId="0" borderId="4" xfId="0" applyBorder="1" applyAlignment="1"/>
    <xf numFmtId="0" fontId="7" fillId="2" borderId="1" xfId="0" applyFont="1" applyFill="1" applyBorder="1" applyAlignment="1">
      <alignment horizontal="center" vertical="center" wrapText="1"/>
    </xf>
    <xf numFmtId="166" fontId="0" fillId="0" borderId="0" xfId="3" applyFont="1" applyAlignment="1">
      <alignment vertical="top"/>
    </xf>
    <xf numFmtId="166" fontId="0" fillId="4" borderId="0" xfId="3" applyFont="1" applyFill="1" applyAlignment="1">
      <alignment vertical="top"/>
    </xf>
    <xf numFmtId="0" fontId="0" fillId="2" borderId="0" xfId="0" applyFill="1" applyAlignment="1"/>
    <xf numFmtId="0" fontId="8" fillId="2" borderId="0" xfId="0" applyFont="1" applyFill="1" applyAlignment="1"/>
    <xf numFmtId="169" fontId="8" fillId="2" borderId="0" xfId="1" applyNumberFormat="1" applyFont="1" applyFill="1" applyAlignment="1"/>
    <xf numFmtId="0" fontId="9" fillId="2" borderId="2" xfId="0" applyFont="1" applyFill="1" applyBorder="1" applyAlignment="1"/>
    <xf numFmtId="169" fontId="9" fillId="2" borderId="2" xfId="1" applyNumberFormat="1" applyFont="1" applyFill="1" applyBorder="1" applyAlignment="1"/>
    <xf numFmtId="169" fontId="9" fillId="2" borderId="2" xfId="0" applyNumberFormat="1" applyFont="1" applyFill="1" applyBorder="1" applyAlignment="1"/>
    <xf numFmtId="0" fontId="3" fillId="2" borderId="5" xfId="0" applyFont="1" applyFill="1" applyBorder="1" applyAlignment="1"/>
    <xf numFmtId="169" fontId="3" fillId="2" borderId="5" xfId="0" applyNumberFormat="1" applyFont="1" applyFill="1" applyBorder="1" applyAlignment="1"/>
    <xf numFmtId="170" fontId="9" fillId="2" borderId="2" xfId="5"/>
    <xf numFmtId="166" fontId="4" fillId="2" borderId="0" xfId="3" applyFont="1" applyFill="1" applyAlignment="1">
      <alignment vertical="top"/>
    </xf>
    <xf numFmtId="0" fontId="10" fillId="2" borderId="0" xfId="0" applyFont="1" applyFill="1">
      <alignment vertical="top"/>
    </xf>
    <xf numFmtId="9" fontId="0" fillId="0" borderId="0" xfId="0" applyNumberFormat="1" applyAlignment="1"/>
    <xf numFmtId="9" fontId="0" fillId="0" borderId="0" xfId="4" applyFont="1" applyAlignment="1"/>
    <xf numFmtId="9" fontId="0" fillId="3" borderId="0" xfId="4" applyFont="1" applyFill="1" applyAlignment="1"/>
    <xf numFmtId="9" fontId="0" fillId="3" borderId="0" xfId="0" applyNumberFormat="1" applyFill="1" applyAlignment="1"/>
    <xf numFmtId="9" fontId="5" fillId="0" borderId="0" xfId="4">
      <alignment vertical="top"/>
    </xf>
    <xf numFmtId="0" fontId="4" fillId="3" borderId="0" xfId="0" applyFont="1" applyFill="1">
      <alignment vertical="top"/>
    </xf>
    <xf numFmtId="170" fontId="6" fillId="3" borderId="0" xfId="6" applyFont="1" applyFill="1"/>
    <xf numFmtId="171" fontId="4" fillId="3" borderId="0" xfId="2" applyNumberFormat="1" applyFont="1" applyFill="1" applyAlignment="1">
      <alignment vertical="top"/>
    </xf>
    <xf numFmtId="171" fontId="4" fillId="3" borderId="0" xfId="0" applyNumberFormat="1" applyFont="1" applyFill="1">
      <alignment vertical="top"/>
    </xf>
    <xf numFmtId="9" fontId="5" fillId="3" borderId="0" xfId="4" applyFill="1">
      <alignment vertical="top"/>
    </xf>
    <xf numFmtId="166" fontId="4" fillId="3" borderId="0" xfId="3" applyFont="1" applyFill="1" applyAlignment="1">
      <alignment vertical="top"/>
    </xf>
    <xf numFmtId="166" fontId="0" fillId="3" borderId="0" xfId="3" applyFont="1" applyFill="1" applyAlignment="1">
      <alignment vertical="top"/>
    </xf>
    <xf numFmtId="0" fontId="11" fillId="2" borderId="0" xfId="0" applyFont="1" applyFill="1">
      <alignment vertical="top"/>
    </xf>
    <xf numFmtId="0" fontId="7" fillId="2" borderId="1" xfId="0" applyFont="1" applyFill="1" applyBorder="1" applyAlignment="1">
      <alignment horizontal="right" vertical="top" wrapText="1"/>
    </xf>
    <xf numFmtId="166" fontId="0" fillId="0" borderId="0" xfId="0" applyNumberFormat="1">
      <alignment vertical="top"/>
    </xf>
    <xf numFmtId="172" fontId="0" fillId="0" borderId="0" xfId="4" applyNumberFormat="1" applyFont="1" applyAlignment="1"/>
    <xf numFmtId="17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>
      <alignment vertical="top"/>
    </xf>
    <xf numFmtId="166" fontId="4" fillId="4" borderId="0" xfId="0" applyNumberFormat="1" applyFont="1" applyFill="1">
      <alignment vertical="top"/>
    </xf>
    <xf numFmtId="164" fontId="4" fillId="4" borderId="0" xfId="0" applyNumberFormat="1" applyFont="1" applyFill="1">
      <alignment vertical="top"/>
    </xf>
    <xf numFmtId="166" fontId="13" fillId="2" borderId="0" xfId="3" applyFont="1" applyFill="1" applyAlignment="1">
      <alignment vertical="top"/>
    </xf>
    <xf numFmtId="44" fontId="0" fillId="0" borderId="0" xfId="7" applyFont="1" applyAlignment="1">
      <alignment vertical="top"/>
    </xf>
    <xf numFmtId="0" fontId="10" fillId="2" borderId="0" xfId="0" applyFont="1" applyFill="1" applyAlignment="1">
      <alignment horizontal="right" vertical="top"/>
    </xf>
    <xf numFmtId="172" fontId="5" fillId="0" borderId="0" xfId="4" applyNumberFormat="1">
      <alignment vertical="top"/>
    </xf>
    <xf numFmtId="10" fontId="5" fillId="0" borderId="0" xfId="4" applyNumberFormat="1">
      <alignment vertical="top"/>
    </xf>
    <xf numFmtId="0" fontId="10" fillId="0" borderId="0" xfId="0" applyFont="1" applyAlignment="1"/>
    <xf numFmtId="169" fontId="5" fillId="0" borderId="0" xfId="1" applyNumberFormat="1">
      <alignment vertical="top"/>
    </xf>
    <xf numFmtId="169" fontId="5" fillId="4" borderId="0" xfId="1" applyNumberFormat="1" applyFill="1">
      <alignment vertical="top"/>
    </xf>
    <xf numFmtId="166" fontId="13" fillId="3" borderId="0" xfId="0" applyNumberFormat="1" applyFont="1" applyFill="1">
      <alignment vertical="top"/>
    </xf>
  </cellXfs>
  <cellStyles count="8">
    <cellStyle name="General" xfId="6" xr:uid="{FB5C488E-3A2A-4060-817B-5982D651303F}"/>
    <cellStyle name="Millares" xfId="1" builtinId="3"/>
    <cellStyle name="Millares [0]" xfId="2" builtinId="6"/>
    <cellStyle name="Moneda" xfId="7" builtinId="4"/>
    <cellStyle name="Moneda [0]" xfId="3" builtinId="7"/>
    <cellStyle name="Normal" xfId="0" builtinId="0"/>
    <cellStyle name="Porcentaje" xfId="4" builtinId="5"/>
    <cellStyle name="Subtotal" xfId="5" xr:uid="{DAC20250-C486-47B3-8143-E961D37C0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8A9E-AF01-4482-93A2-C249CD50439E}">
  <dimension ref="B1:T35"/>
  <sheetViews>
    <sheetView showGridLines="0" zoomScale="80" zoomScaleNormal="80" workbookViewId="0">
      <selection activeCell="P8" sqref="P8"/>
    </sheetView>
  </sheetViews>
  <sheetFormatPr baseColWidth="10" defaultColWidth="9.140625" defaultRowHeight="12.75" x14ac:dyDescent="0.2"/>
  <cols>
    <col min="1" max="1" width="2" style="2" customWidth="1"/>
    <col min="2" max="2" width="42" style="2" bestFit="1" customWidth="1"/>
    <col min="3" max="5" width="11.42578125" style="2" bestFit="1" customWidth="1"/>
    <col min="6" max="6" width="12" style="2" bestFit="1" customWidth="1"/>
    <col min="7" max="7" width="11.42578125" style="2" bestFit="1" customWidth="1"/>
    <col min="8" max="9" width="9.140625" style="2"/>
    <col min="10" max="10" width="22.42578125" style="2" bestFit="1" customWidth="1"/>
    <col min="11" max="13" width="11.42578125" style="2" bestFit="1" customWidth="1"/>
    <col min="14" max="14" width="12" style="2" bestFit="1" customWidth="1"/>
    <col min="15" max="15" width="11.42578125" style="2" bestFit="1" customWidth="1"/>
    <col min="16" max="20" width="12" style="2" bestFit="1" customWidth="1"/>
    <col min="21" max="16384" width="9.140625" style="2"/>
  </cols>
  <sheetData>
    <row r="1" spans="2:20" ht="15.75" x14ac:dyDescent="0.2">
      <c r="B1" s="1" t="s">
        <v>0</v>
      </c>
    </row>
    <row r="3" spans="2:20" ht="24" x14ac:dyDescent="0.2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64</v>
      </c>
    </row>
    <row r="4" spans="2:20" x14ac:dyDescent="0.2">
      <c r="B4" s="5" t="s">
        <v>6</v>
      </c>
      <c r="C4" s="6">
        <v>3007012</v>
      </c>
      <c r="D4" s="6">
        <v>3740973</v>
      </c>
      <c r="E4" s="6">
        <v>6350766</v>
      </c>
      <c r="F4" s="6">
        <v>9641300</v>
      </c>
      <c r="G4" s="6">
        <v>6092998</v>
      </c>
      <c r="J4" s="34" t="s">
        <v>97</v>
      </c>
    </row>
    <row r="5" spans="2:20" x14ac:dyDescent="0.2">
      <c r="B5" s="5" t="s">
        <v>7</v>
      </c>
      <c r="C5" s="6">
        <v>4208</v>
      </c>
      <c r="D5" s="6">
        <v>14477</v>
      </c>
      <c r="E5" s="6">
        <v>181394</v>
      </c>
      <c r="F5" s="6">
        <v>1116266</v>
      </c>
      <c r="G5" s="6">
        <v>784430</v>
      </c>
    </row>
    <row r="6" spans="2:20" x14ac:dyDescent="0.2">
      <c r="B6" s="5" t="s">
        <v>8</v>
      </c>
      <c r="C6" s="6">
        <v>187136</v>
      </c>
      <c r="D6" s="6">
        <v>290575</v>
      </c>
      <c r="E6" s="6">
        <v>467972</v>
      </c>
      <c r="F6" s="6">
        <v>1001185</v>
      </c>
      <c r="G6" s="6">
        <v>533554</v>
      </c>
    </row>
    <row r="7" spans="2:20" x14ac:dyDescent="0.2">
      <c r="B7" s="7" t="s">
        <v>9</v>
      </c>
      <c r="C7" s="8">
        <f>SUM(C4:C6)</f>
        <v>3198356</v>
      </c>
      <c r="D7" s="8">
        <f>SUM(D4:D6)</f>
        <v>4046025</v>
      </c>
      <c r="E7" s="8">
        <f>SUM(E4:E6)</f>
        <v>7000132</v>
      </c>
      <c r="F7" s="8">
        <f>SUM(F4:F6)</f>
        <v>11758751</v>
      </c>
      <c r="G7" s="8">
        <f>SUM(G4:G6)</f>
        <v>7410982</v>
      </c>
      <c r="I7" s="24"/>
      <c r="J7" s="3"/>
      <c r="K7" s="4">
        <v>2014</v>
      </c>
      <c r="L7" s="4">
        <v>2015</v>
      </c>
      <c r="M7" s="4">
        <v>2016</v>
      </c>
      <c r="N7" s="4">
        <v>2017</v>
      </c>
      <c r="O7" s="4">
        <v>2018</v>
      </c>
      <c r="P7" s="48">
        <v>2019</v>
      </c>
      <c r="Q7" s="48">
        <v>2020</v>
      </c>
      <c r="R7" s="48">
        <v>2021</v>
      </c>
      <c r="S7" s="48">
        <v>2022</v>
      </c>
      <c r="T7" s="48">
        <v>2023</v>
      </c>
    </row>
    <row r="8" spans="2:20" x14ac:dyDescent="0.2">
      <c r="B8" s="5" t="s">
        <v>10</v>
      </c>
      <c r="C8" s="6">
        <v>-2145749</v>
      </c>
      <c r="D8" s="6">
        <v>-2823302</v>
      </c>
      <c r="E8" s="6">
        <v>-4750081</v>
      </c>
      <c r="F8" s="6">
        <v>-7432704</v>
      </c>
      <c r="G8" s="6">
        <v>-4862547</v>
      </c>
      <c r="I8" s="24"/>
      <c r="J8" s="25" t="s">
        <v>79</v>
      </c>
      <c r="K8" s="26">
        <f>SUM(C4:C6)</f>
        <v>3198356</v>
      </c>
      <c r="L8" s="26">
        <f t="shared" ref="L8:O8" si="0">SUM(D4:D6)</f>
        <v>4046025</v>
      </c>
      <c r="M8" s="26">
        <f t="shared" si="0"/>
        <v>7000132</v>
      </c>
      <c r="N8" s="26">
        <f t="shared" si="0"/>
        <v>11758751</v>
      </c>
      <c r="O8" s="26">
        <f t="shared" si="0"/>
        <v>7410982</v>
      </c>
      <c r="P8" s="62">
        <f>O8*(1+P20)</f>
        <v>7633311.46</v>
      </c>
      <c r="Q8" s="62">
        <f t="shared" ref="Q8:T8" si="1">P8*(1+Q20)</f>
        <v>7862310.8037999999</v>
      </c>
      <c r="R8" s="62">
        <f t="shared" si="1"/>
        <v>8098180.1279140003</v>
      </c>
      <c r="S8" s="62">
        <f t="shared" si="1"/>
        <v>8341125.5317514203</v>
      </c>
      <c r="T8" s="62">
        <f t="shared" si="1"/>
        <v>8591359.2977039628</v>
      </c>
    </row>
    <row r="9" spans="2:20" x14ac:dyDescent="0.2">
      <c r="B9" s="5" t="s">
        <v>11</v>
      </c>
      <c r="C9" s="6">
        <v>-4005</v>
      </c>
      <c r="D9" s="6">
        <v>-12287</v>
      </c>
      <c r="E9" s="6">
        <v>-178332</v>
      </c>
      <c r="F9" s="6">
        <v>-874538</v>
      </c>
      <c r="G9" s="6">
        <v>-705636</v>
      </c>
      <c r="I9" s="24"/>
      <c r="J9" s="25" t="s">
        <v>80</v>
      </c>
      <c r="K9" s="26">
        <f>SUM(C8:C10)</f>
        <v>-2316685</v>
      </c>
      <c r="L9" s="26">
        <f t="shared" ref="L9:O9" si="2">SUM(D8:D10)</f>
        <v>-3122522</v>
      </c>
      <c r="M9" s="26">
        <f t="shared" si="2"/>
        <v>-5400875</v>
      </c>
      <c r="N9" s="26">
        <f t="shared" si="2"/>
        <v>-9536264</v>
      </c>
      <c r="O9" s="26">
        <f t="shared" si="2"/>
        <v>-6335526</v>
      </c>
      <c r="P9" s="62">
        <f>-(P8*P25)</f>
        <v>-5529083.741681695</v>
      </c>
      <c r="Q9" s="62">
        <f t="shared" ref="Q9:T9" si="3">-(Q8*Q25)</f>
        <v>-5694956.2539321454</v>
      </c>
      <c r="R9" s="62">
        <f t="shared" si="3"/>
        <v>-5865804.9415501105</v>
      </c>
      <c r="S9" s="62">
        <f t="shared" si="3"/>
        <v>-6041779.0897966139</v>
      </c>
      <c r="T9" s="62">
        <f t="shared" si="3"/>
        <v>-6223032.4624905121</v>
      </c>
    </row>
    <row r="10" spans="2:20" x14ac:dyDescent="0.2">
      <c r="B10" s="5" t="s">
        <v>12</v>
      </c>
      <c r="C10" s="6">
        <v>-166931</v>
      </c>
      <c r="D10" s="6">
        <v>-286933</v>
      </c>
      <c r="E10" s="6">
        <v>-472462</v>
      </c>
      <c r="F10" s="6">
        <v>-1229022</v>
      </c>
      <c r="G10" s="6">
        <v>-767343</v>
      </c>
      <c r="I10" s="24"/>
      <c r="J10" s="27" t="s">
        <v>13</v>
      </c>
      <c r="K10" s="28">
        <f>SUM(K8:K9)</f>
        <v>881671</v>
      </c>
      <c r="L10" s="28">
        <f t="shared" ref="L10:O10" si="4">SUM(L8:L9)</f>
        <v>923503</v>
      </c>
      <c r="M10" s="28">
        <f t="shared" si="4"/>
        <v>1599257</v>
      </c>
      <c r="N10" s="28">
        <f t="shared" si="4"/>
        <v>2222487</v>
      </c>
      <c r="O10" s="28">
        <f t="shared" si="4"/>
        <v>1075456</v>
      </c>
      <c r="P10" s="62">
        <f>SUM(P8:P9)</f>
        <v>2104227.718318305</v>
      </c>
      <c r="Q10" s="62">
        <f t="shared" ref="Q10:T10" si="5">SUM(Q8:Q9)</f>
        <v>2167354.5498678545</v>
      </c>
      <c r="R10" s="62">
        <f t="shared" si="5"/>
        <v>2232375.1863638898</v>
      </c>
      <c r="S10" s="62">
        <f t="shared" si="5"/>
        <v>2299346.4419548064</v>
      </c>
      <c r="T10" s="62">
        <f t="shared" si="5"/>
        <v>2368326.8352134507</v>
      </c>
    </row>
    <row r="11" spans="2:20" x14ac:dyDescent="0.2">
      <c r="B11" s="7" t="s">
        <v>13</v>
      </c>
      <c r="C11" s="8">
        <f>SUM(C7:C10)</f>
        <v>881671</v>
      </c>
      <c r="D11" s="8">
        <f>SUM(D7:D10)</f>
        <v>923503</v>
      </c>
      <c r="E11" s="8">
        <f>SUM(E7:E10)</f>
        <v>1599257</v>
      </c>
      <c r="F11" s="8">
        <f>SUM(F7:F10)</f>
        <v>2222487</v>
      </c>
      <c r="G11" s="8">
        <f>SUM(G7:G10)</f>
        <v>1075456</v>
      </c>
      <c r="I11" s="24"/>
      <c r="J11" s="25" t="s">
        <v>81</v>
      </c>
      <c r="K11" s="26">
        <f>SUM(C12:C14)</f>
        <v>-1068360</v>
      </c>
      <c r="L11" s="26">
        <f t="shared" ref="L11:O11" si="6">SUM(D12:D14)</f>
        <v>-1640132</v>
      </c>
      <c r="M11" s="26">
        <f t="shared" si="6"/>
        <v>-2266597</v>
      </c>
      <c r="N11" s="26">
        <f t="shared" si="6"/>
        <v>-3854573</v>
      </c>
      <c r="O11" s="26">
        <f t="shared" si="6"/>
        <v>-2293822</v>
      </c>
      <c r="P11" s="62">
        <f>-(P8*P30)</f>
        <v>-2362636.66</v>
      </c>
      <c r="Q11" s="62">
        <f t="shared" ref="Q11:T11" si="7">-(Q8*Q30)</f>
        <v>-2433515.7598000001</v>
      </c>
      <c r="R11" s="62">
        <f t="shared" si="7"/>
        <v>-2506521.2325940002</v>
      </c>
      <c r="S11" s="62">
        <f t="shared" si="7"/>
        <v>-2581716.8695718204</v>
      </c>
      <c r="T11" s="62">
        <f t="shared" si="7"/>
        <v>-2659168.375658975</v>
      </c>
    </row>
    <row r="12" spans="2:20" x14ac:dyDescent="0.2">
      <c r="B12" s="5" t="s">
        <v>14</v>
      </c>
      <c r="C12" s="6">
        <v>-464700</v>
      </c>
      <c r="D12" s="6">
        <v>-717900</v>
      </c>
      <c r="E12" s="6">
        <v>-834408</v>
      </c>
      <c r="F12" s="6">
        <v>-1378073</v>
      </c>
      <c r="G12" s="6">
        <v>-753225</v>
      </c>
      <c r="I12" s="24"/>
      <c r="J12" s="27" t="s">
        <v>17</v>
      </c>
      <c r="K12" s="28">
        <f>SUM(K10:K11)</f>
        <v>-186689</v>
      </c>
      <c r="L12" s="28">
        <f t="shared" ref="L12:O12" si="8">SUM(L10:L11)</f>
        <v>-716629</v>
      </c>
      <c r="M12" s="28">
        <f t="shared" si="8"/>
        <v>-667340</v>
      </c>
      <c r="N12" s="28">
        <f t="shared" si="8"/>
        <v>-1632086</v>
      </c>
      <c r="O12" s="28">
        <f t="shared" si="8"/>
        <v>-1218366</v>
      </c>
      <c r="P12" s="62">
        <f>P10+P11</f>
        <v>-258408.94168169517</v>
      </c>
      <c r="Q12" s="62">
        <f t="shared" ref="Q12:T12" si="9">Q10+Q11</f>
        <v>-266161.20993214566</v>
      </c>
      <c r="R12" s="62">
        <f t="shared" si="9"/>
        <v>-274146.04623011034</v>
      </c>
      <c r="S12" s="62">
        <f t="shared" si="9"/>
        <v>-282370.42761701392</v>
      </c>
      <c r="T12" s="62">
        <f t="shared" si="9"/>
        <v>-290841.54044552427</v>
      </c>
    </row>
    <row r="13" spans="2:20" x14ac:dyDescent="0.2">
      <c r="B13" s="5" t="s">
        <v>15</v>
      </c>
      <c r="C13" s="6">
        <v>-603660</v>
      </c>
      <c r="D13" s="6">
        <v>-922232</v>
      </c>
      <c r="E13" s="6">
        <v>-1432189</v>
      </c>
      <c r="F13" s="6">
        <v>-2476500</v>
      </c>
      <c r="G13" s="6">
        <v>-1437163</v>
      </c>
      <c r="I13" s="24"/>
      <c r="J13" s="25" t="s">
        <v>82</v>
      </c>
      <c r="K13" s="26">
        <f>SUM(C16:C18)</f>
        <v>-97947</v>
      </c>
      <c r="L13" s="26">
        <f t="shared" ref="L13:O13" si="10">SUM(D16:D18)</f>
        <v>-158995</v>
      </c>
      <c r="M13" s="26">
        <f t="shared" si="10"/>
        <v>-79008</v>
      </c>
      <c r="N13" s="26">
        <f t="shared" si="10"/>
        <v>-576946</v>
      </c>
      <c r="O13" s="26">
        <f t="shared" si="10"/>
        <v>-289655</v>
      </c>
      <c r="P13" s="63">
        <f>'pasivo financiero'!C19</f>
        <v>-348497.25</v>
      </c>
      <c r="Q13" s="63">
        <f>'pasivo financiero'!D19</f>
        <v>-335527.67824569048</v>
      </c>
      <c r="R13" s="63">
        <f>'pasivo financiero'!E19</f>
        <v>-322169.01933875168</v>
      </c>
      <c r="S13" s="63">
        <f>'pasivo financiero'!F19</f>
        <v>-308409.60066460475</v>
      </c>
      <c r="T13" s="63">
        <f>'pasivo financiero'!G19</f>
        <v>-294237.3994302334</v>
      </c>
    </row>
    <row r="14" spans="2:20" x14ac:dyDescent="0.2">
      <c r="B14" s="5" t="s">
        <v>16</v>
      </c>
      <c r="C14" s="6"/>
      <c r="D14" s="6"/>
      <c r="E14" s="6"/>
      <c r="F14" s="6"/>
      <c r="G14" s="6">
        <v>-103434</v>
      </c>
      <c r="I14" s="24"/>
      <c r="J14" s="27" t="s">
        <v>21</v>
      </c>
      <c r="K14" s="29">
        <f>SUM(K12:K13)</f>
        <v>-284636</v>
      </c>
      <c r="L14" s="29">
        <f t="shared" ref="L14:O14" si="11">SUM(L12:L13)</f>
        <v>-875624</v>
      </c>
      <c r="M14" s="29">
        <f t="shared" si="11"/>
        <v>-746348</v>
      </c>
      <c r="N14" s="29">
        <f t="shared" si="11"/>
        <v>-2209032</v>
      </c>
      <c r="O14" s="29">
        <f t="shared" si="11"/>
        <v>-1508021</v>
      </c>
      <c r="P14" s="62">
        <f>P12+P13</f>
        <v>-606906.19168169517</v>
      </c>
      <c r="Q14" s="62">
        <f t="shared" ref="Q14:T14" si="12">Q12+Q13</f>
        <v>-601688.88817783608</v>
      </c>
      <c r="R14" s="62">
        <f t="shared" si="12"/>
        <v>-596315.06556886202</v>
      </c>
      <c r="S14" s="62">
        <f t="shared" si="12"/>
        <v>-590780.02828161861</v>
      </c>
      <c r="T14" s="62">
        <f t="shared" si="12"/>
        <v>-585078.93987575767</v>
      </c>
    </row>
    <row r="15" spans="2:20" x14ac:dyDescent="0.2">
      <c r="B15" s="7" t="s">
        <v>17</v>
      </c>
      <c r="C15" s="8">
        <f t="shared" ref="C15:F15" si="13">SUM(C11:C14)</f>
        <v>-186689</v>
      </c>
      <c r="D15" s="8">
        <f t="shared" si="13"/>
        <v>-716629</v>
      </c>
      <c r="E15" s="8">
        <f t="shared" si="13"/>
        <v>-667340</v>
      </c>
      <c r="F15" s="8">
        <f t="shared" si="13"/>
        <v>-1632086</v>
      </c>
      <c r="G15" s="8">
        <f>SUM(G11:G14)</f>
        <v>-1218366</v>
      </c>
      <c r="I15" s="24"/>
      <c r="J15" s="25" t="s">
        <v>83</v>
      </c>
      <c r="K15" s="26">
        <f>C20</f>
        <v>-9404</v>
      </c>
      <c r="L15" s="26">
        <f t="shared" ref="L15:O15" si="14">D20</f>
        <v>-13039</v>
      </c>
      <c r="M15" s="26">
        <f t="shared" si="14"/>
        <v>-26698</v>
      </c>
      <c r="N15" s="26">
        <f t="shared" si="14"/>
        <v>-31546</v>
      </c>
      <c r="O15" s="26">
        <f t="shared" si="14"/>
        <v>-19312</v>
      </c>
      <c r="P15" s="62">
        <f>P14*P35</f>
        <v>-60690.61916816952</v>
      </c>
      <c r="Q15" s="62">
        <f t="shared" ref="Q15:T15" si="15">Q14*Q35</f>
        <v>-60168.888817783612</v>
      </c>
      <c r="R15" s="62">
        <f t="shared" si="15"/>
        <v>-59631.506556886205</v>
      </c>
      <c r="S15" s="62">
        <f t="shared" si="15"/>
        <v>-59078.002828161865</v>
      </c>
      <c r="T15" s="62">
        <f t="shared" si="15"/>
        <v>-58507.893987575771</v>
      </c>
    </row>
    <row r="16" spans="2:20" x14ac:dyDescent="0.2">
      <c r="B16" s="5" t="s">
        <v>18</v>
      </c>
      <c r="C16" s="6">
        <v>1126</v>
      </c>
      <c r="D16" s="6">
        <v>1508</v>
      </c>
      <c r="E16" s="6">
        <v>8530</v>
      </c>
      <c r="F16" s="6">
        <v>19686</v>
      </c>
      <c r="G16" s="6">
        <v>10278</v>
      </c>
      <c r="I16" s="24"/>
      <c r="J16" s="25" t="s">
        <v>84</v>
      </c>
      <c r="K16" s="26">
        <f>C22</f>
        <v>0</v>
      </c>
      <c r="L16" s="26">
        <f t="shared" ref="L16:O16" si="16">D22</f>
        <v>0</v>
      </c>
      <c r="M16" s="26">
        <f t="shared" si="16"/>
        <v>98132</v>
      </c>
      <c r="N16" s="26">
        <f t="shared" si="16"/>
        <v>279178</v>
      </c>
      <c r="O16" s="26">
        <f t="shared" si="16"/>
        <v>100243</v>
      </c>
      <c r="P16" s="62">
        <v>100000</v>
      </c>
      <c r="Q16" s="62">
        <v>100000</v>
      </c>
      <c r="R16" s="62">
        <v>100000</v>
      </c>
      <c r="S16" s="62">
        <v>100000</v>
      </c>
      <c r="T16" s="62">
        <v>100000</v>
      </c>
    </row>
    <row r="17" spans="2:20" ht="13.5" thickBot="1" x14ac:dyDescent="0.25">
      <c r="B17" s="5" t="s">
        <v>19</v>
      </c>
      <c r="C17" s="6">
        <v>-100886</v>
      </c>
      <c r="D17" s="6">
        <v>-118851</v>
      </c>
      <c r="E17" s="6">
        <v>-198810</v>
      </c>
      <c r="F17" s="6">
        <v>-471259</v>
      </c>
      <c r="G17" s="6">
        <v>-313128</v>
      </c>
      <c r="I17" s="24"/>
      <c r="J17" s="30" t="s">
        <v>85</v>
      </c>
      <c r="K17" s="31">
        <f>+SUM(K14:K16)</f>
        <v>-294040</v>
      </c>
      <c r="L17" s="31">
        <f t="shared" ref="L17:O17" si="17">+SUM(L14:L16)</f>
        <v>-888663</v>
      </c>
      <c r="M17" s="31">
        <f t="shared" si="17"/>
        <v>-674914</v>
      </c>
      <c r="N17" s="31">
        <f t="shared" si="17"/>
        <v>-1961400</v>
      </c>
      <c r="O17" s="31">
        <f t="shared" si="17"/>
        <v>-1427090</v>
      </c>
      <c r="P17" s="62">
        <f t="shared" ref="P17" si="18">+SUM(P14:P16)</f>
        <v>-567596.81084986473</v>
      </c>
      <c r="Q17" s="62">
        <f t="shared" ref="Q17" si="19">+SUM(Q14:Q16)</f>
        <v>-561857.77699561964</v>
      </c>
      <c r="R17" s="62">
        <f t="shared" ref="R17" si="20">+SUM(R14:R16)</f>
        <v>-555946.57212574827</v>
      </c>
      <c r="S17" s="62">
        <f t="shared" ref="S17" si="21">+SUM(S14:S16)</f>
        <v>-549858.03110978042</v>
      </c>
      <c r="T17" s="62">
        <f t="shared" ref="T17" si="22">+SUM(T14:T16)</f>
        <v>-543586.83386333345</v>
      </c>
    </row>
    <row r="18" spans="2:20" x14ac:dyDescent="0.2">
      <c r="B18" s="5" t="s">
        <v>20</v>
      </c>
      <c r="C18" s="6">
        <v>1813</v>
      </c>
      <c r="D18" s="6">
        <v>-41652</v>
      </c>
      <c r="E18" s="6">
        <v>111272</v>
      </c>
      <c r="F18" s="6">
        <v>-125373</v>
      </c>
      <c r="G18" s="6">
        <v>13195</v>
      </c>
    </row>
    <row r="19" spans="2:20" x14ac:dyDescent="0.2">
      <c r="B19" s="7" t="s">
        <v>21</v>
      </c>
      <c r="C19" s="8">
        <f>SUM(C15:C18)</f>
        <v>-284636</v>
      </c>
      <c r="D19" s="8">
        <f>SUM(D15:D18)</f>
        <v>-875624</v>
      </c>
      <c r="E19" s="8">
        <f>SUM(E15:E18)</f>
        <v>-746348</v>
      </c>
      <c r="F19" s="8">
        <f>SUM(F15:F18)</f>
        <v>-2209032</v>
      </c>
      <c r="G19" s="8">
        <f>SUM(G15:G18)</f>
        <v>-1508021</v>
      </c>
    </row>
    <row r="20" spans="2:20" x14ac:dyDescent="0.2">
      <c r="B20" s="5" t="s">
        <v>22</v>
      </c>
      <c r="C20" s="6">
        <v>-9404</v>
      </c>
      <c r="D20" s="6">
        <v>-13039</v>
      </c>
      <c r="E20" s="6">
        <v>-26698</v>
      </c>
      <c r="F20" s="6">
        <v>-31546</v>
      </c>
      <c r="G20" s="6">
        <v>-19312</v>
      </c>
      <c r="K20" s="19"/>
      <c r="L20" s="61" t="s">
        <v>128</v>
      </c>
      <c r="M20" s="2" t="s">
        <v>99</v>
      </c>
      <c r="N20" s="19"/>
      <c r="O20" s="19" t="s">
        <v>98</v>
      </c>
      <c r="P20" s="37">
        <f>VLOOKUP($M$20,$O$21:$T$23,COLUMNS(O21:P23),FALSE)</f>
        <v>0.03</v>
      </c>
      <c r="Q20" s="37">
        <f t="shared" ref="Q20:T20" si="23">VLOOKUP($M$20,$O$21:$T$23,COLUMNS(P21:Q23),FALSE)</f>
        <v>0.03</v>
      </c>
      <c r="R20" s="37">
        <f t="shared" si="23"/>
        <v>0.03</v>
      </c>
      <c r="S20" s="37">
        <f t="shared" si="23"/>
        <v>0.03</v>
      </c>
      <c r="T20" s="37">
        <f t="shared" si="23"/>
        <v>0.03</v>
      </c>
    </row>
    <row r="21" spans="2:20" x14ac:dyDescent="0.2">
      <c r="B21" s="7" t="s">
        <v>23</v>
      </c>
      <c r="C21" s="8">
        <f>SUM(C19:C20)</f>
        <v>-294040</v>
      </c>
      <c r="D21" s="8">
        <f>SUM(D19:D20)</f>
        <v>-888663</v>
      </c>
      <c r="E21" s="8">
        <f>SUM(E19:E20)</f>
        <v>-773046</v>
      </c>
      <c r="F21" s="8">
        <f>SUM(F19:F20)</f>
        <v>-2240578</v>
      </c>
      <c r="G21" s="8">
        <f>SUM(G19:G20)</f>
        <v>-1527333</v>
      </c>
      <c r="K21" s="19"/>
      <c r="L21" s="19"/>
      <c r="M21" s="19"/>
      <c r="N21" s="19"/>
      <c r="O21" s="19" t="s">
        <v>99</v>
      </c>
      <c r="P21" s="35">
        <v>0.03</v>
      </c>
      <c r="Q21" s="35">
        <v>0.03</v>
      </c>
      <c r="R21" s="35">
        <v>0.03</v>
      </c>
      <c r="S21" s="35">
        <v>0.03</v>
      </c>
      <c r="T21" s="35">
        <v>0.03</v>
      </c>
    </row>
    <row r="22" spans="2:20" s="9" customFormat="1" x14ac:dyDescent="0.2">
      <c r="B22" s="5" t="s">
        <v>24</v>
      </c>
      <c r="C22" s="6">
        <v>0</v>
      </c>
      <c r="D22" s="6">
        <v>0</v>
      </c>
      <c r="E22" s="6">
        <v>98132</v>
      </c>
      <c r="F22" s="6">
        <v>279178</v>
      </c>
      <c r="G22" s="6">
        <v>100243</v>
      </c>
      <c r="K22" s="19"/>
      <c r="L22" s="19"/>
      <c r="M22" s="19"/>
      <c r="N22" s="19"/>
      <c r="O22" s="19" t="s">
        <v>100</v>
      </c>
      <c r="P22" s="35">
        <v>0.02</v>
      </c>
      <c r="Q22" s="35">
        <v>0.02</v>
      </c>
      <c r="R22" s="35">
        <v>0.02</v>
      </c>
      <c r="S22" s="35">
        <v>0.02</v>
      </c>
      <c r="T22" s="35">
        <v>0.02</v>
      </c>
    </row>
    <row r="23" spans="2:20" s="9" customFormat="1" ht="13.5" thickBot="1" x14ac:dyDescent="0.25">
      <c r="B23" s="10" t="s">
        <v>25</v>
      </c>
      <c r="C23" s="11">
        <f>SUM(C21:C22)</f>
        <v>-294040</v>
      </c>
      <c r="D23" s="11">
        <f>SUM(D21:D22)</f>
        <v>-888663</v>
      </c>
      <c r="E23" s="11">
        <f>SUM(E21:E22)</f>
        <v>-674914</v>
      </c>
      <c r="F23" s="11">
        <f>SUM(F21:F22)</f>
        <v>-1961400</v>
      </c>
      <c r="G23" s="11">
        <f>SUM(G21:G22)</f>
        <v>-1427090</v>
      </c>
      <c r="K23" s="19"/>
      <c r="L23" s="19"/>
      <c r="M23" s="19"/>
      <c r="N23" s="19"/>
      <c r="O23" s="19" t="s">
        <v>101</v>
      </c>
      <c r="P23" s="35">
        <v>0.01</v>
      </c>
      <c r="Q23" s="35">
        <v>0.01</v>
      </c>
      <c r="R23" s="35">
        <v>0.01</v>
      </c>
      <c r="S23" s="35">
        <v>0.01</v>
      </c>
      <c r="T23" s="35">
        <v>0.01</v>
      </c>
    </row>
    <row r="24" spans="2:20" x14ac:dyDescent="0.2"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2:20" x14ac:dyDescent="0.2">
      <c r="K25" s="19"/>
      <c r="L25" s="19"/>
      <c r="M25" s="19"/>
      <c r="N25" s="19"/>
      <c r="O25" s="19" t="s">
        <v>102</v>
      </c>
      <c r="P25" s="37">
        <f>VLOOKUP($M$20,$O$26:$T$28,COLUMNS(O26:P28),FALSE)</f>
        <v>0.72433619021772433</v>
      </c>
      <c r="Q25" s="37">
        <f t="shared" ref="Q25:T25" si="24">VLOOKUP($M$20,$O$26:$T$28,COLUMNS(P26:Q28),FALSE)</f>
        <v>0.72433619021772433</v>
      </c>
      <c r="R25" s="37">
        <f t="shared" si="24"/>
        <v>0.72433619021772433</v>
      </c>
      <c r="S25" s="37">
        <f t="shared" si="24"/>
        <v>0.72433619021772433</v>
      </c>
      <c r="T25" s="37">
        <f t="shared" si="24"/>
        <v>0.72433619021772433</v>
      </c>
    </row>
    <row r="26" spans="2:20" x14ac:dyDescent="0.2">
      <c r="J26" s="2">
        <v>2014</v>
      </c>
      <c r="K26" s="2">
        <v>2015</v>
      </c>
      <c r="L26" s="2">
        <v>2016</v>
      </c>
      <c r="M26" s="2">
        <v>2017</v>
      </c>
      <c r="N26" s="2">
        <v>2018</v>
      </c>
      <c r="O26" s="19" t="s">
        <v>99</v>
      </c>
      <c r="P26" s="36">
        <f>$J$27</f>
        <v>0.72433619021772433</v>
      </c>
      <c r="Q26" s="36">
        <f t="shared" ref="Q26:T26" si="25">$J$27</f>
        <v>0.72433619021772433</v>
      </c>
      <c r="R26" s="36">
        <f t="shared" si="25"/>
        <v>0.72433619021772433</v>
      </c>
      <c r="S26" s="36">
        <f t="shared" si="25"/>
        <v>0.72433619021772433</v>
      </c>
      <c r="T26" s="36">
        <f t="shared" si="25"/>
        <v>0.72433619021772433</v>
      </c>
    </row>
    <row r="27" spans="2:20" x14ac:dyDescent="0.2">
      <c r="I27" s="58" t="s">
        <v>127</v>
      </c>
      <c r="J27" s="60">
        <f>ABS(K9/K8)</f>
        <v>0.72433619021772433</v>
      </c>
      <c r="K27" s="60">
        <f>ABS(L9/L8)</f>
        <v>0.7717505452882768</v>
      </c>
      <c r="L27" s="60">
        <f>ABS(M9/M8)</f>
        <v>0.771539022407006</v>
      </c>
      <c r="M27" s="60">
        <f>ABS(N9/N8)</f>
        <v>0.81099293623957169</v>
      </c>
      <c r="N27" s="60">
        <f>ABS(O9/O8)</f>
        <v>0.85488346888442046</v>
      </c>
      <c r="O27" s="19" t="s">
        <v>100</v>
      </c>
      <c r="P27" s="36">
        <f>AVERAGE($J$27:$M$27)</f>
        <v>0.76965467353814465</v>
      </c>
      <c r="Q27" s="36">
        <f t="shared" ref="Q27:T27" si="26">AVERAGE($J$27:$M$27)</f>
        <v>0.76965467353814465</v>
      </c>
      <c r="R27" s="36">
        <f t="shared" si="26"/>
        <v>0.76965467353814465</v>
      </c>
      <c r="S27" s="36">
        <f t="shared" si="26"/>
        <v>0.76965467353814465</v>
      </c>
      <c r="T27" s="36">
        <f t="shared" si="26"/>
        <v>0.76965467353814465</v>
      </c>
    </row>
    <row r="28" spans="2:20" x14ac:dyDescent="0.2">
      <c r="I28" s="58" t="s">
        <v>103</v>
      </c>
      <c r="J28" s="60">
        <f>ABS(K11/K8)</f>
        <v>0.33403411002402483</v>
      </c>
      <c r="K28" s="60">
        <f>ABS(L11/L8)</f>
        <v>0.40536872609536523</v>
      </c>
      <c r="L28" s="60">
        <f>ABS(M11/M8)</f>
        <v>0.32379346560893424</v>
      </c>
      <c r="M28" s="60">
        <f>ABS(N11/N8)</f>
        <v>0.32780462822964784</v>
      </c>
      <c r="N28" s="60">
        <f>ABS(O11/O8)</f>
        <v>0.30951660657116697</v>
      </c>
      <c r="O28" s="19" t="s">
        <v>101</v>
      </c>
      <c r="P28" s="36">
        <f>$M$27</f>
        <v>0.81099293623957169</v>
      </c>
      <c r="Q28" s="36">
        <f t="shared" ref="Q28:T28" si="27">$M$27</f>
        <v>0.81099293623957169</v>
      </c>
      <c r="R28" s="36">
        <f t="shared" si="27"/>
        <v>0.81099293623957169</v>
      </c>
      <c r="S28" s="36">
        <f t="shared" si="27"/>
        <v>0.81099293623957169</v>
      </c>
      <c r="T28" s="36">
        <f t="shared" si="27"/>
        <v>0.81099293623957169</v>
      </c>
    </row>
    <row r="29" spans="2:20" x14ac:dyDescent="0.2">
      <c r="I29" s="34" t="s">
        <v>83</v>
      </c>
      <c r="J29" s="60">
        <f>ABS(K15/K8)</f>
        <v>2.9402605588621155E-3</v>
      </c>
      <c r="K29" s="60">
        <f t="shared" ref="K29:M29" si="28">ABS(L15/L8)</f>
        <v>3.2226691629438772E-3</v>
      </c>
      <c r="L29" s="60">
        <f t="shared" si="28"/>
        <v>3.8139280802133445E-3</v>
      </c>
      <c r="M29" s="60">
        <f t="shared" si="28"/>
        <v>2.6827679232258594E-3</v>
      </c>
      <c r="N29" s="19"/>
      <c r="O29" s="19"/>
      <c r="P29" s="19"/>
      <c r="Q29" s="19"/>
      <c r="R29" s="19"/>
      <c r="S29" s="19"/>
      <c r="T29" s="19"/>
    </row>
    <row r="30" spans="2:20" x14ac:dyDescent="0.2">
      <c r="K30" s="19"/>
      <c r="L30" s="19"/>
      <c r="M30" s="19"/>
      <c r="N30" s="19"/>
      <c r="O30" s="19" t="s">
        <v>103</v>
      </c>
      <c r="P30" s="37">
        <f>VLOOKUP($M$20,$O$31:$T$33,COLUMNS(O31:P33),FALSE)</f>
        <v>0.30951660657116697</v>
      </c>
      <c r="Q30" s="37">
        <f t="shared" ref="Q30:T30" si="29">VLOOKUP($M$20,$O$31:$T$33,COLUMNS(P31:Q33),FALSE)</f>
        <v>0.30951660657116697</v>
      </c>
      <c r="R30" s="37">
        <f t="shared" si="29"/>
        <v>0.30951660657116697</v>
      </c>
      <c r="S30" s="37">
        <f t="shared" si="29"/>
        <v>0.30951660657116697</v>
      </c>
      <c r="T30" s="37">
        <f t="shared" si="29"/>
        <v>0.30951660657116697</v>
      </c>
    </row>
    <row r="31" spans="2:20" x14ac:dyDescent="0.2">
      <c r="K31" s="36"/>
      <c r="L31" s="36"/>
      <c r="M31" s="36"/>
      <c r="N31" s="39"/>
      <c r="O31" s="19" t="s">
        <v>99</v>
      </c>
      <c r="P31" s="35">
        <f>$N$28</f>
        <v>0.30951660657116697</v>
      </c>
      <c r="Q31" s="35">
        <f t="shared" ref="Q31:T31" si="30">$N$28</f>
        <v>0.30951660657116697</v>
      </c>
      <c r="R31" s="35">
        <f t="shared" si="30"/>
        <v>0.30951660657116697</v>
      </c>
      <c r="S31" s="35">
        <f t="shared" si="30"/>
        <v>0.30951660657116697</v>
      </c>
      <c r="T31" s="35">
        <f t="shared" si="30"/>
        <v>0.30951660657116697</v>
      </c>
    </row>
    <row r="32" spans="2:20" x14ac:dyDescent="0.2">
      <c r="K32" s="36"/>
      <c r="L32" s="36"/>
      <c r="M32" s="36"/>
      <c r="N32" s="39"/>
      <c r="O32" s="19" t="s">
        <v>100</v>
      </c>
      <c r="P32" s="35">
        <f>AVERAGE($J$28:$M$28)</f>
        <v>0.34775023248949305</v>
      </c>
      <c r="Q32" s="35">
        <f t="shared" ref="Q32:T32" si="31">AVERAGE($J$28:$M$28)</f>
        <v>0.34775023248949305</v>
      </c>
      <c r="R32" s="35">
        <f t="shared" si="31"/>
        <v>0.34775023248949305</v>
      </c>
      <c r="S32" s="35">
        <f t="shared" si="31"/>
        <v>0.34775023248949305</v>
      </c>
      <c r="T32" s="35">
        <f t="shared" si="31"/>
        <v>0.34775023248949305</v>
      </c>
    </row>
    <row r="33" spans="11:20" x14ac:dyDescent="0.2">
      <c r="K33" s="36"/>
      <c r="L33" s="36"/>
      <c r="M33" s="36"/>
      <c r="N33" s="39"/>
      <c r="O33" s="19" t="s">
        <v>101</v>
      </c>
      <c r="P33" s="35">
        <f>$K$28</f>
        <v>0.40536872609536523</v>
      </c>
      <c r="Q33" s="35">
        <f t="shared" ref="Q33:T33" si="32">$K$28</f>
        <v>0.40536872609536523</v>
      </c>
      <c r="R33" s="35">
        <f t="shared" si="32"/>
        <v>0.40536872609536523</v>
      </c>
      <c r="S33" s="35">
        <f t="shared" si="32"/>
        <v>0.40536872609536523</v>
      </c>
      <c r="T33" s="35">
        <f t="shared" si="32"/>
        <v>0.40536872609536523</v>
      </c>
    </row>
    <row r="34" spans="11:20" x14ac:dyDescent="0.2"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1:20" x14ac:dyDescent="0.2">
      <c r="K35" s="19"/>
      <c r="L35" s="19"/>
      <c r="M35" s="19"/>
      <c r="N35" s="19"/>
      <c r="O35" s="19" t="s">
        <v>66</v>
      </c>
      <c r="P35" s="38">
        <v>0.1</v>
      </c>
      <c r="Q35" s="38">
        <v>0.1</v>
      </c>
      <c r="R35" s="38">
        <v>0.1</v>
      </c>
      <c r="S35" s="38">
        <v>0.1</v>
      </c>
      <c r="T35" s="38">
        <v>0.1</v>
      </c>
    </row>
  </sheetData>
  <dataValidations count="1">
    <dataValidation type="list" allowBlank="1" showInputMessage="1" showErrorMessage="1" sqref="M20" xr:uid="{D36E15CD-395A-4046-AE2C-2986635FADFA}">
      <formula1>$O$21:$O$23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1921-906D-46DC-88DD-89B3D6CB23D4}">
  <dimension ref="B3:L19"/>
  <sheetViews>
    <sheetView zoomScale="80" zoomScaleNormal="80" workbookViewId="0">
      <selection activeCell="D12" sqref="D12"/>
    </sheetView>
  </sheetViews>
  <sheetFormatPr baseColWidth="10" defaultRowHeight="12.75" x14ac:dyDescent="0.2"/>
  <cols>
    <col min="2" max="2" width="23.85546875" bestFit="1" customWidth="1"/>
    <col min="4" max="5" width="13.42578125" bestFit="1" customWidth="1"/>
    <col min="6" max="7" width="15" bestFit="1" customWidth="1"/>
    <col min="8" max="12" width="13.85546875" bestFit="1" customWidth="1"/>
  </cols>
  <sheetData>
    <row r="3" spans="2:12" x14ac:dyDescent="0.2">
      <c r="C3" s="4">
        <v>2014</v>
      </c>
      <c r="D3" s="4">
        <v>2015</v>
      </c>
      <c r="E3" s="4">
        <v>2016</v>
      </c>
      <c r="F3" s="4">
        <v>2017</v>
      </c>
      <c r="G3" s="4">
        <v>2018</v>
      </c>
      <c r="H3" s="21">
        <v>2019</v>
      </c>
      <c r="I3" s="21">
        <v>2020</v>
      </c>
      <c r="J3" s="21">
        <v>2021</v>
      </c>
      <c r="K3" s="21">
        <v>2022</v>
      </c>
      <c r="L3" s="21">
        <v>2023</v>
      </c>
    </row>
    <row r="4" spans="2:12" x14ac:dyDescent="0.2">
      <c r="B4" s="19" t="str">
        <f>+'P&amp;L Input'!B15</f>
        <v>EBIT</v>
      </c>
      <c r="D4" s="57">
        <f>'P&amp;L Input'!L12</f>
        <v>-716629</v>
      </c>
      <c r="E4" s="57">
        <f>'P&amp;L Input'!M12</f>
        <v>-667340</v>
      </c>
      <c r="F4" s="57">
        <f>'P&amp;L Input'!N12</f>
        <v>-1632086</v>
      </c>
      <c r="G4" s="57">
        <f>'P&amp;L Input'!O12</f>
        <v>-1218366</v>
      </c>
      <c r="H4" s="57">
        <f>'P&amp;L Input'!P12</f>
        <v>-258408.94168169517</v>
      </c>
      <c r="I4" s="57">
        <f>'P&amp;L Input'!Q12</f>
        <v>-266161.20993214566</v>
      </c>
      <c r="J4" s="57">
        <f>'P&amp;L Input'!R12</f>
        <v>-274146.04623011034</v>
      </c>
      <c r="K4" s="57">
        <f>'P&amp;L Input'!S12</f>
        <v>-282370.42761701392</v>
      </c>
      <c r="L4" s="57">
        <f>'P&amp;L Input'!T12</f>
        <v>-290841.54044552427</v>
      </c>
    </row>
    <row r="5" spans="2:12" x14ac:dyDescent="0.2">
      <c r="B5" s="19" t="s">
        <v>65</v>
      </c>
      <c r="D5" s="57">
        <f>'P&amp;L Input'!L13</f>
        <v>-158995</v>
      </c>
      <c r="E5" s="57">
        <f>'P&amp;L Input'!M13</f>
        <v>-79008</v>
      </c>
      <c r="F5" s="57">
        <f>'P&amp;L Input'!N13</f>
        <v>-576946</v>
      </c>
      <c r="G5" s="57">
        <f>'P&amp;L Input'!O13</f>
        <v>-289655</v>
      </c>
      <c r="H5" s="57">
        <f>'P&amp;L Input'!P13</f>
        <v>-348497.25</v>
      </c>
      <c r="I5" s="57">
        <f>'P&amp;L Input'!Q13</f>
        <v>-335527.67824569048</v>
      </c>
      <c r="J5" s="57">
        <f>'P&amp;L Input'!R13</f>
        <v>-322169.01933875168</v>
      </c>
      <c r="K5" s="57">
        <f>'P&amp;L Input'!S13</f>
        <v>-308409.60066460475</v>
      </c>
      <c r="L5" s="57">
        <f>'P&amp;L Input'!T13</f>
        <v>-294237.3994302334</v>
      </c>
    </row>
    <row r="6" spans="2:12" x14ac:dyDescent="0.2">
      <c r="B6" s="19" t="s">
        <v>66</v>
      </c>
      <c r="D6" s="57">
        <f>'P&amp;L Input'!L15</f>
        <v>-13039</v>
      </c>
      <c r="E6" s="57">
        <f>'P&amp;L Input'!M15</f>
        <v>-26698</v>
      </c>
      <c r="F6" s="57">
        <f>'P&amp;L Input'!N15</f>
        <v>-31546</v>
      </c>
      <c r="G6" s="57">
        <f>'P&amp;L Input'!O15</f>
        <v>-19312</v>
      </c>
      <c r="H6" s="57">
        <f>'P&amp;L Input'!P15</f>
        <v>-60690.61916816952</v>
      </c>
      <c r="I6" s="57">
        <f>'P&amp;L Input'!Q15</f>
        <v>-60168.888817783612</v>
      </c>
      <c r="J6" s="57">
        <f>'P&amp;L Input'!R15</f>
        <v>-59631.506556886205</v>
      </c>
      <c r="K6" s="57">
        <f>'P&amp;L Input'!S15</f>
        <v>-59078.002828161865</v>
      </c>
      <c r="L6" s="57">
        <f>'P&amp;L Input'!T15</f>
        <v>-58507.893987575771</v>
      </c>
    </row>
    <row r="7" spans="2:12" x14ac:dyDescent="0.2">
      <c r="B7" s="19" t="s">
        <v>67</v>
      </c>
      <c r="D7" s="22">
        <f>-('Balance Sheet Input'!J8-'Balance Sheet Input'!K8)</f>
        <v>-57639</v>
      </c>
      <c r="E7" s="22">
        <f>-('Balance Sheet Input'!K8-'Balance Sheet Input'!L8)</f>
        <v>330177</v>
      </c>
      <c r="F7" s="22">
        <f>-('Balance Sheet Input'!L8-'Balance Sheet Input'!M8)</f>
        <v>16239</v>
      </c>
      <c r="G7" s="22">
        <f>-('Balance Sheet Input'!M8-'Balance Sheet Input'!N8)</f>
        <v>54493</v>
      </c>
      <c r="H7" s="22">
        <f>-('Balance Sheet Input'!N8-'Balance Sheet Input'!O8)</f>
        <v>-104790.07653427176</v>
      </c>
      <c r="I7" s="22">
        <f>-('Balance Sheet Input'!O8-'Balance Sheet Input'!P8)</f>
        <v>13952.517703971767</v>
      </c>
      <c r="J7" s="22">
        <f>-('Balance Sheet Input'!P8-'Balance Sheet Input'!Q8)</f>
        <v>14371.093235091073</v>
      </c>
      <c r="K7" s="22">
        <f>-('Balance Sheet Input'!Q8-'Balance Sheet Input'!R8)</f>
        <v>14802.22603214375</v>
      </c>
      <c r="L7" s="22">
        <f>-('Balance Sheet Input'!R8-'Balance Sheet Input'!S8)</f>
        <v>15246.292813108012</v>
      </c>
    </row>
    <row r="8" spans="2:12" x14ac:dyDescent="0.2">
      <c r="B8" s="19" t="s">
        <v>68</v>
      </c>
      <c r="D8" s="22">
        <f>-('Balance Sheet Input'!K9-'Balance Sheet Input'!J9)</f>
        <v>-324163</v>
      </c>
      <c r="E8" s="22">
        <f>-('Balance Sheet Input'!L9-'Balance Sheet Input'!K9)</f>
        <v>-789616</v>
      </c>
      <c r="F8" s="22">
        <f>-('Balance Sheet Input'!M9-'Balance Sheet Input'!L9)</f>
        <v>-196083</v>
      </c>
      <c r="G8" s="22">
        <f>-('Balance Sheet Input'!N9-'Balance Sheet Input'!M9)</f>
        <v>-1061106</v>
      </c>
      <c r="H8" s="22">
        <f>-('Balance Sheet Input'!O9-'Balance Sheet Input'!N9)</f>
        <v>1150816.8895377624</v>
      </c>
      <c r="I8" s="22">
        <f>-('Balance Sheet Input'!P9-'Balance Sheet Input'!O9)</f>
        <v>-65214.783313866705</v>
      </c>
      <c r="J8" s="22">
        <f>-('Balance Sheet Input'!Q9-'Balance Sheet Input'!P9)</f>
        <v>-67171.226813283749</v>
      </c>
      <c r="K8" s="22">
        <f>-('Balance Sheet Input'!R9-'Balance Sheet Input'!Q9)</f>
        <v>-69186.363617681433</v>
      </c>
      <c r="L8" s="22">
        <f>-('Balance Sheet Input'!S9-'Balance Sheet Input'!R9)</f>
        <v>-71261.954526212066</v>
      </c>
    </row>
    <row r="9" spans="2:12" x14ac:dyDescent="0.2">
      <c r="B9" s="19" t="s">
        <v>69</v>
      </c>
      <c r="D9" s="22">
        <f>('Balance Sheet Input'!K14-'Balance Sheet Input'!J14)</f>
        <v>138202</v>
      </c>
      <c r="E9" s="22">
        <f>('Balance Sheet Input'!L14-'Balance Sheet Input'!K14)</f>
        <v>944193</v>
      </c>
      <c r="F9" s="22">
        <f>('Balance Sheet Input'!M14-'Balance Sheet Input'!L14)</f>
        <v>529909</v>
      </c>
      <c r="G9" s="22">
        <f>('Balance Sheet Input'!N14-'Balance Sheet Input'!M14)</f>
        <v>640243</v>
      </c>
      <c r="H9" s="22">
        <f>('Balance Sheet Input'!O14-'Balance Sheet Input'!N14)</f>
        <v>-1147690.7812271947</v>
      </c>
      <c r="I9" s="22">
        <f>('Balance Sheet Input'!P14-'Balance Sheet Input'!O14)</f>
        <v>56484.06656318414</v>
      </c>
      <c r="J9" s="22">
        <f>('Balance Sheet Input'!Q14-'Balance Sheet Input'!P14)</f>
        <v>58178.588560079923</v>
      </c>
      <c r="K9" s="22">
        <f>('Balance Sheet Input'!R14-'Balance Sheet Input'!Q14)</f>
        <v>59923.946216882206</v>
      </c>
      <c r="L9" s="22">
        <f>('Balance Sheet Input'!S14-'Balance Sheet Input'!R14)</f>
        <v>61721.664603388403</v>
      </c>
    </row>
    <row r="10" spans="2:12" x14ac:dyDescent="0.2">
      <c r="B10" s="19" t="s">
        <v>70</v>
      </c>
      <c r="D10" s="22">
        <f>-('Balance Sheet Input'!K12-'Balance Sheet Input'!J12)</f>
        <v>-1105486</v>
      </c>
      <c r="E10" s="22">
        <f>-('Balance Sheet Input'!L12-'Balance Sheet Input'!K12)</f>
        <v>-8700413</v>
      </c>
      <c r="F10" s="22">
        <f>-('Balance Sheet Input'!M12-'Balance Sheet Input'!L12)</f>
        <v>-1759711</v>
      </c>
      <c r="G10" s="22">
        <f>-('Balance Sheet Input'!N12-'Balance Sheet Input'!M12)</f>
        <v>1671307</v>
      </c>
      <c r="H10" s="22">
        <f>-('Balance Sheet Input'!O12-'Balance Sheet Input'!N12)</f>
        <v>3424778.7379384534</v>
      </c>
      <c r="I10" s="22">
        <f>-('Balance Sheet Input'!P12-'Balance Sheet Input'!O12)</f>
        <v>-221547.96786184609</v>
      </c>
      <c r="J10" s="22">
        <f>-('Balance Sheet Input'!Q12-'Balance Sheet Input'!P12)</f>
        <v>-228194.40689770225</v>
      </c>
      <c r="K10" s="22">
        <f>-('Balance Sheet Input'!R12-'Balance Sheet Input'!Q12)</f>
        <v>-235040.23910463229</v>
      </c>
      <c r="L10" s="22">
        <f>-('Balance Sheet Input'!S12-'Balance Sheet Input'!R12)</f>
        <v>-242091.44627777208</v>
      </c>
    </row>
    <row r="11" spans="2:12" x14ac:dyDescent="0.2">
      <c r="B11" s="19" t="s">
        <v>71</v>
      </c>
      <c r="D11" s="22">
        <f>('Balance Sheet Input'!K17-'Balance Sheet Input'!J17)</f>
        <v>1707940</v>
      </c>
      <c r="E11" s="22">
        <f>('Balance Sheet Input'!L17-'Balance Sheet Input'!K17)</f>
        <v>5002322</v>
      </c>
      <c r="F11" s="22">
        <f>('Balance Sheet Input'!M17-'Balance Sheet Input'!L17)</f>
        <v>2396896</v>
      </c>
      <c r="G11" s="22">
        <f>('Balance Sheet Input'!N17-'Balance Sheet Input'!M17)</f>
        <v>-2822466</v>
      </c>
      <c r="H11" s="22">
        <f>('Balance Sheet Input'!O17-'Balance Sheet Input'!N17)</f>
        <v>-624871.13133330084</v>
      </c>
      <c r="I11" s="22">
        <f>('Balance Sheet Input'!P17-'Balance Sheet Input'!O17)</f>
        <v>221128.43606000114</v>
      </c>
      <c r="J11" s="22">
        <f>('Balance Sheet Input'!Q17-'Balance Sheet Input'!P17)</f>
        <v>227762.28914180119</v>
      </c>
      <c r="K11" s="22">
        <f>('Balance Sheet Input'!R17-'Balance Sheet Input'!Q17)</f>
        <v>234595.15781605523</v>
      </c>
      <c r="L11" s="22">
        <f>('Balance Sheet Input'!S17-'Balance Sheet Input'!R17)</f>
        <v>241633.01255053654</v>
      </c>
    </row>
    <row r="12" spans="2:12" x14ac:dyDescent="0.2">
      <c r="B12" s="19" t="s">
        <v>72</v>
      </c>
      <c r="D12" s="23">
        <f>'activos fijos'!D4</f>
        <v>1574067</v>
      </c>
      <c r="E12" s="23">
        <f>'activos fijos'!E4</f>
        <v>2579623</v>
      </c>
      <c r="F12" s="23">
        <f>'activos fijos'!F4</f>
        <v>4044565</v>
      </c>
      <c r="G12" s="23">
        <f>'activos fijos'!G4</f>
        <v>941826</v>
      </c>
      <c r="H12" s="23">
        <f>'activos fijos'!H4</f>
        <v>6549793.4316383125</v>
      </c>
      <c r="I12" s="23">
        <f>'activos fijos'!I4</f>
        <v>10460672.54652576</v>
      </c>
      <c r="J12" s="23">
        <f>'activos fijos'!J4</f>
        <v>16706736.06240233</v>
      </c>
      <c r="K12" s="23">
        <f>'activos fijos'!K4</f>
        <v>26682321.678396799</v>
      </c>
      <c r="L12" s="23">
        <f>'activos fijos'!L4</f>
        <v>42614325.592396423</v>
      </c>
    </row>
    <row r="13" spans="2:12" ht="13.5" thickBot="1" x14ac:dyDescent="0.25">
      <c r="B13" s="20" t="s">
        <v>73</v>
      </c>
      <c r="D13" s="22">
        <f>+SUM(D4:D12)</f>
        <v>1044258</v>
      </c>
      <c r="E13" s="22">
        <f t="shared" ref="E13:G13" si="0">+SUM(E4:E12)</f>
        <v>-1406760</v>
      </c>
      <c r="F13" s="22">
        <f t="shared" si="0"/>
        <v>2791237</v>
      </c>
      <c r="G13" s="22">
        <f t="shared" si="0"/>
        <v>-2103036</v>
      </c>
      <c r="H13" s="22">
        <f t="shared" ref="H13" si="1">+SUM(H4:H12)</f>
        <v>8580440.2591698952</v>
      </c>
      <c r="I13" s="22">
        <f t="shared" ref="I13" si="2">+SUM(I4:I12)</f>
        <v>9803617.0386815835</v>
      </c>
      <c r="J13" s="22">
        <f t="shared" ref="J13" si="3">+SUM(J4:J12)</f>
        <v>16055735.827502567</v>
      </c>
      <c r="K13" s="22">
        <f t="shared" ref="K13" si="4">+SUM(K4:K12)</f>
        <v>26037558.374629784</v>
      </c>
      <c r="L13" s="22">
        <f t="shared" ref="L13" si="5">+SUM(L4:L12)</f>
        <v>41975986.327696137</v>
      </c>
    </row>
    <row r="14" spans="2:12" ht="13.5" thickTop="1" x14ac:dyDescent="0.2">
      <c r="B14" s="19" t="s">
        <v>74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</row>
    <row r="15" spans="2:12" x14ac:dyDescent="0.2">
      <c r="B15" s="19" t="s">
        <v>75</v>
      </c>
      <c r="D15" s="23">
        <f>'Balance Sheet Input'!K16-'Balance Sheet Input'!J16</f>
        <v>219136</v>
      </c>
      <c r="E15" s="23">
        <f>'Balance Sheet Input'!L16-'Balance Sheet Input'!K16</f>
        <v>4195240</v>
      </c>
      <c r="F15" s="23">
        <f>'Balance Sheet Input'!M16-'Balance Sheet Input'!L16</f>
        <v>3367989</v>
      </c>
      <c r="G15" s="23">
        <f>'Balance Sheet Input'!N16-'Balance Sheet Input'!M16</f>
        <v>1404326</v>
      </c>
      <c r="H15" s="23">
        <f>'Balance Sheet Input'!O16-'Balance Sheet Input'!N16</f>
        <v>-432319.0584769845</v>
      </c>
      <c r="I15" s="23">
        <f>'Balance Sheet Input'!P16-'Balance Sheet Input'!O16</f>
        <v>-445288.63023129292</v>
      </c>
      <c r="J15" s="23">
        <f>'Balance Sheet Input'!Q16-'Balance Sheet Input'!P16</f>
        <v>-458647.28913823143</v>
      </c>
      <c r="K15" s="23">
        <f>'Balance Sheet Input'!R16-'Balance Sheet Input'!Q16</f>
        <v>-472406.70781237818</v>
      </c>
      <c r="L15" s="23">
        <f>'Balance Sheet Input'!S16-'Balance Sheet Input'!R16</f>
        <v>-486578.90904675052</v>
      </c>
    </row>
    <row r="16" spans="2:12" x14ac:dyDescent="0.2">
      <c r="B16" s="19" t="s">
        <v>76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</row>
    <row r="17" spans="2:12" x14ac:dyDescent="0.2">
      <c r="B17" s="19" t="s">
        <v>77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2:12" ht="13.5" thickBot="1" x14ac:dyDescent="0.25">
      <c r="B18" s="20" t="s">
        <v>78</v>
      </c>
      <c r="D18" s="22">
        <f>+SUM(D13:D17)</f>
        <v>1263394</v>
      </c>
      <c r="E18" s="22">
        <f t="shared" ref="E18:G18" si="6">+SUM(E13:E17)</f>
        <v>2788480</v>
      </c>
      <c r="F18" s="22">
        <f t="shared" si="6"/>
        <v>6159226</v>
      </c>
      <c r="G18" s="22">
        <f t="shared" si="6"/>
        <v>-698710</v>
      </c>
      <c r="H18" s="22">
        <f t="shared" ref="H18" si="7">+SUM(H13:H17)</f>
        <v>8148121.2006929107</v>
      </c>
      <c r="I18" s="22">
        <f t="shared" ref="I18" si="8">+SUM(I13:I17)</f>
        <v>9358328.4084502906</v>
      </c>
      <c r="J18" s="22">
        <f t="shared" ref="J18" si="9">+SUM(J13:J17)</f>
        <v>15597088.538364336</v>
      </c>
      <c r="K18" s="22">
        <f t="shared" ref="K18" si="10">+SUM(K13:K17)</f>
        <v>25565151.666817404</v>
      </c>
      <c r="L18" s="22">
        <f t="shared" ref="L18" si="11">+SUM(L13:L17)</f>
        <v>41489407.41864939</v>
      </c>
    </row>
    <row r="19" spans="2:12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0901-6812-48D1-A7BB-FC882FA35DF1}">
  <dimension ref="B1:T34"/>
  <sheetViews>
    <sheetView tabSelected="1" topLeftCell="C1" zoomScale="70" zoomScaleNormal="70" workbookViewId="0">
      <selection activeCell="U11" sqref="U11"/>
    </sheetView>
  </sheetViews>
  <sheetFormatPr baseColWidth="10" defaultColWidth="9.140625" defaultRowHeight="12" x14ac:dyDescent="0.2"/>
  <cols>
    <col min="1" max="1" width="2" style="5" customWidth="1"/>
    <col min="2" max="2" width="42.140625" style="5" bestFit="1" customWidth="1"/>
    <col min="3" max="4" width="10.85546875" style="5" bestFit="1" customWidth="1"/>
    <col min="5" max="7" width="12" style="5" bestFit="1" customWidth="1"/>
    <col min="8" max="8" width="9.140625" style="5"/>
    <col min="9" max="9" width="16.85546875" style="5" bestFit="1" customWidth="1"/>
    <col min="10" max="10" width="14.42578125" style="5" bestFit="1" customWidth="1"/>
    <col min="11" max="11" width="14.5703125" style="5" customWidth="1"/>
    <col min="12" max="12" width="15.85546875" style="5" bestFit="1" customWidth="1"/>
    <col min="13" max="14" width="15.42578125" style="5" bestFit="1" customWidth="1"/>
    <col min="15" max="15" width="15.7109375" style="5" bestFit="1" customWidth="1"/>
    <col min="16" max="16" width="15.28515625" style="5" bestFit="1" customWidth="1"/>
    <col min="17" max="17" width="16.42578125" style="5" bestFit="1" customWidth="1"/>
    <col min="18" max="18" width="17.28515625" style="5" bestFit="1" customWidth="1"/>
    <col min="19" max="19" width="17.140625" style="5" bestFit="1" customWidth="1"/>
    <col min="20" max="16384" width="9.140625" style="5"/>
  </cols>
  <sheetData>
    <row r="1" spans="2:20" ht="15.75" x14ac:dyDescent="0.2">
      <c r="B1" s="1" t="s">
        <v>26</v>
      </c>
    </row>
    <row r="3" spans="2:20" ht="24" x14ac:dyDescent="0.2">
      <c r="B3" s="3" t="s">
        <v>1</v>
      </c>
      <c r="C3" s="12" t="s">
        <v>27</v>
      </c>
      <c r="D3" s="12" t="s">
        <v>28</v>
      </c>
      <c r="E3" s="12" t="s">
        <v>29</v>
      </c>
      <c r="F3" s="12" t="s">
        <v>30</v>
      </c>
      <c r="G3" s="12" t="s">
        <v>31</v>
      </c>
    </row>
    <row r="4" spans="2:20" x14ac:dyDescent="0.2">
      <c r="B4" s="5" t="s">
        <v>32</v>
      </c>
      <c r="C4" s="13">
        <v>1905713</v>
      </c>
      <c r="D4" s="13">
        <v>1196908</v>
      </c>
      <c r="E4" s="13">
        <v>3393216</v>
      </c>
      <c r="F4" s="13">
        <v>3367914</v>
      </c>
      <c r="G4" s="13">
        <v>2236424</v>
      </c>
    </row>
    <row r="5" spans="2:20" x14ac:dyDescent="0.2">
      <c r="B5" s="5" t="s">
        <v>33</v>
      </c>
      <c r="C5" s="13">
        <v>17947</v>
      </c>
      <c r="D5" s="13">
        <v>22628</v>
      </c>
      <c r="E5" s="13">
        <v>105519</v>
      </c>
      <c r="F5" s="13">
        <v>155323</v>
      </c>
      <c r="G5" s="13">
        <v>146822</v>
      </c>
    </row>
    <row r="6" spans="2:20" x14ac:dyDescent="0.2">
      <c r="B6" s="5" t="s">
        <v>34</v>
      </c>
      <c r="C6" s="13">
        <v>226604</v>
      </c>
      <c r="D6" s="13">
        <v>168965</v>
      </c>
      <c r="E6" s="13">
        <v>499142</v>
      </c>
      <c r="F6" s="13">
        <v>515381</v>
      </c>
      <c r="G6" s="13">
        <v>569874</v>
      </c>
      <c r="O6" s="47"/>
      <c r="P6" s="47"/>
      <c r="Q6" s="47"/>
      <c r="R6" s="47"/>
      <c r="S6" s="47"/>
    </row>
    <row r="7" spans="2:20" x14ac:dyDescent="0.2">
      <c r="B7" s="5" t="s">
        <v>35</v>
      </c>
      <c r="C7" s="13">
        <v>953675</v>
      </c>
      <c r="D7" s="13">
        <v>1277838</v>
      </c>
      <c r="E7" s="13">
        <v>2067454</v>
      </c>
      <c r="F7" s="13">
        <v>2263537</v>
      </c>
      <c r="G7" s="13">
        <v>3324643</v>
      </c>
      <c r="J7" s="4">
        <v>2014</v>
      </c>
      <c r="K7" s="4">
        <v>2015</v>
      </c>
      <c r="L7" s="4">
        <v>2016</v>
      </c>
      <c r="M7" s="4">
        <v>2017</v>
      </c>
      <c r="N7" s="4">
        <v>2018</v>
      </c>
      <c r="O7" s="48">
        <v>2019</v>
      </c>
      <c r="P7" s="48">
        <v>2020</v>
      </c>
      <c r="Q7" s="48">
        <v>2021</v>
      </c>
      <c r="R7" s="48">
        <v>2022</v>
      </c>
      <c r="S7" s="48">
        <v>2023</v>
      </c>
    </row>
    <row r="8" spans="2:20" ht="12.75" x14ac:dyDescent="0.2">
      <c r="B8" s="5" t="s">
        <v>36</v>
      </c>
      <c r="C8" s="13">
        <v>76134</v>
      </c>
      <c r="D8" s="13">
        <v>115667</v>
      </c>
      <c r="E8" s="13">
        <v>194465</v>
      </c>
      <c r="F8" s="13">
        <v>268365</v>
      </c>
      <c r="G8" s="13">
        <v>422034</v>
      </c>
      <c r="I8" s="19" t="s">
        <v>87</v>
      </c>
      <c r="J8" s="33">
        <f>C6</f>
        <v>226604</v>
      </c>
      <c r="K8" s="33">
        <f t="shared" ref="K8:N8" si="0">D6</f>
        <v>168965</v>
      </c>
      <c r="L8" s="33">
        <f t="shared" si="0"/>
        <v>499142</v>
      </c>
      <c r="M8" s="33">
        <f t="shared" si="0"/>
        <v>515381</v>
      </c>
      <c r="N8" s="33">
        <f t="shared" si="0"/>
        <v>569874</v>
      </c>
      <c r="O8" s="45">
        <f>(O24*'P&amp;L Input'!P8)/360</f>
        <v>465083.92346572824</v>
      </c>
      <c r="P8" s="45">
        <f>(P24*'P&amp;L Input'!Q8)/360</f>
        <v>479036.4411697</v>
      </c>
      <c r="Q8" s="45">
        <f>(Q24*'P&amp;L Input'!R8)/360</f>
        <v>493407.53440479108</v>
      </c>
      <c r="R8" s="45">
        <f>(R24*'P&amp;L Input'!S8)/360</f>
        <v>508209.76043693483</v>
      </c>
      <c r="S8" s="45">
        <f>(S24*'P&amp;L Input'!T8)/360</f>
        <v>523456.05325004284</v>
      </c>
      <c r="T8" s="45"/>
    </row>
    <row r="9" spans="2:20" ht="12.75" x14ac:dyDescent="0.2">
      <c r="B9" s="7" t="s">
        <v>37</v>
      </c>
      <c r="C9" s="14">
        <f>SUM(C4:C8)</f>
        <v>3180073</v>
      </c>
      <c r="D9" s="14">
        <f>SUM(D4:D8)</f>
        <v>2782006</v>
      </c>
      <c r="E9" s="14">
        <f>SUM(E4:E8)</f>
        <v>6259796</v>
      </c>
      <c r="F9" s="14">
        <f>SUM(F4:F8)</f>
        <v>6570520</v>
      </c>
      <c r="G9" s="14">
        <f>SUM(G4:G8)</f>
        <v>6699797</v>
      </c>
      <c r="I9" s="19" t="s">
        <v>35</v>
      </c>
      <c r="J9" s="33">
        <f>C7</f>
        <v>953675</v>
      </c>
      <c r="K9" s="33">
        <f t="shared" ref="K9:N9" si="1">D7</f>
        <v>1277838</v>
      </c>
      <c r="L9" s="33">
        <f t="shared" si="1"/>
        <v>2067454</v>
      </c>
      <c r="M9" s="33">
        <f t="shared" si="1"/>
        <v>2263537</v>
      </c>
      <c r="N9" s="33">
        <f t="shared" si="1"/>
        <v>3324643</v>
      </c>
      <c r="O9" s="45">
        <f>ABS(O26*'P&amp;L Input'!P9)/360</f>
        <v>2173826.1104622376</v>
      </c>
      <c r="P9" s="45">
        <f>ABS(P26*'P&amp;L Input'!Q9)/360</f>
        <v>2239040.8937761043</v>
      </c>
      <c r="Q9" s="45">
        <f>ABS(Q26*'P&amp;L Input'!R9)/360</f>
        <v>2306212.1205893881</v>
      </c>
      <c r="R9" s="45">
        <f>ABS(R26*'P&amp;L Input'!S9)/360</f>
        <v>2375398.4842070695</v>
      </c>
      <c r="S9" s="45">
        <f>ABS(S26*'P&amp;L Input'!T9)/360</f>
        <v>2446660.4387332816</v>
      </c>
    </row>
    <row r="10" spans="2:20" ht="12.75" x14ac:dyDescent="0.2">
      <c r="B10" s="5" t="s">
        <v>38</v>
      </c>
      <c r="C10" s="13">
        <v>766744</v>
      </c>
      <c r="D10" s="13">
        <v>1791403</v>
      </c>
      <c r="E10" s="13">
        <v>3134080</v>
      </c>
      <c r="F10" s="13">
        <v>4116604</v>
      </c>
      <c r="G10" s="13">
        <v>2282047</v>
      </c>
      <c r="I10" s="19" t="s">
        <v>88</v>
      </c>
      <c r="J10" s="33">
        <f>C12</f>
        <v>1829267</v>
      </c>
      <c r="K10" s="33">
        <f t="shared" ref="K10:N10" si="2">D12</f>
        <v>3403334</v>
      </c>
      <c r="L10" s="33">
        <f t="shared" si="2"/>
        <v>5982957</v>
      </c>
      <c r="M10" s="33">
        <f t="shared" si="2"/>
        <v>10027522</v>
      </c>
      <c r="N10" s="33">
        <f t="shared" si="2"/>
        <v>10969348</v>
      </c>
      <c r="O10" s="54">
        <f>'activos fijos'!H5</f>
        <v>17519141.431638312</v>
      </c>
      <c r="P10" s="54">
        <f>'activos fijos'!I5</f>
        <v>27979813.978164069</v>
      </c>
      <c r="Q10" s="54">
        <f>'activos fijos'!J5</f>
        <v>44686550.0405664</v>
      </c>
      <c r="R10" s="54">
        <f>'activos fijos'!K5</f>
        <v>71368871.718963206</v>
      </c>
      <c r="S10" s="54">
        <f>'activos fijos'!L5</f>
        <v>113983197.31135963</v>
      </c>
    </row>
    <row r="11" spans="2:20" ht="12.75" x14ac:dyDescent="0.2">
      <c r="B11" s="5" t="s">
        <v>39</v>
      </c>
      <c r="C11" s="13">
        <v>0</v>
      </c>
      <c r="D11" s="13">
        <v>0</v>
      </c>
      <c r="E11" s="13">
        <v>5919880</v>
      </c>
      <c r="F11" s="13">
        <v>6347490</v>
      </c>
      <c r="G11" s="13">
        <v>6340031</v>
      </c>
      <c r="I11" s="19" t="s">
        <v>89</v>
      </c>
      <c r="J11" s="33">
        <f>C4</f>
        <v>1905713</v>
      </c>
      <c r="K11" s="33">
        <f t="shared" ref="K11:N11" si="3">D4</f>
        <v>1196908</v>
      </c>
      <c r="L11" s="33">
        <f t="shared" si="3"/>
        <v>3393216</v>
      </c>
      <c r="M11" s="33">
        <f t="shared" si="3"/>
        <v>3367914</v>
      </c>
      <c r="N11" s="33">
        <f t="shared" si="3"/>
        <v>2236424</v>
      </c>
      <c r="O11" s="54">
        <f>N11+FCF!H18</f>
        <v>10384545.200692911</v>
      </c>
      <c r="P11" s="54">
        <f>O11+FCF!I18</f>
        <v>19742873.609143201</v>
      </c>
      <c r="Q11" s="54">
        <f>P11+FCF!J18</f>
        <v>35339962.147507533</v>
      </c>
      <c r="R11" s="54">
        <f>Q11+FCF!K18</f>
        <v>60905113.814324938</v>
      </c>
      <c r="S11" s="54">
        <f>R11+FCF!L18</f>
        <v>102394521.23297432</v>
      </c>
    </row>
    <row r="12" spans="2:20" ht="12.75" x14ac:dyDescent="0.2">
      <c r="B12" s="5" t="s">
        <v>40</v>
      </c>
      <c r="C12" s="13">
        <v>1829267</v>
      </c>
      <c r="D12" s="13">
        <v>3403334</v>
      </c>
      <c r="E12" s="13">
        <v>5982957</v>
      </c>
      <c r="F12" s="13">
        <v>10027522</v>
      </c>
      <c r="G12" s="13">
        <v>10969348</v>
      </c>
      <c r="I12" s="19" t="s">
        <v>44</v>
      </c>
      <c r="J12" s="33">
        <f>C5+C16+C10+C13+C14+C11+C15+C8</f>
        <v>915408</v>
      </c>
      <c r="K12" s="33">
        <f t="shared" ref="K12:N12" si="4">D5+D16+D10+D13+D14+D11+D15+D8</f>
        <v>2020894</v>
      </c>
      <c r="L12" s="33">
        <f t="shared" si="4"/>
        <v>10721307</v>
      </c>
      <c r="M12" s="33">
        <f t="shared" si="4"/>
        <v>12481018</v>
      </c>
      <c r="N12" s="33">
        <f t="shared" si="4"/>
        <v>10809711</v>
      </c>
      <c r="O12" s="45">
        <f>O27*'P&amp;L Input'!P8</f>
        <v>7384932.2620615466</v>
      </c>
      <c r="P12" s="45">
        <f>P27*'P&amp;L Input'!Q8</f>
        <v>7606480.2299233926</v>
      </c>
      <c r="Q12" s="45">
        <f>Q27*'P&amp;L Input'!R8</f>
        <v>7834674.6368210949</v>
      </c>
      <c r="R12" s="45">
        <f>R27*'P&amp;L Input'!S8</f>
        <v>8069714.8759257272</v>
      </c>
      <c r="S12" s="45">
        <f>S27*'P&amp;L Input'!T8</f>
        <v>8311806.3222034993</v>
      </c>
    </row>
    <row r="13" spans="2:20" x14ac:dyDescent="0.2">
      <c r="B13" s="5" t="s">
        <v>41</v>
      </c>
      <c r="C13" s="13">
        <v>0</v>
      </c>
      <c r="D13" s="13">
        <v>12816</v>
      </c>
      <c r="E13" s="13">
        <v>376145</v>
      </c>
      <c r="F13" s="13">
        <v>361502</v>
      </c>
      <c r="G13" s="13">
        <v>364690</v>
      </c>
      <c r="I13" s="32" t="s">
        <v>90</v>
      </c>
      <c r="J13" s="56">
        <f>SUM(J8:J12)</f>
        <v>5830667</v>
      </c>
      <c r="K13" s="56">
        <f t="shared" ref="K13:N13" si="5">SUM(K8:K12)</f>
        <v>8067939</v>
      </c>
      <c r="L13" s="56">
        <f t="shared" si="5"/>
        <v>22664076</v>
      </c>
      <c r="M13" s="56">
        <f t="shared" si="5"/>
        <v>28655372</v>
      </c>
      <c r="N13" s="56">
        <f t="shared" si="5"/>
        <v>27910000</v>
      </c>
      <c r="O13" s="64">
        <f>+SUM(O8:O12)</f>
        <v>37927528.928320736</v>
      </c>
      <c r="P13" s="64">
        <f t="shared" ref="P13:S13" si="6">+SUM(P8:P12)</f>
        <v>58047245.152176462</v>
      </c>
      <c r="Q13" s="64">
        <f t="shared" si="6"/>
        <v>90660806.479889214</v>
      </c>
      <c r="R13" s="64">
        <f t="shared" si="6"/>
        <v>143227308.65385786</v>
      </c>
      <c r="S13" s="64">
        <f t="shared" si="6"/>
        <v>227659641.35852078</v>
      </c>
    </row>
    <row r="14" spans="2:20" ht="12.75" x14ac:dyDescent="0.2">
      <c r="B14" s="5" t="s">
        <v>42</v>
      </c>
      <c r="C14" s="13">
        <v>0</v>
      </c>
      <c r="D14" s="13">
        <v>0</v>
      </c>
      <c r="E14" s="13">
        <v>506302</v>
      </c>
      <c r="F14" s="13">
        <f>456652+60237</f>
        <v>516889</v>
      </c>
      <c r="G14" s="13">
        <v>434841</v>
      </c>
      <c r="I14" s="19" t="s">
        <v>91</v>
      </c>
      <c r="J14" s="33">
        <f>C18</f>
        <v>777946</v>
      </c>
      <c r="K14" s="33">
        <f t="shared" ref="K14:N14" si="7">D18</f>
        <v>916148</v>
      </c>
      <c r="L14" s="33">
        <f t="shared" si="7"/>
        <v>1860341</v>
      </c>
      <c r="M14" s="33">
        <f t="shared" si="7"/>
        <v>2390250</v>
      </c>
      <c r="N14" s="33">
        <f t="shared" si="7"/>
        <v>3030493</v>
      </c>
      <c r="O14" s="45">
        <f>ABS(O25*'P&amp;L Input'!P9)/360</f>
        <v>1882802.2187728053</v>
      </c>
      <c r="P14" s="45">
        <f>ABS(P25*'P&amp;L Input'!Q9)/360</f>
        <v>1939286.2853359894</v>
      </c>
      <c r="Q14" s="45">
        <f>ABS(Q25*'P&amp;L Input'!R9)/360</f>
        <v>1997464.8738960694</v>
      </c>
      <c r="R14" s="45">
        <f>ABS(R25*'P&amp;L Input'!S9)/360</f>
        <v>2057388.8201129516</v>
      </c>
      <c r="S14" s="45">
        <f>ABS(S25*'P&amp;L Input'!T9)/360</f>
        <v>2119110.48471634</v>
      </c>
    </row>
    <row r="15" spans="2:20" ht="12.75" x14ac:dyDescent="0.2">
      <c r="B15" s="5" t="s">
        <v>43</v>
      </c>
      <c r="C15" s="13">
        <v>11374</v>
      </c>
      <c r="D15" s="13">
        <v>31522</v>
      </c>
      <c r="E15" s="13">
        <v>268165</v>
      </c>
      <c r="F15" s="13">
        <v>441722</v>
      </c>
      <c r="G15" s="13">
        <v>399992</v>
      </c>
      <c r="I15" s="19" t="s">
        <v>92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</row>
    <row r="16" spans="2:20" ht="12.75" x14ac:dyDescent="0.2">
      <c r="B16" s="5" t="s">
        <v>44</v>
      </c>
      <c r="C16" s="13">
        <v>43209</v>
      </c>
      <c r="D16" s="13">
        <v>46858</v>
      </c>
      <c r="E16" s="13">
        <v>216751</v>
      </c>
      <c r="F16" s="13">
        <v>273123</v>
      </c>
      <c r="G16" s="13">
        <v>419254</v>
      </c>
      <c r="I16" s="19" t="s">
        <v>93</v>
      </c>
      <c r="J16" s="33">
        <f>C28+C23</f>
        <v>2429884</v>
      </c>
      <c r="K16" s="33">
        <f t="shared" ref="K16:N16" si="8">D28+D23</f>
        <v>2649020</v>
      </c>
      <c r="L16" s="33">
        <f t="shared" si="8"/>
        <v>6844260</v>
      </c>
      <c r="M16" s="33">
        <f t="shared" si="8"/>
        <v>10212249</v>
      </c>
      <c r="N16" s="33">
        <f t="shared" si="8"/>
        <v>11616575</v>
      </c>
      <c r="O16" s="55">
        <f>'pasivo financiero'!H7</f>
        <v>11184255.941523015</v>
      </c>
      <c r="P16" s="55">
        <f>'pasivo financiero'!I7</f>
        <v>10738967.311291723</v>
      </c>
      <c r="Q16" s="55">
        <f>'pasivo financiero'!J7</f>
        <v>10280320.022153491</v>
      </c>
      <c r="R16" s="55">
        <f>'pasivo financiero'!K7</f>
        <v>9807913.314341113</v>
      </c>
      <c r="S16" s="55">
        <f>'pasivo financiero'!L7</f>
        <v>9321334.4052943625</v>
      </c>
    </row>
    <row r="17" spans="2:19" ht="13.5" thickBot="1" x14ac:dyDescent="0.25">
      <c r="B17" s="10" t="s">
        <v>45</v>
      </c>
      <c r="C17" s="15">
        <f>SUM(C9:C16)</f>
        <v>5830667</v>
      </c>
      <c r="D17" s="15">
        <f>SUM(D9:D16)</f>
        <v>8067939</v>
      </c>
      <c r="E17" s="15">
        <f>SUM(E9:E16)</f>
        <v>22664076</v>
      </c>
      <c r="F17" s="15">
        <f>SUM(F9:F16)</f>
        <v>28655372</v>
      </c>
      <c r="G17" s="15">
        <f>SUM(G9:G16)</f>
        <v>27910000</v>
      </c>
      <c r="I17" s="19" t="s">
        <v>56</v>
      </c>
      <c r="J17" s="33">
        <f>C19+C20+C22+C21+C24+C25+C29</f>
        <v>1711127</v>
      </c>
      <c r="K17" s="33">
        <f t="shared" ref="K17:N17" si="9">D19+D20+D22+D21+D24+D25+D29</f>
        <v>3419067</v>
      </c>
      <c r="L17" s="33">
        <f t="shared" si="9"/>
        <v>8421389</v>
      </c>
      <c r="M17" s="33">
        <f t="shared" si="9"/>
        <v>10818285</v>
      </c>
      <c r="N17" s="33">
        <f t="shared" si="9"/>
        <v>7995819</v>
      </c>
      <c r="O17" s="45">
        <f>O28*'P&amp;L Input'!P8</f>
        <v>7370947.8686666992</v>
      </c>
      <c r="P17" s="45">
        <f>P28*'P&amp;L Input'!Q8</f>
        <v>7592076.3047267003</v>
      </c>
      <c r="Q17" s="45">
        <f>Q28*'P&amp;L Input'!R8</f>
        <v>7819838.5938685015</v>
      </c>
      <c r="R17" s="45">
        <f>R28*'P&amp;L Input'!S8</f>
        <v>8054433.7516845567</v>
      </c>
      <c r="S17" s="45">
        <f>S28*'P&amp;L Input'!T8</f>
        <v>8296066.7642350933</v>
      </c>
    </row>
    <row r="18" spans="2:19" x14ac:dyDescent="0.2">
      <c r="B18" s="5" t="s">
        <v>46</v>
      </c>
      <c r="C18" s="13">
        <v>777946</v>
      </c>
      <c r="D18" s="13">
        <v>916148</v>
      </c>
      <c r="E18" s="13">
        <v>1860341</v>
      </c>
      <c r="F18" s="13">
        <v>2390250</v>
      </c>
      <c r="G18" s="13">
        <v>3030493</v>
      </c>
      <c r="I18" s="32" t="s">
        <v>86</v>
      </c>
      <c r="J18" s="56">
        <f>SUM(J14:J17)</f>
        <v>4918957</v>
      </c>
      <c r="K18" s="56">
        <f t="shared" ref="K18:N18" si="10">SUM(K14:K17)</f>
        <v>6984235</v>
      </c>
      <c r="L18" s="56">
        <f t="shared" si="10"/>
        <v>17125990</v>
      </c>
      <c r="M18" s="56">
        <f t="shared" si="10"/>
        <v>23420784</v>
      </c>
      <c r="N18" s="56">
        <f t="shared" si="10"/>
        <v>22642887</v>
      </c>
      <c r="O18" s="64">
        <f>+SUM(O14:O17)</f>
        <v>20438006.028962523</v>
      </c>
      <c r="P18" s="64">
        <f t="shared" ref="P18:S18" si="11">+SUM(P14:P17)</f>
        <v>20270329.901354413</v>
      </c>
      <c r="Q18" s="64">
        <f t="shared" si="11"/>
        <v>20097623.489918061</v>
      </c>
      <c r="R18" s="64">
        <f t="shared" si="11"/>
        <v>19919735.886138622</v>
      </c>
      <c r="S18" s="64">
        <f t="shared" si="11"/>
        <v>19736511.654245798</v>
      </c>
    </row>
    <row r="19" spans="2:19" x14ac:dyDescent="0.2">
      <c r="B19" s="5" t="s">
        <v>47</v>
      </c>
      <c r="C19" s="13">
        <v>268883</v>
      </c>
      <c r="D19" s="13">
        <v>422798</v>
      </c>
      <c r="E19" s="13">
        <v>1210028</v>
      </c>
      <c r="F19" s="13">
        <v>1731366</v>
      </c>
      <c r="G19" s="13">
        <v>1814979</v>
      </c>
      <c r="I19" s="32" t="s">
        <v>94</v>
      </c>
      <c r="J19" s="33">
        <f>SUM(C31:C32)</f>
        <v>911710</v>
      </c>
      <c r="K19" s="33">
        <f t="shared" ref="K19:N19" si="12">SUM(D31:D32)</f>
        <v>1083704</v>
      </c>
      <c r="L19" s="33">
        <f t="shared" si="12"/>
        <v>5538086</v>
      </c>
      <c r="M19" s="33">
        <f t="shared" si="12"/>
        <v>5234588</v>
      </c>
      <c r="N19" s="33">
        <f t="shared" si="12"/>
        <v>5267113</v>
      </c>
      <c r="O19" s="54">
        <f>'variacion en capital'!H8</f>
        <v>17489523.189150136</v>
      </c>
      <c r="P19" s="54">
        <f>'variacion en capital'!I8</f>
        <v>37776915.412154518</v>
      </c>
      <c r="Q19" s="54">
        <f>'variacion en capital'!J8</f>
        <v>70563182.840028778</v>
      </c>
      <c r="R19" s="54">
        <f>'variacion en capital'!K8</f>
        <v>123307572.808919</v>
      </c>
      <c r="S19" s="54">
        <f>'variacion en capital'!L8</f>
        <v>207923129.97505566</v>
      </c>
    </row>
    <row r="20" spans="2:19" x14ac:dyDescent="0.2">
      <c r="B20" s="5" t="s">
        <v>48</v>
      </c>
      <c r="C20" s="13">
        <v>191651</v>
      </c>
      <c r="D20" s="13">
        <v>423961</v>
      </c>
      <c r="E20" s="13">
        <v>763126</v>
      </c>
      <c r="F20" s="13">
        <v>1015253</v>
      </c>
      <c r="G20" s="13">
        <v>576321</v>
      </c>
      <c r="I20" s="32" t="s">
        <v>95</v>
      </c>
      <c r="J20" s="33">
        <f>SUM(J18:J19)</f>
        <v>5830667</v>
      </c>
      <c r="K20" s="33">
        <f t="shared" ref="K20:N20" si="13">SUM(K18:K19)</f>
        <v>8067939</v>
      </c>
      <c r="L20" s="33">
        <f t="shared" si="13"/>
        <v>22664076</v>
      </c>
      <c r="M20" s="33">
        <f t="shared" si="13"/>
        <v>28655372</v>
      </c>
      <c r="N20" s="33">
        <f t="shared" si="13"/>
        <v>27910000</v>
      </c>
      <c r="O20" s="64">
        <f>+SUM(O18:O19)</f>
        <v>37927529.218112662</v>
      </c>
      <c r="P20" s="64">
        <f t="shared" ref="P20:S20" si="14">+SUM(P18:P19)</f>
        <v>58047245.313508928</v>
      </c>
      <c r="Q20" s="64">
        <f t="shared" si="14"/>
        <v>90660806.329946846</v>
      </c>
      <c r="R20" s="64">
        <f t="shared" si="14"/>
        <v>143227308.69505763</v>
      </c>
      <c r="S20" s="64">
        <f t="shared" si="14"/>
        <v>227659641.62930146</v>
      </c>
    </row>
    <row r="21" spans="2:19" x14ac:dyDescent="0.2">
      <c r="B21" s="5" t="s">
        <v>49</v>
      </c>
      <c r="C21" s="13">
        <v>0</v>
      </c>
      <c r="D21" s="13">
        <v>136831</v>
      </c>
      <c r="E21" s="13">
        <v>179504</v>
      </c>
      <c r="F21" s="13">
        <v>787333</v>
      </c>
      <c r="G21" s="13">
        <v>674255</v>
      </c>
      <c r="J21" s="33"/>
      <c r="K21" s="33"/>
      <c r="L21" s="33"/>
      <c r="M21" s="33"/>
      <c r="N21" s="33"/>
      <c r="O21" s="40"/>
      <c r="P21" s="40"/>
      <c r="Q21" s="40"/>
      <c r="R21" s="40"/>
      <c r="S21" s="40"/>
    </row>
    <row r="22" spans="2:19" x14ac:dyDescent="0.2">
      <c r="B22" s="5" t="s">
        <v>50</v>
      </c>
      <c r="C22" s="13">
        <v>257587</v>
      </c>
      <c r="D22" s="13">
        <v>283370</v>
      </c>
      <c r="E22" s="13">
        <v>663859</v>
      </c>
      <c r="F22" s="13">
        <v>853919</v>
      </c>
      <c r="G22" s="13">
        <v>942129</v>
      </c>
      <c r="I22" s="5" t="s">
        <v>96</v>
      </c>
      <c r="J22" s="33">
        <f>J20-J13</f>
        <v>0</v>
      </c>
      <c r="K22" s="33">
        <f t="shared" ref="K22:S22" si="15">K20-K13</f>
        <v>0</v>
      </c>
      <c r="L22" s="33">
        <f t="shared" si="15"/>
        <v>0</v>
      </c>
      <c r="M22" s="33">
        <f t="shared" si="15"/>
        <v>0</v>
      </c>
      <c r="N22" s="33">
        <f t="shared" si="15"/>
        <v>0</v>
      </c>
      <c r="O22" s="33">
        <f t="shared" si="15"/>
        <v>0.28979192674160004</v>
      </c>
      <c r="P22" s="33">
        <f t="shared" si="15"/>
        <v>0.16133246570825577</v>
      </c>
      <c r="Q22" s="33">
        <f t="shared" si="15"/>
        <v>-0.14994236826896667</v>
      </c>
      <c r="R22" s="33">
        <f t="shared" si="15"/>
        <v>4.1199773550033569E-2</v>
      </c>
      <c r="S22" s="33">
        <f t="shared" si="15"/>
        <v>0.27078068256378174</v>
      </c>
    </row>
    <row r="23" spans="2:19" x14ac:dyDescent="0.2">
      <c r="B23" s="5" t="s">
        <v>51</v>
      </c>
      <c r="C23" s="13">
        <v>611099</v>
      </c>
      <c r="D23" s="13">
        <v>627927</v>
      </c>
      <c r="E23" s="13">
        <v>984211</v>
      </c>
      <c r="F23" s="13">
        <v>796549</v>
      </c>
      <c r="G23" s="13">
        <v>2103185</v>
      </c>
    </row>
    <row r="24" spans="2:19" x14ac:dyDescent="0.2">
      <c r="B24" s="5" t="s">
        <v>52</v>
      </c>
      <c r="C24" s="13">
        <v>0</v>
      </c>
      <c r="D24" s="13"/>
      <c r="E24" s="13"/>
      <c r="F24" s="6"/>
      <c r="G24" s="6"/>
      <c r="I24" s="41" t="s">
        <v>61</v>
      </c>
      <c r="J24" s="42">
        <f>(J8/'P&amp;L Input'!K8)*360</f>
        <v>25.506053735106413</v>
      </c>
      <c r="K24" s="42">
        <f>(K8/'P&amp;L Input'!L8)*360</f>
        <v>15.033866572747325</v>
      </c>
      <c r="L24" s="42">
        <f>(L8/'P&amp;L Input'!M8)*360</f>
        <v>25.66967594325364</v>
      </c>
      <c r="M24" s="42">
        <f>(M8/'P&amp;L Input'!N8)*360</f>
        <v>15.77864519794662</v>
      </c>
      <c r="N24" s="42">
        <f>(N8/'P&amp;L Input'!O8)*360</f>
        <v>27.682517647458869</v>
      </c>
      <c r="O24" s="43">
        <f>AVERAGE($J$24:$N$24)</f>
        <v>21.934151819302571</v>
      </c>
      <c r="P24" s="43">
        <f t="shared" ref="P24:S24" si="16">AVERAGE($J$24:$N$24)</f>
        <v>21.934151819302571</v>
      </c>
      <c r="Q24" s="43">
        <f t="shared" si="16"/>
        <v>21.934151819302571</v>
      </c>
      <c r="R24" s="43">
        <f t="shared" si="16"/>
        <v>21.934151819302571</v>
      </c>
      <c r="S24" s="43">
        <f t="shared" si="16"/>
        <v>21.934151819302571</v>
      </c>
    </row>
    <row r="25" spans="2:19" x14ac:dyDescent="0.2">
      <c r="B25" s="5" t="s">
        <v>53</v>
      </c>
      <c r="C25" s="13">
        <v>0</v>
      </c>
      <c r="D25" s="13">
        <v>0</v>
      </c>
      <c r="E25" s="13">
        <v>165936</v>
      </c>
      <c r="F25" s="13">
        <v>100000</v>
      </c>
      <c r="G25" s="13">
        <v>0</v>
      </c>
      <c r="I25" s="41" t="s">
        <v>63</v>
      </c>
      <c r="J25" s="42">
        <f>ABS(J14/'P&amp;L Input'!K9)*360</f>
        <v>120.88849368817945</v>
      </c>
      <c r="K25" s="42">
        <f>ABS(K14/'P&amp;L Input'!L9)*360</f>
        <v>105.62400521117225</v>
      </c>
      <c r="L25" s="42">
        <f>ABS(L14/'P&amp;L Input'!M9)*360</f>
        <v>124.00264031291226</v>
      </c>
      <c r="M25" s="42">
        <f>ABS(M14/'P&amp;L Input'!N9)*360</f>
        <v>90.233449912879919</v>
      </c>
      <c r="N25" s="42">
        <f>ABS(N14/'P&amp;L Input'!O9)*360</f>
        <v>172.19998465794316</v>
      </c>
      <c r="O25" s="43">
        <f>AVERAGE($J$25:$N$25)</f>
        <v>122.58971475661743</v>
      </c>
      <c r="P25" s="43">
        <f t="shared" ref="P25:S25" si="17">AVERAGE($J$25:$N$25)</f>
        <v>122.58971475661743</v>
      </c>
      <c r="Q25" s="43">
        <f t="shared" si="17"/>
        <v>122.58971475661743</v>
      </c>
      <c r="R25" s="43">
        <f t="shared" si="17"/>
        <v>122.58971475661743</v>
      </c>
      <c r="S25" s="43">
        <f t="shared" si="17"/>
        <v>122.58971475661743</v>
      </c>
    </row>
    <row r="26" spans="2:19" x14ac:dyDescent="0.2">
      <c r="B26" s="7" t="s">
        <v>54</v>
      </c>
      <c r="C26" s="14">
        <v>2107166</v>
      </c>
      <c r="D26" s="14">
        <v>2811035</v>
      </c>
      <c r="E26" s="14">
        <v>5827005</v>
      </c>
      <c r="F26" s="14">
        <f>SUM(F18:F25)</f>
        <v>7674670</v>
      </c>
      <c r="G26" s="14">
        <f>SUM(G18:G25)</f>
        <v>9141362</v>
      </c>
      <c r="I26" s="41" t="s">
        <v>62</v>
      </c>
      <c r="J26" s="42">
        <f>ABS(J9/'P&amp;L Input'!K9)*360</f>
        <v>148.19580564470351</v>
      </c>
      <c r="K26" s="42">
        <f>ABS(K9/'P&amp;L Input'!L9)*360</f>
        <v>147.32375944829212</v>
      </c>
      <c r="L26" s="42">
        <f>ABS(L9/'P&amp;L Input'!M9)*360</f>
        <v>137.80793667692734</v>
      </c>
      <c r="M26" s="42">
        <f>ABS(M9/'P&amp;L Input'!N9)*360</f>
        <v>85.449953986173199</v>
      </c>
      <c r="N26" s="42">
        <f>ABS(N9/'P&amp;L Input'!O9)*360</f>
        <v>188.91430324806495</v>
      </c>
      <c r="O26" s="43">
        <f>AVERAGE($J$26:$N$26)</f>
        <v>141.53835180083223</v>
      </c>
      <c r="P26" s="43">
        <f t="shared" ref="P26:S26" si="18">AVERAGE($J$26:$N$26)</f>
        <v>141.53835180083223</v>
      </c>
      <c r="Q26" s="43">
        <f t="shared" si="18"/>
        <v>141.53835180083223</v>
      </c>
      <c r="R26" s="43">
        <f t="shared" si="18"/>
        <v>141.53835180083223</v>
      </c>
      <c r="S26" s="43">
        <f t="shared" si="18"/>
        <v>141.53835180083223</v>
      </c>
    </row>
    <row r="27" spans="2:19" ht="12.75" x14ac:dyDescent="0.2">
      <c r="B27" s="5" t="s">
        <v>55</v>
      </c>
      <c r="C27" s="13"/>
      <c r="D27" s="13"/>
      <c r="E27" s="13"/>
      <c r="F27" s="13"/>
      <c r="G27" s="13"/>
      <c r="I27" s="41" t="s">
        <v>104</v>
      </c>
      <c r="J27" s="44">
        <f>J12/'P&amp;L Input'!K8</f>
        <v>0.28621204143628787</v>
      </c>
      <c r="K27" s="44">
        <f>K12/'P&amp;L Input'!L8</f>
        <v>0.49947639967622542</v>
      </c>
      <c r="L27" s="44">
        <f>L12/'P&amp;L Input'!M8</f>
        <v>1.5315864043706604</v>
      </c>
      <c r="M27" s="44">
        <f>M12/'P&amp;L Input'!N8</f>
        <v>1.0614237855704232</v>
      </c>
      <c r="N27" s="44">
        <f>N12/'P&amp;L Input'!O8</f>
        <v>1.458607104969355</v>
      </c>
      <c r="O27" s="59">
        <f>AVERAGE($J$27:$N$27)</f>
        <v>0.96746114720459031</v>
      </c>
      <c r="P27" s="59">
        <f t="shared" ref="P27:S27" si="19">AVERAGE($J$27:$N$27)</f>
        <v>0.96746114720459031</v>
      </c>
      <c r="Q27" s="59">
        <f t="shared" si="19"/>
        <v>0.96746114720459031</v>
      </c>
      <c r="R27" s="59">
        <f t="shared" si="19"/>
        <v>0.96746114720459031</v>
      </c>
      <c r="S27" s="59">
        <f t="shared" si="19"/>
        <v>0.96746114720459031</v>
      </c>
    </row>
    <row r="28" spans="2:19" ht="12.75" x14ac:dyDescent="0.2">
      <c r="B28" s="5" t="s">
        <v>42</v>
      </c>
      <c r="C28" s="13">
        <v>1818785</v>
      </c>
      <c r="D28" s="13">
        <v>2021093</v>
      </c>
      <c r="E28" s="13">
        <v>5860049</v>
      </c>
      <c r="F28" s="13">
        <v>9415700</v>
      </c>
      <c r="G28" s="13">
        <v>9513390</v>
      </c>
      <c r="I28" s="41" t="s">
        <v>105</v>
      </c>
      <c r="J28" s="44">
        <f>J16/'P&amp;L Input'!K8</f>
        <v>0.75972906080498859</v>
      </c>
      <c r="K28" s="44">
        <f>K16/'P&amp;L Input'!L8</f>
        <v>0.65472160948091029</v>
      </c>
      <c r="L28" s="44">
        <f>L16/'P&amp;L Input'!M8</f>
        <v>0.9777329913207351</v>
      </c>
      <c r="M28" s="44">
        <f>M16/'P&amp;L Input'!N8</f>
        <v>0.86848075956366455</v>
      </c>
      <c r="N28" s="44">
        <f>N16/'P&amp;L Input'!O8</f>
        <v>1.5674812055946161</v>
      </c>
      <c r="O28" s="59">
        <f>AVERAGE($J$28:$N$28)</f>
        <v>0.96562912535298273</v>
      </c>
      <c r="P28" s="39">
        <f t="shared" ref="P28:S28" si="20">AVERAGE($J$28:$N$28)</f>
        <v>0.96562912535298273</v>
      </c>
      <c r="Q28" s="39">
        <f t="shared" si="20"/>
        <v>0.96562912535298273</v>
      </c>
      <c r="R28" s="39">
        <f t="shared" si="20"/>
        <v>0.96562912535298273</v>
      </c>
      <c r="S28" s="39">
        <f t="shared" si="20"/>
        <v>0.96562912535298273</v>
      </c>
    </row>
    <row r="29" spans="2:19" x14ac:dyDescent="0.2">
      <c r="B29" s="5" t="s">
        <v>56</v>
      </c>
      <c r="C29" s="6">
        <v>993006</v>
      </c>
      <c r="D29" s="6">
        <v>2152107</v>
      </c>
      <c r="E29" s="6">
        <v>5438936</v>
      </c>
      <c r="F29" s="6">
        <v>6330414</v>
      </c>
      <c r="G29" s="6">
        <f>795820+584857+2607458</f>
        <v>3988135</v>
      </c>
    </row>
    <row r="30" spans="2:19" x14ac:dyDescent="0.2">
      <c r="B30" s="16" t="s">
        <v>57</v>
      </c>
      <c r="C30" s="17">
        <f>SUM(C26:C29)</f>
        <v>4918957</v>
      </c>
      <c r="D30" s="17">
        <f>SUM(D26:D29)</f>
        <v>6984235</v>
      </c>
      <c r="E30" s="17">
        <f>SUM(E26:E29)</f>
        <v>17125990</v>
      </c>
      <c r="F30" s="17">
        <f>SUM(F26:F29)</f>
        <v>23420784</v>
      </c>
      <c r="G30" s="17">
        <f>SUM(G26:G29)</f>
        <v>22642887</v>
      </c>
    </row>
    <row r="31" spans="2:19" x14ac:dyDescent="0.2">
      <c r="B31" s="16" t="s">
        <v>58</v>
      </c>
      <c r="C31" s="17">
        <v>911710</v>
      </c>
      <c r="D31" s="17">
        <v>1083704</v>
      </c>
      <c r="E31" s="17">
        <v>4752911</v>
      </c>
      <c r="F31" s="17">
        <v>4237242</v>
      </c>
      <c r="G31" s="17">
        <f>3906421+539536</f>
        <v>4445957</v>
      </c>
    </row>
    <row r="32" spans="2:19" x14ac:dyDescent="0.2">
      <c r="B32" s="5" t="s">
        <v>59</v>
      </c>
      <c r="C32" s="13">
        <v>0</v>
      </c>
      <c r="D32" s="13">
        <v>0</v>
      </c>
      <c r="E32" s="13">
        <v>785175</v>
      </c>
      <c r="F32" s="13">
        <v>997346</v>
      </c>
      <c r="G32" s="13">
        <v>821156</v>
      </c>
    </row>
    <row r="33" spans="2:7" ht="12.75" thickBot="1" x14ac:dyDescent="0.25">
      <c r="B33" s="10" t="s">
        <v>60</v>
      </c>
      <c r="C33" s="15">
        <f>C30+C31+C32</f>
        <v>5830667</v>
      </c>
      <c r="D33" s="15">
        <f>D30+D31+D32</f>
        <v>8067939</v>
      </c>
      <c r="E33" s="15">
        <f>E30+E31+E32</f>
        <v>22664076</v>
      </c>
      <c r="F33" s="15">
        <f>F30+F31+F32</f>
        <v>28655372</v>
      </c>
      <c r="G33" s="15">
        <f>G30+G31+G32</f>
        <v>27910000</v>
      </c>
    </row>
    <row r="34" spans="2:7" x14ac:dyDescent="0.2">
      <c r="F34" s="18"/>
      <c r="G34" s="18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DA8B-CF73-400E-B7FE-E8D9DC689E95}">
  <dimension ref="B3:V21"/>
  <sheetViews>
    <sheetView zoomScale="80" zoomScaleNormal="80" workbookViewId="0">
      <selection activeCell="C7" sqref="C7"/>
    </sheetView>
  </sheetViews>
  <sheetFormatPr baseColWidth="10" defaultRowHeight="12.75" x14ac:dyDescent="0.2"/>
  <cols>
    <col min="2" max="2" width="17.28515625" bestFit="1" customWidth="1"/>
    <col min="3" max="3" width="15.28515625" bestFit="1" customWidth="1"/>
    <col min="4" max="5" width="15" bestFit="1" customWidth="1"/>
    <col min="6" max="12" width="16" bestFit="1" customWidth="1"/>
    <col min="13" max="20" width="14.140625" bestFit="1" customWidth="1"/>
    <col min="21" max="22" width="13.140625" bestFit="1" customWidth="1"/>
  </cols>
  <sheetData>
    <row r="3" spans="2:13" x14ac:dyDescent="0.2">
      <c r="C3" s="4">
        <v>2014</v>
      </c>
      <c r="D3" s="4">
        <v>2015</v>
      </c>
      <c r="E3" s="4">
        <v>2016</v>
      </c>
      <c r="F3" s="4">
        <v>2017</v>
      </c>
      <c r="G3" s="4">
        <v>2018</v>
      </c>
      <c r="H3" s="48">
        <v>2019</v>
      </c>
      <c r="I3" s="48">
        <v>2020</v>
      </c>
      <c r="J3" s="48">
        <v>2021</v>
      </c>
      <c r="K3" s="48">
        <v>2022</v>
      </c>
      <c r="L3" s="48">
        <v>2023</v>
      </c>
    </row>
    <row r="4" spans="2:13" x14ac:dyDescent="0.2">
      <c r="B4" s="19" t="s">
        <v>110</v>
      </c>
      <c r="D4" s="49">
        <f>C7</f>
        <v>2429884</v>
      </c>
      <c r="E4" s="49">
        <f t="shared" ref="E4:L4" si="0">D7</f>
        <v>2649020</v>
      </c>
      <c r="F4" s="49">
        <f t="shared" si="0"/>
        <v>6844260</v>
      </c>
      <c r="G4" s="49">
        <f t="shared" si="0"/>
        <v>10212249</v>
      </c>
      <c r="H4" s="49">
        <f t="shared" si="0"/>
        <v>11616575</v>
      </c>
      <c r="I4" s="49">
        <f t="shared" si="0"/>
        <v>11184255.941523015</v>
      </c>
      <c r="J4" s="49">
        <f t="shared" si="0"/>
        <v>10738967.311291723</v>
      </c>
      <c r="K4" s="49">
        <f t="shared" si="0"/>
        <v>10280320.022153491</v>
      </c>
      <c r="L4" s="49">
        <f t="shared" si="0"/>
        <v>9807913.314341113</v>
      </c>
    </row>
    <row r="5" spans="2:13" x14ac:dyDescent="0.2">
      <c r="B5" s="19" t="s">
        <v>111</v>
      </c>
      <c r="C5" s="22"/>
      <c r="D5" s="22"/>
      <c r="E5" s="22"/>
      <c r="F5" s="22"/>
      <c r="G5" s="22"/>
      <c r="H5" s="22">
        <v>0</v>
      </c>
      <c r="I5" s="22">
        <v>0</v>
      </c>
      <c r="J5" s="22">
        <v>0</v>
      </c>
      <c r="K5" s="22">
        <v>0</v>
      </c>
      <c r="L5" s="22">
        <v>0</v>
      </c>
    </row>
    <row r="6" spans="2:13" x14ac:dyDescent="0.2">
      <c r="B6" s="19" t="s">
        <v>112</v>
      </c>
      <c r="D6" s="49">
        <f>-(D7-D4)</f>
        <v>-219136</v>
      </c>
      <c r="E6" s="49">
        <f t="shared" ref="E6:G6" si="1">-(E7-E4)</f>
        <v>-4195240</v>
      </c>
      <c r="F6" s="49">
        <f t="shared" si="1"/>
        <v>-3367989</v>
      </c>
      <c r="G6" s="49">
        <f t="shared" si="1"/>
        <v>-1404326</v>
      </c>
      <c r="H6" s="53">
        <f>C20</f>
        <v>-432319.0584769838</v>
      </c>
      <c r="I6" s="53">
        <f t="shared" ref="I6:L6" si="2">D20</f>
        <v>-445288.63023129333</v>
      </c>
      <c r="J6" s="53">
        <f t="shared" si="2"/>
        <v>-458647.28913823212</v>
      </c>
      <c r="K6" s="53">
        <f t="shared" si="2"/>
        <v>-472406.70781237906</v>
      </c>
      <c r="L6" s="53">
        <f t="shared" si="2"/>
        <v>-486578.9090467504</v>
      </c>
    </row>
    <row r="7" spans="2:13" x14ac:dyDescent="0.2">
      <c r="B7" s="19" t="s">
        <v>113</v>
      </c>
      <c r="C7" s="57">
        <f>'Balance Sheet Input'!J16</f>
        <v>2429884</v>
      </c>
      <c r="D7" s="57">
        <f>'Balance Sheet Input'!K16</f>
        <v>2649020</v>
      </c>
      <c r="E7" s="57">
        <f>'Balance Sheet Input'!L16</f>
        <v>6844260</v>
      </c>
      <c r="F7" s="57">
        <f>'Balance Sheet Input'!M16</f>
        <v>10212249</v>
      </c>
      <c r="G7" s="57">
        <f>'Balance Sheet Input'!N16</f>
        <v>11616575</v>
      </c>
      <c r="H7" s="57">
        <f>+SUM(H4:H6)</f>
        <v>11184255.941523015</v>
      </c>
      <c r="I7" s="57">
        <f t="shared" ref="I7:L7" si="3">+SUM(I4:I6)</f>
        <v>10738967.311291723</v>
      </c>
      <c r="J7" s="57">
        <f t="shared" si="3"/>
        <v>10280320.022153491</v>
      </c>
      <c r="K7" s="57">
        <f t="shared" si="3"/>
        <v>9807913.314341113</v>
      </c>
      <c r="L7" s="57">
        <f t="shared" si="3"/>
        <v>9321334.4052943625</v>
      </c>
    </row>
    <row r="9" spans="2:13" x14ac:dyDescent="0.2">
      <c r="B9" s="19" t="s">
        <v>114</v>
      </c>
      <c r="C9" s="19"/>
      <c r="D9" s="50"/>
      <c r="E9" s="50"/>
      <c r="F9" s="51"/>
      <c r="G9" s="51"/>
      <c r="H9" s="51"/>
      <c r="I9" s="51"/>
      <c r="J9" s="51"/>
    </row>
    <row r="10" spans="2:13" x14ac:dyDescent="0.2">
      <c r="B10" s="19" t="s">
        <v>115</v>
      </c>
      <c r="C10" s="19">
        <v>20</v>
      </c>
      <c r="D10" s="50"/>
      <c r="E10" s="50"/>
      <c r="F10" s="51"/>
      <c r="G10" s="51"/>
      <c r="H10" s="51"/>
      <c r="I10" s="51"/>
      <c r="J10" s="51"/>
    </row>
    <row r="11" spans="2:13" x14ac:dyDescent="0.2">
      <c r="B11" s="19" t="s">
        <v>116</v>
      </c>
      <c r="C11" s="35">
        <v>0.03</v>
      </c>
      <c r="D11" s="19"/>
      <c r="E11" s="19"/>
      <c r="F11" s="19"/>
      <c r="G11" s="19"/>
      <c r="H11" s="19"/>
      <c r="I11" s="19"/>
      <c r="J11" s="19"/>
    </row>
    <row r="12" spans="2:13" x14ac:dyDescent="0.2">
      <c r="B12" s="19" t="s">
        <v>117</v>
      </c>
      <c r="C12" s="52">
        <f>+PMT(C11,C10,G7,,0)</f>
        <v>-780816.3084769838</v>
      </c>
      <c r="D12" s="19"/>
      <c r="E12" s="19"/>
      <c r="F12" s="19"/>
      <c r="G12" s="19"/>
      <c r="H12" s="19"/>
      <c r="I12" s="19"/>
      <c r="J12" s="19"/>
    </row>
    <row r="15" spans="2:13" x14ac:dyDescent="0.2">
      <c r="B15" s="19" t="s">
        <v>118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2:13" x14ac:dyDescent="0.2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2:22" x14ac:dyDescent="0.2">
      <c r="B17" s="19" t="s">
        <v>119</v>
      </c>
      <c r="C17" s="19">
        <v>1</v>
      </c>
      <c r="D17" s="19">
        <v>2</v>
      </c>
      <c r="E17" s="19">
        <v>3</v>
      </c>
      <c r="F17" s="19">
        <v>4</v>
      </c>
      <c r="G17" s="19">
        <v>5</v>
      </c>
      <c r="H17" s="19">
        <v>6</v>
      </c>
      <c r="I17" s="19">
        <v>7</v>
      </c>
      <c r="J17" s="19">
        <v>8</v>
      </c>
      <c r="K17" s="19">
        <v>9</v>
      </c>
      <c r="L17" s="19">
        <v>10</v>
      </c>
      <c r="M17" s="19">
        <v>11</v>
      </c>
      <c r="N17" s="19">
        <v>12</v>
      </c>
      <c r="O17" s="19">
        <v>13</v>
      </c>
      <c r="P17" s="19">
        <v>14</v>
      </c>
      <c r="Q17" s="19">
        <v>15</v>
      </c>
      <c r="R17" s="19">
        <v>16</v>
      </c>
      <c r="S17" s="19">
        <v>17</v>
      </c>
      <c r="T17" s="19">
        <v>18</v>
      </c>
      <c r="U17" s="19">
        <v>19</v>
      </c>
      <c r="V17" s="19">
        <v>20</v>
      </c>
    </row>
    <row r="18" spans="2:22" x14ac:dyDescent="0.2">
      <c r="B18" s="19" t="s">
        <v>117</v>
      </c>
      <c r="C18" s="52">
        <f>$C$12</f>
        <v>-780816.3084769838</v>
      </c>
      <c r="D18" s="52">
        <f t="shared" ref="D18:V18" si="4">$C$12</f>
        <v>-780816.3084769838</v>
      </c>
      <c r="E18" s="52">
        <f t="shared" si="4"/>
        <v>-780816.3084769838</v>
      </c>
      <c r="F18" s="52">
        <f t="shared" si="4"/>
        <v>-780816.3084769838</v>
      </c>
      <c r="G18" s="52">
        <f t="shared" si="4"/>
        <v>-780816.3084769838</v>
      </c>
      <c r="H18" s="52">
        <f t="shared" si="4"/>
        <v>-780816.3084769838</v>
      </c>
      <c r="I18" s="52">
        <f t="shared" si="4"/>
        <v>-780816.3084769838</v>
      </c>
      <c r="J18" s="52">
        <f t="shared" si="4"/>
        <v>-780816.3084769838</v>
      </c>
      <c r="K18" s="52">
        <f t="shared" si="4"/>
        <v>-780816.3084769838</v>
      </c>
      <c r="L18" s="52">
        <f t="shared" si="4"/>
        <v>-780816.3084769838</v>
      </c>
      <c r="M18" s="52">
        <f t="shared" si="4"/>
        <v>-780816.3084769838</v>
      </c>
      <c r="N18" s="52">
        <f t="shared" si="4"/>
        <v>-780816.3084769838</v>
      </c>
      <c r="O18" s="52">
        <f t="shared" si="4"/>
        <v>-780816.3084769838</v>
      </c>
      <c r="P18" s="52">
        <f t="shared" si="4"/>
        <v>-780816.3084769838</v>
      </c>
      <c r="Q18" s="52">
        <f t="shared" si="4"/>
        <v>-780816.3084769838</v>
      </c>
      <c r="R18" s="52">
        <f t="shared" si="4"/>
        <v>-780816.3084769838</v>
      </c>
      <c r="S18" s="52">
        <f t="shared" si="4"/>
        <v>-780816.3084769838</v>
      </c>
      <c r="T18" s="52">
        <f t="shared" si="4"/>
        <v>-780816.3084769838</v>
      </c>
      <c r="U18" s="52">
        <f t="shared" si="4"/>
        <v>-780816.3084769838</v>
      </c>
      <c r="V18" s="52">
        <f t="shared" si="4"/>
        <v>-780816.3084769838</v>
      </c>
    </row>
    <row r="19" spans="2:22" x14ac:dyDescent="0.2">
      <c r="B19" s="19" t="s">
        <v>120</v>
      </c>
      <c r="C19" s="52">
        <f>-(C11*G7)</f>
        <v>-348497.25</v>
      </c>
      <c r="D19" s="52">
        <f>-C21*$C$11</f>
        <v>-335527.67824569048</v>
      </c>
      <c r="E19" s="52">
        <f t="shared" ref="E19:V19" si="5">-D21*$C$11</f>
        <v>-322169.01933875168</v>
      </c>
      <c r="F19" s="52">
        <f t="shared" si="5"/>
        <v>-308409.60066460475</v>
      </c>
      <c r="G19" s="52">
        <f t="shared" si="5"/>
        <v>-294237.3994302334</v>
      </c>
      <c r="H19" s="52">
        <f t="shared" si="5"/>
        <v>-279640.03215883084</v>
      </c>
      <c r="I19" s="52">
        <f t="shared" si="5"/>
        <v>-264604.74386928626</v>
      </c>
      <c r="J19" s="52">
        <f t="shared" si="5"/>
        <v>-249118.39693105535</v>
      </c>
      <c r="K19" s="52">
        <f t="shared" si="5"/>
        <v>-233167.45958467748</v>
      </c>
      <c r="L19" s="52">
        <f t="shared" si="5"/>
        <v>-216737.9941179083</v>
      </c>
      <c r="M19" s="52">
        <f t="shared" si="5"/>
        <v>-199815.64468713605</v>
      </c>
      <c r="N19" s="52">
        <f t="shared" si="5"/>
        <v>-182385.62477344059</v>
      </c>
      <c r="O19" s="52">
        <f t="shared" si="5"/>
        <v>-164432.70426233433</v>
      </c>
      <c r="P19" s="52">
        <f t="shared" si="5"/>
        <v>-145941.19613589483</v>
      </c>
      <c r="Q19" s="52">
        <f t="shared" si="5"/>
        <v>-126894.94276566216</v>
      </c>
      <c r="R19" s="52">
        <f t="shared" si="5"/>
        <v>-107277.30179432251</v>
      </c>
      <c r="S19" s="52">
        <f t="shared" si="5"/>
        <v>-87071.131593842671</v>
      </c>
      <c r="T19" s="52">
        <f t="shared" si="5"/>
        <v>-66258.776287348446</v>
      </c>
      <c r="U19" s="52">
        <f t="shared" si="5"/>
        <v>-44822.050321659386</v>
      </c>
      <c r="V19" s="52">
        <f t="shared" si="5"/>
        <v>-22742.222576999655</v>
      </c>
    </row>
    <row r="20" spans="2:22" x14ac:dyDescent="0.2">
      <c r="B20" s="19" t="s">
        <v>121</v>
      </c>
      <c r="C20" s="52">
        <f>(C18+-C19)</f>
        <v>-432319.0584769838</v>
      </c>
      <c r="D20" s="52">
        <f>D18+-D19</f>
        <v>-445288.63023129333</v>
      </c>
      <c r="E20" s="52">
        <f t="shared" ref="E20:V20" si="6">E18+-E19</f>
        <v>-458647.28913823212</v>
      </c>
      <c r="F20" s="52">
        <f t="shared" si="6"/>
        <v>-472406.70781237906</v>
      </c>
      <c r="G20" s="52">
        <f t="shared" si="6"/>
        <v>-486578.9090467504</v>
      </c>
      <c r="H20" s="52">
        <f t="shared" si="6"/>
        <v>-501176.27631815296</v>
      </c>
      <c r="I20" s="52">
        <f t="shared" si="6"/>
        <v>-516211.56460769754</v>
      </c>
      <c r="J20" s="52">
        <f t="shared" si="6"/>
        <v>-531697.91154592845</v>
      </c>
      <c r="K20" s="52">
        <f t="shared" si="6"/>
        <v>-547648.84889230633</v>
      </c>
      <c r="L20" s="52">
        <f t="shared" si="6"/>
        <v>-564078.31435907551</v>
      </c>
      <c r="M20" s="52">
        <f t="shared" si="6"/>
        <v>-581000.66378984775</v>
      </c>
      <c r="N20" s="52">
        <f t="shared" si="6"/>
        <v>-598430.68370354315</v>
      </c>
      <c r="O20" s="52">
        <f t="shared" si="6"/>
        <v>-616383.60421464941</v>
      </c>
      <c r="P20" s="52">
        <f t="shared" si="6"/>
        <v>-634875.11234108894</v>
      </c>
      <c r="Q20" s="52">
        <f t="shared" si="6"/>
        <v>-653921.36571132159</v>
      </c>
      <c r="R20" s="52">
        <f t="shared" si="6"/>
        <v>-673539.00668266125</v>
      </c>
      <c r="S20" s="52">
        <f t="shared" si="6"/>
        <v>-693745.17688314116</v>
      </c>
      <c r="T20" s="52">
        <f t="shared" si="6"/>
        <v>-714557.53218963533</v>
      </c>
      <c r="U20" s="52">
        <f t="shared" si="6"/>
        <v>-735994.25815532438</v>
      </c>
      <c r="V20" s="52">
        <f t="shared" si="6"/>
        <v>-758074.08589998411</v>
      </c>
    </row>
    <row r="21" spans="2:22" x14ac:dyDescent="0.2">
      <c r="B21" s="19" t="s">
        <v>122</v>
      </c>
      <c r="C21" s="52">
        <f>G7+C20</f>
        <v>11184255.941523015</v>
      </c>
      <c r="D21" s="52">
        <f>C21+D20</f>
        <v>10738967.311291723</v>
      </c>
      <c r="E21" s="52">
        <f t="shared" ref="E21:V21" si="7">D21+E20</f>
        <v>10280320.022153491</v>
      </c>
      <c r="F21" s="52">
        <f t="shared" si="7"/>
        <v>9807913.314341113</v>
      </c>
      <c r="G21" s="52">
        <f t="shared" si="7"/>
        <v>9321334.4052943625</v>
      </c>
      <c r="H21" s="52">
        <f t="shared" si="7"/>
        <v>8820158.1289762091</v>
      </c>
      <c r="I21" s="52">
        <f t="shared" si="7"/>
        <v>8303946.5643685116</v>
      </c>
      <c r="J21" s="52">
        <f t="shared" si="7"/>
        <v>7772248.652822583</v>
      </c>
      <c r="K21" s="52">
        <f t="shared" si="7"/>
        <v>7224599.803930277</v>
      </c>
      <c r="L21" s="52">
        <f t="shared" si="7"/>
        <v>6660521.4895712016</v>
      </c>
      <c r="M21" s="52">
        <f t="shared" si="7"/>
        <v>6079520.8257813537</v>
      </c>
      <c r="N21" s="52">
        <f t="shared" si="7"/>
        <v>5481090.1420778111</v>
      </c>
      <c r="O21" s="52">
        <f t="shared" si="7"/>
        <v>4864706.5378631614</v>
      </c>
      <c r="P21" s="52">
        <f t="shared" si="7"/>
        <v>4229831.4255220722</v>
      </c>
      <c r="Q21" s="52">
        <f t="shared" si="7"/>
        <v>3575910.0598107507</v>
      </c>
      <c r="R21" s="52">
        <f t="shared" si="7"/>
        <v>2902371.0531280893</v>
      </c>
      <c r="S21" s="52">
        <f t="shared" si="7"/>
        <v>2208625.8762449482</v>
      </c>
      <c r="T21" s="52">
        <f t="shared" si="7"/>
        <v>1494068.3440553129</v>
      </c>
      <c r="U21" s="52">
        <f t="shared" si="7"/>
        <v>758074.08589998854</v>
      </c>
      <c r="V21" s="52">
        <f t="shared" si="7"/>
        <v>4.4237822294235229E-9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9798-4090-4452-B3CB-745FBBE9741F}">
  <dimension ref="B2:L8"/>
  <sheetViews>
    <sheetView topLeftCell="B1" zoomScale="80" zoomScaleNormal="80" workbookViewId="0">
      <selection activeCell="H5" sqref="H5"/>
    </sheetView>
  </sheetViews>
  <sheetFormatPr baseColWidth="10" defaultRowHeight="12.75" x14ac:dyDescent="0.2"/>
  <cols>
    <col min="2" max="2" width="31.5703125" bestFit="1" customWidth="1"/>
    <col min="4" max="5" width="12.85546875" bestFit="1" customWidth="1"/>
    <col min="6" max="11" width="13.85546875" bestFit="1" customWidth="1"/>
    <col min="12" max="12" width="15" bestFit="1" customWidth="1"/>
  </cols>
  <sheetData>
    <row r="2" spans="2:12" x14ac:dyDescent="0.2">
      <c r="C2" s="4">
        <v>2014</v>
      </c>
      <c r="D2" s="4">
        <v>2015</v>
      </c>
      <c r="E2" s="4">
        <v>2016</v>
      </c>
      <c r="F2" s="4">
        <v>2017</v>
      </c>
      <c r="G2" s="4">
        <v>2018</v>
      </c>
      <c r="H2" s="48">
        <v>2019</v>
      </c>
      <c r="I2" s="48">
        <v>2020</v>
      </c>
      <c r="J2" s="48">
        <v>2021</v>
      </c>
      <c r="K2" s="48">
        <v>2022</v>
      </c>
      <c r="L2" s="48">
        <v>2023</v>
      </c>
    </row>
    <row r="3" spans="2:12" x14ac:dyDescent="0.2">
      <c r="B3" s="19" t="s">
        <v>106</v>
      </c>
      <c r="D3" s="49">
        <f>'Balance Sheet Input'!J10</f>
        <v>1829267</v>
      </c>
      <c r="E3" s="49">
        <f>D5</f>
        <v>3403334</v>
      </c>
      <c r="F3" s="49">
        <f t="shared" ref="F3:L3" si="0">E5</f>
        <v>5982957</v>
      </c>
      <c r="G3" s="49">
        <f t="shared" si="0"/>
        <v>10027522</v>
      </c>
      <c r="H3" s="49">
        <f t="shared" si="0"/>
        <v>10969348</v>
      </c>
      <c r="I3" s="49">
        <f t="shared" si="0"/>
        <v>17519141.431638312</v>
      </c>
      <c r="J3" s="49">
        <f t="shared" si="0"/>
        <v>27979813.978164069</v>
      </c>
      <c r="K3" s="49">
        <f t="shared" si="0"/>
        <v>44686550.0405664</v>
      </c>
      <c r="L3" s="49">
        <f t="shared" si="0"/>
        <v>71368871.718963206</v>
      </c>
    </row>
    <row r="4" spans="2:12" x14ac:dyDescent="0.2">
      <c r="B4" s="19" t="s">
        <v>107</v>
      </c>
      <c r="D4" s="49">
        <f>D5-D3</f>
        <v>1574067</v>
      </c>
      <c r="E4" s="49">
        <f t="shared" ref="E4:G4" si="1">E5-E3</f>
        <v>2579623</v>
      </c>
      <c r="F4" s="49">
        <f t="shared" si="1"/>
        <v>4044565</v>
      </c>
      <c r="G4" s="49">
        <f t="shared" si="1"/>
        <v>941826</v>
      </c>
      <c r="H4" s="49">
        <f>H3*H8</f>
        <v>6549793.4316383125</v>
      </c>
      <c r="I4" s="49">
        <f t="shared" ref="I4:L4" si="2">I3*I8</f>
        <v>10460672.54652576</v>
      </c>
      <c r="J4" s="49">
        <f t="shared" si="2"/>
        <v>16706736.06240233</v>
      </c>
      <c r="K4" s="49">
        <f t="shared" si="2"/>
        <v>26682321.678396799</v>
      </c>
      <c r="L4" s="49">
        <f t="shared" si="2"/>
        <v>42614325.592396423</v>
      </c>
    </row>
    <row r="5" spans="2:12" x14ac:dyDescent="0.2">
      <c r="B5" s="19" t="s">
        <v>108</v>
      </c>
      <c r="D5" s="49">
        <f>'Balance Sheet Input'!K10</f>
        <v>3403334</v>
      </c>
      <c r="E5" s="49">
        <f>'Balance Sheet Input'!L10</f>
        <v>5982957</v>
      </c>
      <c r="F5" s="49">
        <f>'Balance Sheet Input'!M10</f>
        <v>10027522</v>
      </c>
      <c r="G5" s="49">
        <f>'Balance Sheet Input'!N10</f>
        <v>10969348</v>
      </c>
      <c r="H5" s="49">
        <f>H3+H4</f>
        <v>17519141.431638312</v>
      </c>
      <c r="I5" s="49">
        <f t="shared" ref="I5:L5" si="3">I3+I4</f>
        <v>27979813.978164069</v>
      </c>
      <c r="J5" s="49">
        <f t="shared" si="3"/>
        <v>44686550.0405664</v>
      </c>
      <c r="K5" s="49">
        <f t="shared" si="3"/>
        <v>71368871.718963206</v>
      </c>
      <c r="L5" s="49">
        <f t="shared" si="3"/>
        <v>113983197.31135963</v>
      </c>
    </row>
    <row r="6" spans="2:12" x14ac:dyDescent="0.2">
      <c r="B6" s="19"/>
    </row>
    <row r="7" spans="2:12" x14ac:dyDescent="0.2">
      <c r="B7" s="19"/>
    </row>
    <row r="8" spans="2:12" x14ac:dyDescent="0.2">
      <c r="B8" s="19" t="s">
        <v>109</v>
      </c>
      <c r="D8" s="39">
        <f>D4/D3</f>
        <v>0.86049056808000146</v>
      </c>
      <c r="E8" s="39">
        <f t="shared" ref="E8:G8" si="4">E4/E3</f>
        <v>0.75796939119110851</v>
      </c>
      <c r="F8" s="39">
        <f t="shared" si="4"/>
        <v>0.67601438552876114</v>
      </c>
      <c r="G8" s="39">
        <f t="shared" si="4"/>
        <v>9.3924102086238262E-2</v>
      </c>
      <c r="H8" s="39">
        <f>AVERAGE($D$8:$G$8)</f>
        <v>0.59709961172152737</v>
      </c>
      <c r="I8" s="39">
        <f t="shared" ref="I8:L8" si="5">AVERAGE($D$8:$G$8)</f>
        <v>0.59709961172152737</v>
      </c>
      <c r="J8" s="39">
        <f t="shared" si="5"/>
        <v>0.59709961172152737</v>
      </c>
      <c r="K8" s="39">
        <f t="shared" si="5"/>
        <v>0.59709961172152737</v>
      </c>
      <c r="L8" s="39">
        <f t="shared" si="5"/>
        <v>0.59709961172152737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EDE3-AA2E-4DE1-840F-1F50BF6A785F}">
  <dimension ref="B3:L8"/>
  <sheetViews>
    <sheetView topLeftCell="B1" zoomScale="80" zoomScaleNormal="80" workbookViewId="0">
      <selection activeCell="H6" sqref="H6"/>
    </sheetView>
  </sheetViews>
  <sheetFormatPr baseColWidth="10" defaultRowHeight="12.75" x14ac:dyDescent="0.2"/>
  <cols>
    <col min="2" max="2" width="15.5703125" bestFit="1" customWidth="1"/>
    <col min="3" max="3" width="13.42578125" bestFit="1" customWidth="1"/>
    <col min="4" max="7" width="12.85546875" bestFit="1" customWidth="1"/>
    <col min="8" max="9" width="13.85546875" bestFit="1" customWidth="1"/>
    <col min="10" max="12" width="15" bestFit="1" customWidth="1"/>
  </cols>
  <sheetData>
    <row r="3" spans="2:12" x14ac:dyDescent="0.2">
      <c r="C3" s="4">
        <v>2014</v>
      </c>
      <c r="D3" s="4">
        <v>2015</v>
      </c>
      <c r="E3" s="4">
        <v>2016</v>
      </c>
      <c r="F3" s="4">
        <v>2017</v>
      </c>
      <c r="G3" s="4">
        <v>2018</v>
      </c>
      <c r="H3" s="48">
        <v>2019</v>
      </c>
      <c r="I3" s="48">
        <v>2020</v>
      </c>
      <c r="J3" s="48">
        <v>2021</v>
      </c>
      <c r="K3" s="48">
        <v>2022</v>
      </c>
      <c r="L3" s="48">
        <v>2023</v>
      </c>
    </row>
    <row r="4" spans="2:12" x14ac:dyDescent="0.2">
      <c r="B4" s="19" t="s">
        <v>123</v>
      </c>
      <c r="D4" s="22">
        <f>C8</f>
        <v>911710</v>
      </c>
      <c r="E4" s="22">
        <f t="shared" ref="E4:L4" si="0">D8</f>
        <v>1083704</v>
      </c>
      <c r="F4" s="22">
        <f t="shared" si="0"/>
        <v>5538086</v>
      </c>
      <c r="G4" s="22">
        <f t="shared" si="0"/>
        <v>5234588</v>
      </c>
      <c r="H4" s="22">
        <f t="shared" si="0"/>
        <v>5267113</v>
      </c>
      <c r="I4" s="22">
        <f t="shared" si="0"/>
        <v>17489523.189150136</v>
      </c>
      <c r="J4" s="22">
        <f t="shared" si="0"/>
        <v>37776915.412154518</v>
      </c>
      <c r="K4" s="22">
        <f t="shared" si="0"/>
        <v>70563182.840028778</v>
      </c>
      <c r="L4" s="22">
        <f t="shared" si="0"/>
        <v>123307572.808919</v>
      </c>
    </row>
    <row r="5" spans="2:12" x14ac:dyDescent="0.2">
      <c r="B5" s="19" t="s">
        <v>124</v>
      </c>
      <c r="D5" s="22"/>
      <c r="E5" s="22"/>
      <c r="F5" s="22"/>
      <c r="G5" s="22"/>
      <c r="H5" s="33">
        <v>12790007</v>
      </c>
      <c r="I5" s="22">
        <v>20849250</v>
      </c>
      <c r="J5" s="22">
        <v>33342214</v>
      </c>
      <c r="K5" s="22">
        <v>53294248</v>
      </c>
      <c r="L5" s="22">
        <v>85159144</v>
      </c>
    </row>
    <row r="6" spans="2:12" x14ac:dyDescent="0.2">
      <c r="B6" s="19" t="s">
        <v>125</v>
      </c>
      <c r="D6" s="22">
        <f>'P&amp;L Input'!L17</f>
        <v>-888663</v>
      </c>
      <c r="E6" s="22">
        <f>'P&amp;L Input'!M17</f>
        <v>-674914</v>
      </c>
      <c r="F6" s="22">
        <f>'P&amp;L Input'!N17</f>
        <v>-1961400</v>
      </c>
      <c r="G6" s="22">
        <f>'P&amp;L Input'!O17</f>
        <v>-1427090</v>
      </c>
      <c r="H6" s="22">
        <f>'P&amp;L Input'!P17</f>
        <v>-567596.81084986473</v>
      </c>
      <c r="I6" s="22">
        <f>'P&amp;L Input'!Q17</f>
        <v>-561857.77699561964</v>
      </c>
      <c r="J6" s="22">
        <f>'P&amp;L Input'!R17</f>
        <v>-555946.57212574827</v>
      </c>
      <c r="K6" s="22">
        <f>'P&amp;L Input'!S17</f>
        <v>-549858.03110978042</v>
      </c>
      <c r="L6" s="22">
        <f>'P&amp;L Input'!T17</f>
        <v>-543586.83386333345</v>
      </c>
    </row>
    <row r="7" spans="2:12" x14ac:dyDescent="0.2">
      <c r="B7" s="19" t="s">
        <v>74</v>
      </c>
      <c r="D7" s="22"/>
      <c r="E7" s="22"/>
      <c r="F7" s="22"/>
      <c r="G7" s="22"/>
      <c r="H7" s="22"/>
      <c r="I7" s="22"/>
      <c r="J7" s="22"/>
      <c r="K7" s="22"/>
      <c r="L7" s="22"/>
    </row>
    <row r="8" spans="2:12" x14ac:dyDescent="0.2">
      <c r="B8" s="19" t="s">
        <v>126</v>
      </c>
      <c r="C8" s="57">
        <f>'Balance Sheet Input'!J19</f>
        <v>911710</v>
      </c>
      <c r="D8" s="22">
        <f>'Balance Sheet Input'!K19</f>
        <v>1083704</v>
      </c>
      <c r="E8" s="22">
        <f>'Balance Sheet Input'!L19</f>
        <v>5538086</v>
      </c>
      <c r="F8" s="22">
        <f>'Balance Sheet Input'!M19</f>
        <v>5234588</v>
      </c>
      <c r="G8" s="22">
        <f>'Balance Sheet Input'!N19</f>
        <v>5267113</v>
      </c>
      <c r="H8" s="22">
        <f>SUM(H4:H7)</f>
        <v>17489523.189150136</v>
      </c>
      <c r="I8" s="22">
        <f t="shared" ref="I8:L8" si="1">SUM(I4:I7)</f>
        <v>37776915.412154518</v>
      </c>
      <c r="J8" s="22">
        <f t="shared" si="1"/>
        <v>70563182.840028778</v>
      </c>
      <c r="K8" s="22">
        <f t="shared" si="1"/>
        <v>123307572.808919</v>
      </c>
      <c r="L8" s="22">
        <f t="shared" si="1"/>
        <v>207923129.97505566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P&amp;L Input</vt:lpstr>
      <vt:lpstr>FCF</vt:lpstr>
      <vt:lpstr>Balance Sheet Input</vt:lpstr>
      <vt:lpstr>pasivo financiero</vt:lpstr>
      <vt:lpstr>activos fijos</vt:lpstr>
      <vt:lpstr>variacion en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Jorge_Moreno</dc:creator>
  <cp:lastModifiedBy>marco antonio rubio martinez</cp:lastModifiedBy>
  <dcterms:created xsi:type="dcterms:W3CDTF">2019-11-13T21:24:54Z</dcterms:created>
  <dcterms:modified xsi:type="dcterms:W3CDTF">2021-05-04T03:39:26Z</dcterms:modified>
</cp:coreProperties>
</file>