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48849dacac0477a9/Documentos/Diplomas/Excel financiero/"/>
    </mc:Choice>
  </mc:AlternateContent>
  <xr:revisionPtr revIDLastSave="15" documentId="8_{385C4A07-7DFF-4189-8EE2-95293AE8A3CA}" xr6:coauthVersionLast="46" xr6:coauthVersionMax="46" xr10:uidLastSave="{A37CCE5A-DD6A-4C29-9BD3-ECB340F642E7}"/>
  <bookViews>
    <workbookView xWindow="-120" yWindow="-120" windowWidth="20730" windowHeight="11160" firstSheet="6" activeTab="6" xr2:uid="{00000000-000D-0000-FFFF-FFFF00000000}"/>
  </bookViews>
  <sheets>
    <sheet name="Base" sheetId="2" r:id="rId1"/>
    <sheet name="Balance 2016" sheetId="5" r:id="rId2"/>
    <sheet name="Balance 2017" sheetId="6" r:id="rId3"/>
    <sheet name="Balance 2018" sheetId="7" r:id="rId4"/>
    <sheet name="Balance" sheetId="4" r:id="rId5"/>
    <sheet name="Estado de resultados" sheetId="3" r:id="rId6"/>
    <sheet name="Cash Flow" sheetId="8" r:id="rId7"/>
    <sheet name="Ratios" sheetId="9" r:id="rId8"/>
    <sheet name="activos fijos" sheetId="10" r:id="rId9"/>
    <sheet name="pasivos financieros" sheetId="11" r:id="rId10"/>
    <sheet name="variaciones en equity" sheetId="12" r:id="rId11"/>
  </sheets>
  <definedNames>
    <definedName name="_xlnm._FilterDatabase" localSheetId="0" hidden="1">Base!$B$3:$F$438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9" l="1"/>
  <c r="J18" i="3" l="1"/>
  <c r="K18" i="3"/>
  <c r="L18" i="3"/>
  <c r="M18" i="3"/>
  <c r="I18" i="3"/>
  <c r="L27" i="3"/>
  <c r="L25" i="3"/>
  <c r="C4" i="4" l="1"/>
  <c r="C16" i="4"/>
  <c r="C15" i="4"/>
  <c r="C13" i="4"/>
  <c r="C12" i="4"/>
  <c r="C11" i="4"/>
  <c r="C10" i="4"/>
  <c r="C9" i="4"/>
  <c r="C8" i="4"/>
  <c r="C7" i="4"/>
  <c r="C6" i="4"/>
  <c r="C5" i="4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4" i="3" l="1"/>
  <c r="F4" i="3"/>
  <c r="D4" i="3"/>
  <c r="E7" i="3"/>
  <c r="F7" i="3"/>
  <c r="D7" i="3"/>
  <c r="F6" i="4"/>
  <c r="F8" i="10" s="1"/>
  <c r="D6" i="4"/>
  <c r="E5" i="10" s="1"/>
  <c r="E6" i="4"/>
  <c r="E8" i="10" s="1"/>
  <c r="E10" i="4"/>
  <c r="F10" i="4"/>
  <c r="D10" i="4"/>
  <c r="E15" i="4"/>
  <c r="D8" i="12" s="1"/>
  <c r="E4" i="12" s="1"/>
  <c r="D15" i="4"/>
  <c r="D4" i="12" s="1"/>
  <c r="C8" i="12" s="1"/>
  <c r="F15" i="4"/>
  <c r="E8" i="12" s="1"/>
  <c r="F4" i="12" s="1"/>
  <c r="D5" i="3"/>
  <c r="E5" i="3"/>
  <c r="F5" i="3"/>
  <c r="E9" i="3"/>
  <c r="D9" i="3"/>
  <c r="F9" i="3"/>
  <c r="F7" i="4"/>
  <c r="D7" i="4"/>
  <c r="E7" i="4"/>
  <c r="F11" i="4"/>
  <c r="F15" i="8" s="1"/>
  <c r="D11" i="4"/>
  <c r="E11" i="4"/>
  <c r="E11" i="3"/>
  <c r="D11" i="3"/>
  <c r="F11" i="3"/>
  <c r="E8" i="4"/>
  <c r="F8" i="4"/>
  <c r="D8" i="4"/>
  <c r="D22" i="4" s="1"/>
  <c r="D12" i="4"/>
  <c r="D8" i="11" s="1"/>
  <c r="E5" i="11" s="1"/>
  <c r="F12" i="4"/>
  <c r="E12" i="4"/>
  <c r="E4" i="4"/>
  <c r="D4" i="4"/>
  <c r="F4" i="4"/>
  <c r="D13" i="3"/>
  <c r="E13" i="3"/>
  <c r="F13" i="3"/>
  <c r="E5" i="4"/>
  <c r="F5" i="4"/>
  <c r="D5" i="4"/>
  <c r="E13" i="4"/>
  <c r="E23" i="4" s="1"/>
  <c r="D13" i="4"/>
  <c r="D23" i="4" s="1"/>
  <c r="F13" i="4"/>
  <c r="F23" i="4" s="1"/>
  <c r="K27" i="3"/>
  <c r="K25" i="3"/>
  <c r="I27" i="3"/>
  <c r="I25" i="3"/>
  <c r="J27" i="3"/>
  <c r="J25" i="3"/>
  <c r="E5" i="8" l="1"/>
  <c r="G13" i="3"/>
  <c r="E19" i="4"/>
  <c r="E4" i="9"/>
  <c r="E6" i="8"/>
  <c r="E9" i="4"/>
  <c r="E8" i="11"/>
  <c r="E10" i="8"/>
  <c r="F22" i="4"/>
  <c r="F9" i="8"/>
  <c r="C27" i="3"/>
  <c r="C25" i="3"/>
  <c r="C26" i="3"/>
  <c r="D20" i="4"/>
  <c r="D14" i="4"/>
  <c r="D7" i="9"/>
  <c r="D32" i="3"/>
  <c r="D31" i="3"/>
  <c r="G7" i="3"/>
  <c r="D30" i="3"/>
  <c r="F21" i="4"/>
  <c r="F7" i="8"/>
  <c r="F6" i="9"/>
  <c r="E4" i="8"/>
  <c r="G11" i="3"/>
  <c r="J23" i="4"/>
  <c r="K23" i="4"/>
  <c r="H23" i="4"/>
  <c r="G23" i="4"/>
  <c r="I23" i="4"/>
  <c r="E21" i="4"/>
  <c r="E7" i="8"/>
  <c r="E6" i="9"/>
  <c r="F19" i="4"/>
  <c r="F4" i="9"/>
  <c r="F6" i="8"/>
  <c r="F9" i="4"/>
  <c r="F8" i="11"/>
  <c r="F10" i="8"/>
  <c r="E22" i="4"/>
  <c r="H22" i="4" s="1"/>
  <c r="E9" i="8"/>
  <c r="E15" i="8"/>
  <c r="E6" i="10"/>
  <c r="E11" i="10" s="1"/>
  <c r="G9" i="3"/>
  <c r="F20" i="4"/>
  <c r="F8" i="8"/>
  <c r="F14" i="4"/>
  <c r="F7" i="9"/>
  <c r="G5" i="10"/>
  <c r="D5" i="9"/>
  <c r="D6" i="3"/>
  <c r="D8" i="3" s="1"/>
  <c r="D10" i="3" s="1"/>
  <c r="L24" i="3"/>
  <c r="M24" i="3"/>
  <c r="J24" i="3"/>
  <c r="I24" i="3"/>
  <c r="K24" i="3"/>
  <c r="F4" i="8"/>
  <c r="H11" i="3"/>
  <c r="E26" i="3"/>
  <c r="H5" i="3"/>
  <c r="E25" i="3"/>
  <c r="E27" i="3"/>
  <c r="E20" i="4"/>
  <c r="E8" i="8"/>
  <c r="E14" i="4"/>
  <c r="E7" i="9"/>
  <c r="C30" i="3"/>
  <c r="C31" i="3"/>
  <c r="C32" i="3"/>
  <c r="F5" i="9"/>
  <c r="I4" i="3"/>
  <c r="H4" i="3"/>
  <c r="F6" i="3"/>
  <c r="F5" i="8"/>
  <c r="H13" i="3"/>
  <c r="D19" i="4"/>
  <c r="D4" i="9"/>
  <c r="D9" i="4"/>
  <c r="D21" i="4"/>
  <c r="D6" i="9"/>
  <c r="H9" i="3"/>
  <c r="F6" i="10"/>
  <c r="G5" i="3"/>
  <c r="D25" i="3"/>
  <c r="D27" i="3"/>
  <c r="D26" i="3"/>
  <c r="F5" i="10"/>
  <c r="F7" i="10" s="1"/>
  <c r="E7" i="10"/>
  <c r="E31" i="3"/>
  <c r="E30" i="3"/>
  <c r="H7" i="3"/>
  <c r="E32" i="3"/>
  <c r="E5" i="9"/>
  <c r="E6" i="3"/>
  <c r="G4" i="3"/>
  <c r="M27" i="3"/>
  <c r="M25" i="3"/>
  <c r="F11" i="8" l="1"/>
  <c r="F12" i="10"/>
  <c r="J4" i="3"/>
  <c r="I5" i="3"/>
  <c r="I6" i="3"/>
  <c r="D15" i="9"/>
  <c r="D11" i="9"/>
  <c r="D12" i="3"/>
  <c r="D14" i="3" s="1"/>
  <c r="J22" i="4"/>
  <c r="E8" i="3"/>
  <c r="G6" i="3"/>
  <c r="M30" i="3"/>
  <c r="K30" i="3"/>
  <c r="I30" i="3"/>
  <c r="J30" i="3"/>
  <c r="L30" i="3"/>
  <c r="F11" i="10"/>
  <c r="J11" i="10" s="1"/>
  <c r="F8" i="9"/>
  <c r="F10" i="9"/>
  <c r="F16" i="4"/>
  <c r="I11" i="10"/>
  <c r="G11" i="10"/>
  <c r="G6" i="10" s="1"/>
  <c r="I9" i="3" s="1"/>
  <c r="H11" i="10"/>
  <c r="K11" i="10"/>
  <c r="H21" i="4"/>
  <c r="D10" i="9"/>
  <c r="D16" i="4"/>
  <c r="F5" i="11"/>
  <c r="E7" i="11"/>
  <c r="G22" i="4"/>
  <c r="G8" i="4" s="1"/>
  <c r="G9" i="8" s="1"/>
  <c r="K21" i="4"/>
  <c r="J21" i="4"/>
  <c r="G21" i="4"/>
  <c r="G5" i="4" s="1"/>
  <c r="G7" i="8" s="1"/>
  <c r="I21" i="4"/>
  <c r="K20" i="4"/>
  <c r="I20" i="4"/>
  <c r="H20" i="4"/>
  <c r="G20" i="4"/>
  <c r="G10" i="4" s="1"/>
  <c r="J20" i="4"/>
  <c r="K22" i="4"/>
  <c r="I22" i="4"/>
  <c r="F8" i="3"/>
  <c r="H6" i="3"/>
  <c r="E10" i="9"/>
  <c r="E16" i="4"/>
  <c r="D20" i="11"/>
  <c r="G5" i="11"/>
  <c r="D14" i="11"/>
  <c r="F7" i="11"/>
  <c r="E11" i="8"/>
  <c r="E12" i="10"/>
  <c r="K19" i="4"/>
  <c r="H19" i="4"/>
  <c r="H4" i="4" s="1"/>
  <c r="G19" i="4"/>
  <c r="G4" i="4" s="1"/>
  <c r="I19" i="4"/>
  <c r="J19" i="4"/>
  <c r="E8" i="9"/>
  <c r="G13" i="4"/>
  <c r="G10" i="8" s="1"/>
  <c r="K32" i="3"/>
  <c r="J32" i="3"/>
  <c r="L32" i="3"/>
  <c r="I32" i="3"/>
  <c r="M32" i="3"/>
  <c r="G4" i="8" l="1"/>
  <c r="I11" i="3"/>
  <c r="F10" i="3"/>
  <c r="F3" i="8"/>
  <c r="H8" i="3"/>
  <c r="M29" i="3"/>
  <c r="J29" i="3"/>
  <c r="J7" i="3" s="1"/>
  <c r="I29" i="3"/>
  <c r="I7" i="3" s="1"/>
  <c r="L29" i="3"/>
  <c r="K29" i="3"/>
  <c r="E3" i="8"/>
  <c r="G8" i="3"/>
  <c r="E10" i="3"/>
  <c r="J5" i="3"/>
  <c r="J6" i="3" s="1"/>
  <c r="K4" i="3"/>
  <c r="I4" i="4" s="1"/>
  <c r="H8" i="4"/>
  <c r="H9" i="8" s="1"/>
  <c r="G6" i="8"/>
  <c r="K12" i="10"/>
  <c r="I12" i="10"/>
  <c r="J12" i="10"/>
  <c r="H12" i="10"/>
  <c r="G12" i="10"/>
  <c r="G7" i="10" s="1"/>
  <c r="G11" i="8" s="1"/>
  <c r="E19" i="11"/>
  <c r="I19" i="11"/>
  <c r="M19" i="11"/>
  <c r="L19" i="11"/>
  <c r="F19" i="11"/>
  <c r="J19" i="11"/>
  <c r="D19" i="11"/>
  <c r="D21" i="11" s="1"/>
  <c r="G19" i="11"/>
  <c r="K19" i="11"/>
  <c r="H19" i="11"/>
  <c r="I8" i="4"/>
  <c r="I9" i="8" s="1"/>
  <c r="G8" i="10"/>
  <c r="G8" i="8"/>
  <c r="H6" i="8"/>
  <c r="H13" i="4"/>
  <c r="H10" i="8" s="1"/>
  <c r="I8" i="3"/>
  <c r="D14" i="9"/>
  <c r="D16" i="9"/>
  <c r="D13" i="9"/>
  <c r="I6" i="8" l="1"/>
  <c r="J8" i="3"/>
  <c r="G6" i="4"/>
  <c r="H5" i="10"/>
  <c r="E15" i="9"/>
  <c r="G10" i="3"/>
  <c r="E12" i="3"/>
  <c r="E11" i="9"/>
  <c r="H5" i="4"/>
  <c r="F11" i="9"/>
  <c r="H10" i="3"/>
  <c r="F15" i="9"/>
  <c r="F12" i="3"/>
  <c r="G7" i="11"/>
  <c r="G8" i="11" s="1"/>
  <c r="D22" i="11"/>
  <c r="E20" i="11" s="1"/>
  <c r="L4" i="3"/>
  <c r="K5" i="3"/>
  <c r="K7" i="3"/>
  <c r="I13" i="4"/>
  <c r="I10" i="8" s="1"/>
  <c r="E12" i="8"/>
  <c r="F12" i="8"/>
  <c r="I10" i="3"/>
  <c r="I12" i="3" s="1"/>
  <c r="G3" i="8"/>
  <c r="H10" i="4"/>
  <c r="H4" i="8" l="1"/>
  <c r="J11" i="3"/>
  <c r="G12" i="3"/>
  <c r="E14" i="3"/>
  <c r="E21" i="11"/>
  <c r="H3" i="8"/>
  <c r="H8" i="8"/>
  <c r="K6" i="3"/>
  <c r="K8" i="3" s="1"/>
  <c r="I10" i="4"/>
  <c r="I5" i="4"/>
  <c r="H5" i="11"/>
  <c r="G14" i="8"/>
  <c r="G12" i="4"/>
  <c r="G14" i="4" s="1"/>
  <c r="M4" i="3"/>
  <c r="L5" i="3"/>
  <c r="L7" i="3"/>
  <c r="J13" i="4"/>
  <c r="J10" i="8" s="1"/>
  <c r="J8" i="4"/>
  <c r="J9" i="8" s="1"/>
  <c r="J4" i="4"/>
  <c r="J6" i="8" s="1"/>
  <c r="F14" i="3"/>
  <c r="H12" i="3"/>
  <c r="H7" i="8"/>
  <c r="H6" i="10"/>
  <c r="J9" i="3" s="1"/>
  <c r="J10" i="3" s="1"/>
  <c r="J12" i="3" s="1"/>
  <c r="I13" i="3"/>
  <c r="G5" i="8" s="1"/>
  <c r="G12" i="8" s="1"/>
  <c r="I14" i="3"/>
  <c r="F6" i="12" s="1"/>
  <c r="H7" i="10"/>
  <c r="H11" i="8" s="1"/>
  <c r="J13" i="3" l="1"/>
  <c r="H5" i="8" s="1"/>
  <c r="J14" i="3"/>
  <c r="G6" i="12" s="1"/>
  <c r="G7" i="12" s="1"/>
  <c r="H13" i="8" s="1"/>
  <c r="I8" i="8"/>
  <c r="H8" i="10"/>
  <c r="E6" i="12"/>
  <c r="E7" i="12" s="1"/>
  <c r="F13" i="8" s="1"/>
  <c r="F17" i="8" s="1"/>
  <c r="F14" i="9"/>
  <c r="F16" i="9"/>
  <c r="F13" i="9"/>
  <c r="H14" i="3"/>
  <c r="I3" i="8"/>
  <c r="F7" i="12"/>
  <c r="G13" i="8" s="1"/>
  <c r="L6" i="3"/>
  <c r="L8" i="3" s="1"/>
  <c r="J5" i="4"/>
  <c r="J7" i="8" s="1"/>
  <c r="J10" i="4"/>
  <c r="H8" i="11"/>
  <c r="H7" i="11"/>
  <c r="E22" i="11"/>
  <c r="F20" i="11" s="1"/>
  <c r="G17" i="8"/>
  <c r="G7" i="4" s="1"/>
  <c r="M5" i="3"/>
  <c r="M6" i="3" s="1"/>
  <c r="M8" i="3" s="1"/>
  <c r="K3" i="8" s="1"/>
  <c r="M7" i="3"/>
  <c r="K13" i="4"/>
  <c r="K10" i="8" s="1"/>
  <c r="K4" i="4"/>
  <c r="K6" i="8" s="1"/>
  <c r="K8" i="4"/>
  <c r="K9" i="8" s="1"/>
  <c r="I7" i="8"/>
  <c r="H12" i="8"/>
  <c r="D6" i="12"/>
  <c r="D7" i="12" s="1"/>
  <c r="E13" i="8" s="1"/>
  <c r="E17" i="8" s="1"/>
  <c r="E14" i="9"/>
  <c r="E16" i="9"/>
  <c r="E13" i="9"/>
  <c r="G14" i="3"/>
  <c r="G9" i="4" l="1"/>
  <c r="K11" i="3"/>
  <c r="I4" i="8"/>
  <c r="F21" i="11"/>
  <c r="J3" i="8"/>
  <c r="K5" i="4"/>
  <c r="K7" i="8" s="1"/>
  <c r="K10" i="4"/>
  <c r="H14" i="8"/>
  <c r="H17" i="8" s="1"/>
  <c r="H7" i="4" s="1"/>
  <c r="I5" i="11"/>
  <c r="H12" i="4"/>
  <c r="H14" i="4" s="1"/>
  <c r="F8" i="12"/>
  <c r="J8" i="8"/>
  <c r="I5" i="10"/>
  <c r="H6" i="4"/>
  <c r="I8" i="11" l="1"/>
  <c r="H9" i="4"/>
  <c r="G4" i="12"/>
  <c r="G8" i="12" s="1"/>
  <c r="G15" i="4"/>
  <c r="G16" i="4" s="1"/>
  <c r="K8" i="8"/>
  <c r="I6" i="10"/>
  <c r="K9" i="3" s="1"/>
  <c r="K10" i="3" s="1"/>
  <c r="K12" i="3" s="1"/>
  <c r="I7" i="10"/>
  <c r="I11" i="8" s="1"/>
  <c r="F22" i="11"/>
  <c r="G20" i="11" s="1"/>
  <c r="I7" i="11"/>
  <c r="K13" i="3" l="1"/>
  <c r="I5" i="8" s="1"/>
  <c r="I12" i="8" s="1"/>
  <c r="I17" i="8" s="1"/>
  <c r="I7" i="4" s="1"/>
  <c r="K14" i="3"/>
  <c r="H6" i="12" s="1"/>
  <c r="H7" i="12" s="1"/>
  <c r="I13" i="8" s="1"/>
  <c r="I8" i="10"/>
  <c r="H15" i="4"/>
  <c r="H16" i="4" s="1"/>
  <c r="H4" i="12"/>
  <c r="J5" i="11"/>
  <c r="I14" i="8"/>
  <c r="I12" i="4"/>
  <c r="I14" i="4" s="1"/>
  <c r="G21" i="11"/>
  <c r="L11" i="3"/>
  <c r="J4" i="8"/>
  <c r="J8" i="11" l="1"/>
  <c r="G22" i="11"/>
  <c r="H20" i="11" s="1"/>
  <c r="J7" i="11"/>
  <c r="H8" i="12"/>
  <c r="J5" i="10"/>
  <c r="I6" i="4"/>
  <c r="I9" i="4" s="1"/>
  <c r="J6" i="10" l="1"/>
  <c r="L9" i="3" s="1"/>
  <c r="L10" i="3" s="1"/>
  <c r="L12" i="3" s="1"/>
  <c r="J7" i="10"/>
  <c r="J11" i="8" s="1"/>
  <c r="I15" i="4"/>
  <c r="I16" i="4" s="1"/>
  <c r="I4" i="12"/>
  <c r="H21" i="11"/>
  <c r="K4" i="8"/>
  <c r="M11" i="3"/>
  <c r="K5" i="11"/>
  <c r="J12" i="4"/>
  <c r="J14" i="4" s="1"/>
  <c r="J14" i="8"/>
  <c r="L13" i="3" l="1"/>
  <c r="J5" i="8" s="1"/>
  <c r="J12" i="8" s="1"/>
  <c r="L14" i="3"/>
  <c r="I6" i="12" s="1"/>
  <c r="I7" i="12" s="1"/>
  <c r="J13" i="8" s="1"/>
  <c r="H22" i="11"/>
  <c r="I20" i="11" s="1"/>
  <c r="I21" i="11" s="1"/>
  <c r="I22" i="11" s="1"/>
  <c r="J20" i="11" s="1"/>
  <c r="J21" i="11" s="1"/>
  <c r="J22" i="11" s="1"/>
  <c r="K20" i="11" s="1"/>
  <c r="K21" i="11" s="1"/>
  <c r="K22" i="11" s="1"/>
  <c r="L20" i="11" s="1"/>
  <c r="L21" i="11" s="1"/>
  <c r="L22" i="11" s="1"/>
  <c r="M20" i="11" s="1"/>
  <c r="M21" i="11" s="1"/>
  <c r="M22" i="11" s="1"/>
  <c r="K7" i="11"/>
  <c r="K8" i="11"/>
  <c r="J8" i="10"/>
  <c r="K12" i="4" l="1"/>
  <c r="K14" i="4" s="1"/>
  <c r="K14" i="8"/>
  <c r="J17" i="8"/>
  <c r="J7" i="4" s="1"/>
  <c r="K5" i="10"/>
  <c r="J6" i="4"/>
  <c r="I8" i="12"/>
  <c r="K6" i="10" l="1"/>
  <c r="M9" i="3" s="1"/>
  <c r="M10" i="3" s="1"/>
  <c r="M12" i="3" s="1"/>
  <c r="K7" i="10"/>
  <c r="K11" i="8" s="1"/>
  <c r="J15" i="4"/>
  <c r="J16" i="4" s="1"/>
  <c r="J4" i="12"/>
  <c r="J9" i="4"/>
  <c r="K8" i="10" l="1"/>
  <c r="K6" i="4" s="1"/>
  <c r="M13" i="3"/>
  <c r="K5" i="8" s="1"/>
  <c r="K12" i="8" s="1"/>
  <c r="M14" i="3" l="1"/>
  <c r="J6" i="12" s="1"/>
  <c r="J7" i="12" l="1"/>
  <c r="K13" i="8" s="1"/>
  <c r="K17" i="8" s="1"/>
  <c r="K7" i="4" s="1"/>
  <c r="K9" i="4" s="1"/>
  <c r="J8" i="12" l="1"/>
  <c r="K15" i="4" s="1"/>
  <c r="K16" i="4" s="1"/>
</calcChain>
</file>

<file path=xl/sharedStrings.xml><?xml version="1.0" encoding="utf-8"?>
<sst xmlns="http://schemas.openxmlformats.org/spreadsheetml/2006/main" count="1241" uniqueCount="234">
  <si>
    <t>Date</t>
  </si>
  <si>
    <t>Year</t>
  </si>
  <si>
    <t>Financials</t>
  </si>
  <si>
    <t>Amount</t>
  </si>
  <si>
    <t>Mapping</t>
  </si>
  <si>
    <t>Revenue - Supermarkets</t>
  </si>
  <si>
    <t>Revenue</t>
  </si>
  <si>
    <t>Cogs - Supermarkets</t>
  </si>
  <si>
    <t>Cost of goods sold</t>
  </si>
  <si>
    <t>Revenue - Discounters</t>
  </si>
  <si>
    <t>Cogs - Discounters</t>
  </si>
  <si>
    <t>Revenue - Grocery</t>
  </si>
  <si>
    <t>Cogs - Grocery</t>
  </si>
  <si>
    <t>Revenue - Retail</t>
  </si>
  <si>
    <t>Cogs - Retail</t>
  </si>
  <si>
    <t>Operating expenses</t>
  </si>
  <si>
    <t>D&amp;A</t>
  </si>
  <si>
    <t>Interest expenses</t>
  </si>
  <si>
    <t>Taxes</t>
  </si>
  <si>
    <t>Other revenue</t>
  </si>
  <si>
    <t>Ingresos</t>
  </si>
  <si>
    <t>costo de los bienes vendidos</t>
  </si>
  <si>
    <t>ingreso bruto</t>
  </si>
  <si>
    <t>Gross Profit</t>
  </si>
  <si>
    <t>gastos operativos</t>
  </si>
  <si>
    <t>EBITDA</t>
  </si>
  <si>
    <t>EBIT</t>
  </si>
  <si>
    <t>gastos en intereses</t>
  </si>
  <si>
    <t>EBT</t>
  </si>
  <si>
    <t>impuestos</t>
  </si>
  <si>
    <t>ingreso neto</t>
  </si>
  <si>
    <t>Net Income</t>
  </si>
  <si>
    <t>Δ% 16 - 17</t>
  </si>
  <si>
    <t>Δ% 17 - 18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</si>
  <si>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</si>
  <si>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</si>
  <si>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</si>
  <si>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</si>
  <si>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</si>
  <si>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</si>
  <si>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</si>
  <si>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 xml:space="preserve"> 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</si>
  <si>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</si>
  <si>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</si>
  <si>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</si>
  <si>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</si>
  <si>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</si>
  <si>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</si>
  <si>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</si>
  <si>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</si>
  <si>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</si>
  <si>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</si>
  <si>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</si>
  <si>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</si>
  <si>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</si>
  <si>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</si>
  <si>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</si>
  <si>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</si>
  <si>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</si>
  <si>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</si>
  <si>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</si>
  <si>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</si>
  <si>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</si>
  <si>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</si>
  <si>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</si>
  <si>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</si>
  <si>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</si>
  <si>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</si>
  <si>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</si>
  <si>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</si>
  <si>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</si>
  <si>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</si>
  <si>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</si>
  <si>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</si>
  <si>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</si>
  <si>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</si>
  <si>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</si>
  <si>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Liabilities</t>
  </si>
  <si>
    <t>taxes</t>
  </si>
  <si>
    <t>change in trade receivable</t>
  </si>
  <si>
    <t>change in inventory</t>
  </si>
  <si>
    <t>change in trade payable</t>
  </si>
  <si>
    <t>change in other assets</t>
  </si>
  <si>
    <t>change in other liabilities</t>
  </si>
  <si>
    <t>capex</t>
  </si>
  <si>
    <t>operating cash flow</t>
  </si>
  <si>
    <t>dividends</t>
  </si>
  <si>
    <t>change in financial liabilites</t>
  </si>
  <si>
    <t>change in provisions</t>
  </si>
  <si>
    <t>change in equity</t>
  </si>
  <si>
    <t>net cash flow</t>
  </si>
  <si>
    <t>interest expenses</t>
  </si>
  <si>
    <t>variaciones de cuentas del activo</t>
  </si>
  <si>
    <t>=-[hoy-ayer]</t>
  </si>
  <si>
    <t>variaciones de cuentas del pasivo</t>
  </si>
  <si>
    <t>=[hoy -ayer]</t>
  </si>
  <si>
    <t>efectivo</t>
  </si>
  <si>
    <t>otros activos</t>
  </si>
  <si>
    <t>total activos</t>
  </si>
  <si>
    <t>cuentas por pagar</t>
  </si>
  <si>
    <t>provisiones</t>
  </si>
  <si>
    <t>pasivos financieros</t>
  </si>
  <si>
    <t>otros pasivos</t>
  </si>
  <si>
    <t>total pasivos</t>
  </si>
  <si>
    <t>capital</t>
  </si>
  <si>
    <t>pasivos &amp; capital</t>
  </si>
  <si>
    <t>cuentas por cobrar</t>
  </si>
  <si>
    <t>iInventario</t>
  </si>
  <si>
    <t>propiedad, planta y equipo</t>
  </si>
  <si>
    <t>gasto en intereses</t>
  </si>
  <si>
    <t>variación en otros activos</t>
  </si>
  <si>
    <t>variación en otros pasivos</t>
  </si>
  <si>
    <t>variación en cuentas por cobrar</t>
  </si>
  <si>
    <t>variación en inventario</t>
  </si>
  <si>
    <t>variación en cuentas por pagar</t>
  </si>
  <si>
    <t>gastos en capital</t>
  </si>
  <si>
    <t>flujo de caja operativo</t>
  </si>
  <si>
    <t>dividendos</t>
  </si>
  <si>
    <t>variación en pasivos financieros</t>
  </si>
  <si>
    <t>variación en provisiones</t>
  </si>
  <si>
    <t>variación en capital</t>
  </si>
  <si>
    <t>flujo de caja neto</t>
  </si>
  <si>
    <t>Earnings before Interest, Taxes, Depreciation and Amortization</t>
  </si>
  <si>
    <t>Beneficios antes de intereses, impuestos, depreciación y amortización</t>
  </si>
  <si>
    <t xml:space="preserve">Δ% </t>
  </si>
  <si>
    <t>hoy / ayer -1</t>
  </si>
  <si>
    <t>P&amp;G</t>
  </si>
  <si>
    <t>SUMA</t>
  </si>
  <si>
    <t>multiplicamos por -1</t>
  </si>
  <si>
    <t>INDICE &amp; COINCIDIR</t>
  </si>
  <si>
    <t>BALANCE ACTIVO</t>
  </si>
  <si>
    <t>BALANCE PASIVO</t>
  </si>
  <si>
    <t>SUMA.SI.CONJUNTO</t>
  </si>
  <si>
    <t>depreciación y amortización</t>
  </si>
  <si>
    <t>INDICE - COINCIDIR</t>
  </si>
  <si>
    <t>promedio días de pago</t>
  </si>
  <si>
    <t>DPO</t>
  </si>
  <si>
    <t>days payable outstanding</t>
  </si>
  <si>
    <t>rotacion de inventario</t>
  </si>
  <si>
    <t>DIO</t>
  </si>
  <si>
    <t>days inventory outstanding</t>
  </si>
  <si>
    <t>promedio días de cobro</t>
  </si>
  <si>
    <t>DSO</t>
  </si>
  <si>
    <t>days sales outstanding</t>
  </si>
  <si>
    <t>porcentaje de los beneficio neto dentro de los ingreso</t>
  </si>
  <si>
    <t>Net Income %</t>
  </si>
  <si>
    <t>INGRESO NETO / REVENUE</t>
  </si>
  <si>
    <t>porcentaje de beneficios antes de impuestos dentro de los ingresos</t>
  </si>
  <si>
    <t>EBIT %</t>
  </si>
  <si>
    <t>EBIT / REVENUE</t>
  </si>
  <si>
    <t>retorno sobre capital</t>
  </si>
  <si>
    <t>ROE</t>
  </si>
  <si>
    <t>ingreso neto / equity</t>
  </si>
  <si>
    <t>mide la capacidad de generar ganancias</t>
  </si>
  <si>
    <t>ROA</t>
  </si>
  <si>
    <t>ingreso neto / total activos</t>
  </si>
  <si>
    <t>KPIs</t>
  </si>
  <si>
    <t>cuánto dinero tengo para cubrir mis intereses</t>
  </si>
  <si>
    <t>Interest coverage</t>
  </si>
  <si>
    <t>EBIT / gastos en intereses</t>
  </si>
  <si>
    <t>ratio de deuda</t>
  </si>
  <si>
    <t>Debt ratio</t>
  </si>
  <si>
    <t>LIABILITIES / ASSETS</t>
  </si>
  <si>
    <t>Solvency ratios</t>
  </si>
  <si>
    <t>ciclo completo de negocio</t>
  </si>
  <si>
    <t>Net Trading Cycle</t>
  </si>
  <si>
    <t>en promedio en cuántos dias la empresa paga sus cuentas</t>
  </si>
  <si>
    <t>(CxP / COGS)*360</t>
  </si>
  <si>
    <t>días promedio de rotacion de inventario</t>
  </si>
  <si>
    <t>(INVENTARIO / COGS)*360</t>
  </si>
  <si>
    <t>en promedio en cuántos dias la empresa recoge los dineros producto de las ventas realizadas</t>
  </si>
  <si>
    <t>(CxC / revenue)*360</t>
  </si>
  <si>
    <t>cuánto tengo en activos corriente para cubrir los pasivos corrientes</t>
  </si>
  <si>
    <t>Current ratio</t>
  </si>
  <si>
    <t>CxC + inventario + efectivo / CxP + Provisiones</t>
  </si>
  <si>
    <t>Liquidity ratios</t>
  </si>
  <si>
    <t>REVENUE</t>
  </si>
  <si>
    <t>Positivo</t>
  </si>
  <si>
    <t>Base</t>
  </si>
  <si>
    <t>Negativo</t>
  </si>
  <si>
    <t>Escenarios</t>
  </si>
  <si>
    <t>COGS</t>
  </si>
  <si>
    <t>OPEX</t>
  </si>
  <si>
    <t xml:space="preserve">Base </t>
  </si>
  <si>
    <t>Proyecciones</t>
  </si>
  <si>
    <t>proyección</t>
  </si>
  <si>
    <t>(DSO * REVENUE)/360</t>
  </si>
  <si>
    <t>(DIO * COGS)/360</t>
  </si>
  <si>
    <t>% OTHER ASSETS * REVENUE</t>
  </si>
  <si>
    <t>(DPO * COGS)/360</t>
  </si>
  <si>
    <t>NO VARIA, FIJAMOS VALOR 2018</t>
  </si>
  <si>
    <t>% OTHER LIABILITIES * REVENUE</t>
  </si>
  <si>
    <t>check</t>
  </si>
  <si>
    <t>ASSETS - (LIABILITIES + EQUITY)</t>
  </si>
  <si>
    <t>CxC / REVENUE*360</t>
  </si>
  <si>
    <t>la proyeccion se hace con promedios</t>
  </si>
  <si>
    <t>CxP / COGS*360</t>
  </si>
  <si>
    <t>INVENTARIO / COGS*360</t>
  </si>
  <si>
    <t>OTHER ASSETS / REVENUE</t>
  </si>
  <si>
    <t>Other assets %</t>
  </si>
  <si>
    <t>OTHER LIABILITIES / REVENUE</t>
  </si>
  <si>
    <t>Other liabilities %</t>
  </si>
  <si>
    <t>Capex como un % del valor inicial PP&amp;E</t>
  </si>
  <si>
    <t xml:space="preserve">D&amp;A como un % del valor inicial PP&amp;E </t>
  </si>
  <si>
    <t>valor final PP&amp;E</t>
  </si>
  <si>
    <t>cash flow</t>
  </si>
  <si>
    <t>Capex</t>
  </si>
  <si>
    <t>valor inicial PP&amp;E</t>
  </si>
  <si>
    <t>balance</t>
  </si>
  <si>
    <t>residual</t>
  </si>
  <si>
    <t>intereses</t>
  </si>
  <si>
    <t>cuota</t>
  </si>
  <si>
    <t>periodo</t>
  </si>
  <si>
    <t>realizamos una tabla de amortizacion para saber cual es el valor a pagar en capital</t>
  </si>
  <si>
    <t>interes</t>
  </si>
  <si>
    <t>plazo</t>
  </si>
  <si>
    <t>suponemos que la deuda restante a dic del 18 debe ser pagada en 10 años pagando un interes anual de 9% y calculamos una cuota</t>
  </si>
  <si>
    <t>valor final deuda</t>
  </si>
  <si>
    <t>principal repayment</t>
  </si>
  <si>
    <t>new debt</t>
  </si>
  <si>
    <t>valor inicial deuda</t>
  </si>
  <si>
    <t>asumimos un pago de dividendo de 40% sobre el ingreso neto</t>
  </si>
  <si>
    <t>dividends as a % of net income 40%</t>
  </si>
  <si>
    <t>balance &amp; cash flow</t>
  </si>
  <si>
    <t>valor final equity</t>
  </si>
  <si>
    <t>net income (loss)</t>
  </si>
  <si>
    <t>increase capital</t>
  </si>
  <si>
    <t>valor inicial equity</t>
  </si>
  <si>
    <t>$ in million</t>
  </si>
  <si>
    <t>Activos fijos</t>
  </si>
  <si>
    <t>Anterior+cashflow</t>
  </si>
  <si>
    <t>Pasivos financieros</t>
  </si>
  <si>
    <t>Variación de Equity</t>
  </si>
  <si>
    <t>VALOR FINAL HOY-VALOR FINAL AYER-NET INCOME- 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</si>
</sst>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#,##0.0_);\(#,##0.0\)"/>
    <numFmt numFmtId="166" formatCode="_-&quot;$&quot;\ * #,##0_-;\-&quot;$&quot;\ * #,##0_-;_-&quot;$&quot;\ * &quot;-&quot;??_-;_-@_-"/>
    <numFmt numFmtId="167" formatCode="0.0%"/>
    <numFmt numFmtId="168" formatCode="_(* #,##0.00_);_(* \(#,##0.00\);_(* &quot;-&quot;??_);_(@_)"/>
    <numFmt numFmtId="169" formatCode="_(* #,##0.0_);_(* \(#,##0.0\);_(* &quot;-&quot;??_);_(@_)"/>
    <numFmt numFmtId="170" formatCode="0.0"/>
    <numFmt numFmtId="171" formatCode="#,##0.0"/>
    <numFmt numFmtId="172" formatCode="_-* #,##0_-;\-* #,##0_-;_-* &quot;-&quot;??_-;_-@_-"/>
    <numFmt numFmtId="173" formatCode="#,##0_);\(#,##0\)"/>
    <numFmt numFmtId="174" formatCode="&quot;$&quot;\ #,##0.00;[Red]\-&quot;$&quot;\ #,##0.00"/>
    <numFmt numFmtId="175" formatCode="_-&quot;$&quot;\ * #,##0.0_-;\-&quot;$&quot;\ * #,##0.0_-;_-&quot;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2" borderId="1">
      <alignment horizontal="right"/>
    </xf>
    <xf numFmtId="165" fontId="3" fillId="2" borderId="0"/>
    <xf numFmtId="165" fontId="5" fillId="2" borderId="2"/>
    <xf numFmtId="165" fontId="5" fillId="2" borderId="3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3"/>
    <xf numFmtId="0" fontId="2" fillId="0" borderId="0" xfId="3" applyNumberFormat="1"/>
    <xf numFmtId="0" fontId="2" fillId="0" borderId="0" xfId="3" applyAlignment="1">
      <alignment horizontal="right"/>
    </xf>
    <xf numFmtId="17" fontId="2" fillId="0" borderId="0" xfId="3" applyNumberFormat="1" applyAlignment="1">
      <alignment horizontal="left"/>
    </xf>
    <xf numFmtId="0" fontId="2" fillId="0" borderId="0" xfId="3" applyNumberFormat="1" applyAlignment="1">
      <alignment horizontal="left"/>
    </xf>
    <xf numFmtId="0" fontId="2" fillId="0" borderId="0" xfId="3" applyAlignment="1">
      <alignment horizontal="left"/>
    </xf>
    <xf numFmtId="1" fontId="2" fillId="0" borderId="0" xfId="3" applyNumberFormat="1" applyAlignment="1">
      <alignment horizontal="right"/>
    </xf>
    <xf numFmtId="0" fontId="3" fillId="2" borderId="0" xfId="0" applyFont="1" applyFill="1"/>
    <xf numFmtId="0" fontId="4" fillId="2" borderId="1" xfId="4" applyFill="1" applyAlignment="1">
      <alignment horizontal="left"/>
    </xf>
    <xf numFmtId="165" fontId="3" fillId="2" borderId="0" xfId="5" applyFill="1"/>
    <xf numFmtId="165" fontId="5" fillId="2" borderId="2" xfId="6" applyFill="1"/>
    <xf numFmtId="165" fontId="5" fillId="2" borderId="3" xfId="7" applyFill="1"/>
    <xf numFmtId="0" fontId="4" fillId="2" borderId="1" xfId="4" applyFill="1">
      <alignment horizontal="right"/>
    </xf>
    <xf numFmtId="166" fontId="0" fillId="0" borderId="0" xfId="1" applyNumberFormat="1" applyFont="1"/>
    <xf numFmtId="0" fontId="6" fillId="0" borderId="0" xfId="0" applyFont="1" applyAlignment="1">
      <alignment horizontal="center"/>
    </xf>
    <xf numFmtId="9" fontId="0" fillId="0" borderId="0" xfId="2" applyFont="1"/>
    <xf numFmtId="167" fontId="0" fillId="0" borderId="0" xfId="2" applyNumberFormat="1" applyFont="1"/>
    <xf numFmtId="0" fontId="4" fillId="2" borderId="1" xfId="3" applyFont="1" applyFill="1" applyBorder="1"/>
    <xf numFmtId="0" fontId="3" fillId="2" borderId="0" xfId="3" applyFont="1" applyFill="1"/>
    <xf numFmtId="169" fontId="3" fillId="2" borderId="0" xfId="8" applyNumberFormat="1" applyFont="1" applyFill="1"/>
    <xf numFmtId="0" fontId="5" fillId="2" borderId="2" xfId="3" applyFont="1" applyFill="1" applyBorder="1"/>
    <xf numFmtId="169" fontId="5" fillId="2" borderId="2" xfId="8" applyNumberFormat="1" applyFont="1" applyFill="1" applyBorder="1"/>
    <xf numFmtId="0" fontId="5" fillId="2" borderId="0" xfId="3" applyFont="1" applyFill="1" applyBorder="1"/>
    <xf numFmtId="169" fontId="5" fillId="2" borderId="0" xfId="8" applyNumberFormat="1" applyFont="1" applyFill="1" applyBorder="1"/>
    <xf numFmtId="170" fontId="3" fillId="2" borderId="0" xfId="3" applyNumberFormat="1" applyFont="1" applyFill="1"/>
    <xf numFmtId="0" fontId="5" fillId="2" borderId="3" xfId="3" applyFont="1" applyFill="1" applyBorder="1"/>
    <xf numFmtId="169" fontId="5" fillId="2" borderId="3" xfId="3" applyNumberFormat="1" applyFont="1" applyFill="1" applyBorder="1"/>
    <xf numFmtId="170" fontId="5" fillId="2" borderId="3" xfId="3" applyNumberFormat="1" applyFont="1" applyFill="1" applyBorder="1"/>
    <xf numFmtId="170" fontId="5" fillId="2" borderId="2" xfId="3" applyNumberFormat="1" applyFont="1" applyFill="1" applyBorder="1"/>
    <xf numFmtId="0" fontId="0" fillId="0" borderId="4" xfId="0" applyBorder="1"/>
    <xf numFmtId="1" fontId="0" fillId="0" borderId="0" xfId="0" applyNumberFormat="1"/>
    <xf numFmtId="0" fontId="7" fillId="0" borderId="0" xfId="0" quotePrefix="1" applyFont="1"/>
    <xf numFmtId="1" fontId="0" fillId="0" borderId="4" xfId="0" applyNumberFormat="1" applyBorder="1"/>
    <xf numFmtId="0" fontId="8" fillId="0" borderId="0" xfId="0" applyFont="1"/>
    <xf numFmtId="0" fontId="9" fillId="2" borderId="0" xfId="0" applyFont="1" applyFill="1"/>
    <xf numFmtId="1" fontId="0" fillId="4" borderId="0" xfId="0" applyNumberFormat="1" applyFill="1"/>
    <xf numFmtId="0" fontId="0" fillId="4" borderId="0" xfId="0" applyFill="1"/>
    <xf numFmtId="0" fontId="0" fillId="4" borderId="4" xfId="0" applyFill="1" applyBorder="1"/>
    <xf numFmtId="171" fontId="0" fillId="0" borderId="0" xfId="0" applyNumberFormat="1"/>
    <xf numFmtId="0" fontId="10" fillId="5" borderId="0" xfId="0" applyFont="1" applyFill="1"/>
    <xf numFmtId="0" fontId="0" fillId="0" borderId="0" xfId="0" applyAlignment="1">
      <alignment horizontal="right"/>
    </xf>
    <xf numFmtId="10" fontId="1" fillId="0" borderId="0" xfId="2" applyNumberFormat="1" applyFont="1" applyBorder="1"/>
    <xf numFmtId="9" fontId="0" fillId="0" borderId="0" xfId="2" applyFont="1" applyBorder="1"/>
    <xf numFmtId="9" fontId="0" fillId="5" borderId="0" xfId="2" applyFont="1" applyFill="1"/>
    <xf numFmtId="0" fontId="11" fillId="5" borderId="0" xfId="0" applyFont="1" applyFill="1"/>
    <xf numFmtId="172" fontId="0" fillId="0" borderId="0" xfId="9" applyNumberFormat="1" applyFont="1" applyBorder="1"/>
    <xf numFmtId="0" fontId="12" fillId="5" borderId="0" xfId="0" applyFont="1" applyFill="1"/>
    <xf numFmtId="43" fontId="0" fillId="0" borderId="0" xfId="2" applyNumberFormat="1" applyFont="1"/>
    <xf numFmtId="43" fontId="0" fillId="0" borderId="0" xfId="9" applyFont="1"/>
    <xf numFmtId="0" fontId="4" fillId="2" borderId="1" xfId="4">
      <alignment horizontal="right"/>
    </xf>
    <xf numFmtId="0" fontId="4" fillId="2" borderId="0" xfId="4" applyFill="1" applyBorder="1">
      <alignment horizontal="right"/>
    </xf>
    <xf numFmtId="9" fontId="0" fillId="0" borderId="0" xfId="0" applyNumberFormat="1"/>
    <xf numFmtId="0" fontId="0" fillId="0" borderId="0" xfId="0" applyFill="1"/>
    <xf numFmtId="0" fontId="0" fillId="6" borderId="0" xfId="0" applyFill="1"/>
    <xf numFmtId="0" fontId="0" fillId="0" borderId="8" xfId="0" applyFill="1" applyBorder="1"/>
    <xf numFmtId="0" fontId="0" fillId="0" borderId="8" xfId="0" applyBorder="1"/>
    <xf numFmtId="9" fontId="0" fillId="0" borderId="8" xfId="2" applyNumberFormat="1" applyFont="1" applyBorder="1"/>
    <xf numFmtId="0" fontId="0" fillId="6" borderId="8" xfId="0" applyFill="1" applyBorder="1"/>
    <xf numFmtId="9" fontId="0" fillId="0" borderId="8" xfId="2" applyFont="1" applyBorder="1"/>
    <xf numFmtId="44" fontId="0" fillId="0" borderId="0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164" fontId="0" fillId="0" borderId="7" xfId="1" applyFont="1" applyBorder="1"/>
    <xf numFmtId="44" fontId="0" fillId="0" borderId="2" xfId="0" applyNumberFormat="1" applyBorder="1"/>
    <xf numFmtId="44" fontId="0" fillId="0" borderId="7" xfId="0" applyNumberFormat="1" applyBorder="1"/>
    <xf numFmtId="44" fontId="0" fillId="0" borderId="3" xfId="0" applyNumberFormat="1" applyBorder="1"/>
    <xf numFmtId="166" fontId="0" fillId="8" borderId="0" xfId="1" applyNumberFormat="1" applyFont="1" applyFill="1"/>
    <xf numFmtId="166" fontId="0" fillId="3" borderId="0" xfId="1" applyNumberFormat="1" applyFont="1" applyFill="1"/>
    <xf numFmtId="0" fontId="14" fillId="3" borderId="0" xfId="0" applyFont="1" applyFill="1"/>
    <xf numFmtId="171" fontId="14" fillId="3" borderId="0" xfId="0" applyNumberFormat="1" applyFont="1" applyFill="1"/>
    <xf numFmtId="165" fontId="10" fillId="8" borderId="0" xfId="5" applyFont="1" applyFill="1"/>
    <xf numFmtId="173" fontId="10" fillId="8" borderId="0" xfId="5" applyNumberFormat="1" applyFont="1" applyFill="1"/>
    <xf numFmtId="167" fontId="10" fillId="8" borderId="0" xfId="2" applyNumberFormat="1" applyFont="1" applyFill="1"/>
    <xf numFmtId="1" fontId="0" fillId="3" borderId="0" xfId="0" applyNumberFormat="1" applyFill="1"/>
    <xf numFmtId="166" fontId="0" fillId="0" borderId="0" xfId="0" applyNumberFormat="1"/>
    <xf numFmtId="174" fontId="0" fillId="0" borderId="0" xfId="0" applyNumberFormat="1"/>
    <xf numFmtId="167" fontId="0" fillId="0" borderId="0" xfId="0" applyNumberFormat="1"/>
    <xf numFmtId="175" fontId="0" fillId="0" borderId="0" xfId="1" applyNumberFormat="1" applyFont="1"/>
    <xf numFmtId="0" fontId="4" fillId="2" borderId="1" xfId="4" applyAlignment="1">
      <alignment horizontal="left"/>
    </xf>
    <xf numFmtId="1" fontId="0" fillId="3" borderId="7" xfId="0" applyNumberFormat="1" applyFill="1" applyBorder="1"/>
    <xf numFmtId="43" fontId="0" fillId="3" borderId="7" xfId="9" applyFont="1" applyFill="1" applyBorder="1"/>
    <xf numFmtId="0" fontId="13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0">
    <cellStyle name="General" xfId="5" xr:uid="{00000000-0005-0000-0000-000000000000}"/>
    <cellStyle name="Header" xfId="4" xr:uid="{00000000-0005-0000-0000-000001000000}"/>
    <cellStyle name="Millares" xfId="9" builtinId="3"/>
    <cellStyle name="Millares 2" xfId="8" xr:uid="{00000000-0005-0000-0000-000002000000}"/>
    <cellStyle name="Moneda" xfId="1" builtinId="4"/>
    <cellStyle name="Normal" xfId="0" builtinId="0"/>
    <cellStyle name="Normal 2" xfId="3" xr:uid="{00000000-0005-0000-0000-000005000000}"/>
    <cellStyle name="Porcentaje" xfId="2" builtinId="5"/>
    <cellStyle name="Subtotal" xfId="6" xr:uid="{00000000-0005-0000-0000-000007000000}"/>
    <cellStyle name="Total Formatting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438"/>
  <sheetViews>
    <sheetView topLeftCell="D1" workbookViewId="0">
      <selection activeCell="F8" sqref="F8"/>
    </sheetView>
  </sheetViews>
  <sheetFormatPr baseColWidth="10" defaultColWidth="8.7109375" defaultRowHeight="15" x14ac:dyDescent="0.25"/>
  <cols>
    <col min="1" max="1" width="8.7109375" style="1"/>
    <col min="2" max="2" width="14.5703125" style="1" customWidth="1"/>
    <col min="3" max="3" width="14.5703125" style="2" customWidth="1"/>
    <col min="4" max="4" width="38.140625" style="1" customWidth="1"/>
    <col min="5" max="5" width="8.7109375" style="1"/>
    <col min="6" max="6" width="20" style="1" customWidth="1"/>
    <col min="7" max="16384" width="8.7109375" style="1"/>
  </cols>
  <sheetData>
    <row r="3" spans="2:6" x14ac:dyDescent="0.25">
      <c r="B3" s="1" t="s">
        <v>0</v>
      </c>
      <c r="C3" s="2" t="s">
        <v>1</v>
      </c>
      <c r="D3" s="1" t="s">
        <v>2</v>
      </c>
      <c r="E3" s="3" t="s">
        <v>3</v>
      </c>
      <c r="F3" s="1" t="s">
        <v>4</v>
      </c>
    </row>
    <row r="4" spans="2:6" x14ac:dyDescent="0.25">
      <c r="B4" s="4">
        <v>42370</v>
      </c>
      <c r="C4" s="5">
        <f>YEAR(B4)</f>
        <v>2016</v>
      </c>
      <c r="D4" s="6" t="s">
        <v>5</v>
      </c>
      <c r="E4" s="3">
        <v>72</v>
      </c>
      <c r="F4" s="1" t="s">
        <v>6</v>
      </c>
    </row>
    <row r="5" spans="2:6" x14ac:dyDescent="0.25">
      <c r="B5" s="4">
        <v>42370</v>
      </c>
      <c r="C5" s="5">
        <f t="shared" ref="C5:C68" si="0">YEAR(B5)</f>
        <v>2016</v>
      </c>
      <c r="D5" s="6" t="s">
        <v>7</v>
      </c>
      <c r="E5" s="3">
        <v>47</v>
      </c>
      <c r="F5" s="1" t="s">
        <v>8</v>
      </c>
    </row>
    <row r="6" spans="2:6" x14ac:dyDescent="0.25">
      <c r="B6" s="4">
        <v>42370</v>
      </c>
      <c r="C6" s="5">
        <f t="shared" si="0"/>
        <v>2016</v>
      </c>
      <c r="D6" s="6" t="s">
        <v>9</v>
      </c>
      <c r="E6" s="3">
        <v>37</v>
      </c>
      <c r="F6" s="1" t="s">
        <v>6</v>
      </c>
    </row>
    <row r="7" spans="2:6" x14ac:dyDescent="0.25">
      <c r="B7" s="4">
        <v>42370</v>
      </c>
      <c r="C7" s="5">
        <f t="shared" si="0"/>
        <v>2016</v>
      </c>
      <c r="D7" s="6" t="s">
        <v>10</v>
      </c>
      <c r="E7" s="3">
        <v>20</v>
      </c>
      <c r="F7" s="1" t="s">
        <v>8</v>
      </c>
    </row>
    <row r="8" spans="2:6" x14ac:dyDescent="0.25">
      <c r="B8" s="4">
        <v>42370</v>
      </c>
      <c r="C8" s="5">
        <f t="shared" si="0"/>
        <v>2016</v>
      </c>
      <c r="D8" s="6" t="s">
        <v>11</v>
      </c>
      <c r="E8" s="3">
        <v>36</v>
      </c>
      <c r="F8" s="1" t="s">
        <v>6</v>
      </c>
    </row>
    <row r="9" spans="2:6" x14ac:dyDescent="0.25">
      <c r="B9" s="4">
        <v>42370</v>
      </c>
      <c r="C9" s="5">
        <f t="shared" si="0"/>
        <v>2016</v>
      </c>
      <c r="D9" s="6" t="s">
        <v>12</v>
      </c>
      <c r="E9" s="3">
        <v>17</v>
      </c>
      <c r="F9" s="1" t="s">
        <v>8</v>
      </c>
    </row>
    <row r="10" spans="2:6" x14ac:dyDescent="0.25">
      <c r="B10" s="4">
        <v>42370</v>
      </c>
      <c r="C10" s="5">
        <f t="shared" si="0"/>
        <v>2016</v>
      </c>
      <c r="D10" s="6" t="s">
        <v>13</v>
      </c>
      <c r="E10" s="3">
        <v>57</v>
      </c>
      <c r="F10" s="1" t="s">
        <v>6</v>
      </c>
    </row>
    <row r="11" spans="2:6" x14ac:dyDescent="0.25">
      <c r="B11" s="4">
        <v>42370</v>
      </c>
      <c r="C11" s="5">
        <f t="shared" si="0"/>
        <v>2016</v>
      </c>
      <c r="D11" s="6" t="s">
        <v>14</v>
      </c>
      <c r="E11" s="3">
        <v>32</v>
      </c>
      <c r="F11" s="1" t="s">
        <v>8</v>
      </c>
    </row>
    <row r="12" spans="2:6" x14ac:dyDescent="0.25">
      <c r="B12" s="4">
        <v>42370</v>
      </c>
      <c r="C12" s="5">
        <f t="shared" si="0"/>
        <v>2016</v>
      </c>
      <c r="D12" s="6" t="s">
        <v>15</v>
      </c>
      <c r="E12" s="3">
        <v>95.399999999999991</v>
      </c>
      <c r="F12" s="1" t="s">
        <v>15</v>
      </c>
    </row>
    <row r="13" spans="2:6" x14ac:dyDescent="0.25">
      <c r="B13" s="4">
        <v>42370</v>
      </c>
      <c r="C13" s="5">
        <f t="shared" si="0"/>
        <v>2016</v>
      </c>
      <c r="D13" s="6" t="s">
        <v>16</v>
      </c>
      <c r="E13" s="3">
        <v>2</v>
      </c>
      <c r="F13" s="1" t="s">
        <v>16</v>
      </c>
    </row>
    <row r="14" spans="2:6" x14ac:dyDescent="0.25">
      <c r="B14" s="4">
        <v>42370</v>
      </c>
      <c r="C14" s="5">
        <f t="shared" si="0"/>
        <v>2016</v>
      </c>
      <c r="D14" s="6" t="s">
        <v>17</v>
      </c>
      <c r="E14" s="3">
        <v>5</v>
      </c>
      <c r="F14" s="1" t="s">
        <v>17</v>
      </c>
    </row>
    <row r="15" spans="2:6" x14ac:dyDescent="0.25">
      <c r="B15" s="4">
        <v>42370</v>
      </c>
      <c r="C15" s="5">
        <f t="shared" si="0"/>
        <v>2016</v>
      </c>
      <c r="D15" s="6" t="s">
        <v>18</v>
      </c>
      <c r="E15" s="7">
        <v>17.29</v>
      </c>
      <c r="F15" s="6" t="s">
        <v>18</v>
      </c>
    </row>
    <row r="16" spans="2:6" x14ac:dyDescent="0.25">
      <c r="B16" s="4">
        <v>42401</v>
      </c>
      <c r="C16" s="5">
        <f t="shared" si="0"/>
        <v>2016</v>
      </c>
      <c r="D16" s="6" t="s">
        <v>5</v>
      </c>
      <c r="E16" s="3">
        <v>75</v>
      </c>
      <c r="F16" s="1" t="s">
        <v>6</v>
      </c>
    </row>
    <row r="17" spans="2:6" x14ac:dyDescent="0.25">
      <c r="B17" s="4">
        <v>42401</v>
      </c>
      <c r="C17" s="5">
        <f t="shared" si="0"/>
        <v>2016</v>
      </c>
      <c r="D17" s="6" t="s">
        <v>7</v>
      </c>
      <c r="E17" s="3">
        <v>55</v>
      </c>
      <c r="F17" s="1" t="s">
        <v>8</v>
      </c>
    </row>
    <row r="18" spans="2:6" x14ac:dyDescent="0.25">
      <c r="B18" s="4">
        <v>42401</v>
      </c>
      <c r="C18" s="5">
        <f t="shared" si="0"/>
        <v>2016</v>
      </c>
      <c r="D18" s="6" t="s">
        <v>9</v>
      </c>
      <c r="E18" s="3">
        <v>26</v>
      </c>
      <c r="F18" s="1" t="s">
        <v>6</v>
      </c>
    </row>
    <row r="19" spans="2:6" x14ac:dyDescent="0.25">
      <c r="B19" s="4">
        <v>42401</v>
      </c>
      <c r="C19" s="5">
        <f t="shared" si="0"/>
        <v>2016</v>
      </c>
      <c r="D19" s="6" t="s">
        <v>10</v>
      </c>
      <c r="E19" s="3">
        <v>18</v>
      </c>
      <c r="F19" s="1" t="s">
        <v>8</v>
      </c>
    </row>
    <row r="20" spans="2:6" x14ac:dyDescent="0.25">
      <c r="B20" s="4">
        <v>42401</v>
      </c>
      <c r="C20" s="5">
        <f t="shared" si="0"/>
        <v>2016</v>
      </c>
      <c r="D20" s="6" t="s">
        <v>11</v>
      </c>
      <c r="E20" s="3">
        <v>42</v>
      </c>
      <c r="F20" s="1" t="s">
        <v>6</v>
      </c>
    </row>
    <row r="21" spans="2:6" x14ac:dyDescent="0.25">
      <c r="B21" s="4">
        <v>42401</v>
      </c>
      <c r="C21" s="5">
        <f t="shared" si="0"/>
        <v>2016</v>
      </c>
      <c r="D21" s="6" t="s">
        <v>12</v>
      </c>
      <c r="E21" s="3">
        <v>18</v>
      </c>
      <c r="F21" s="1" t="s">
        <v>8</v>
      </c>
    </row>
    <row r="22" spans="2:6" x14ac:dyDescent="0.25">
      <c r="B22" s="4">
        <v>42401</v>
      </c>
      <c r="C22" s="5">
        <f t="shared" si="0"/>
        <v>2016</v>
      </c>
      <c r="D22" s="6" t="s">
        <v>13</v>
      </c>
      <c r="E22" s="3">
        <v>54</v>
      </c>
      <c r="F22" s="1" t="s">
        <v>6</v>
      </c>
    </row>
    <row r="23" spans="2:6" x14ac:dyDescent="0.25">
      <c r="B23" s="4">
        <v>42401</v>
      </c>
      <c r="C23" s="5">
        <f t="shared" si="0"/>
        <v>2016</v>
      </c>
      <c r="D23" s="6" t="s">
        <v>14</v>
      </c>
      <c r="E23" s="3">
        <v>33</v>
      </c>
      <c r="F23" s="1" t="s">
        <v>8</v>
      </c>
    </row>
    <row r="24" spans="2:6" x14ac:dyDescent="0.25">
      <c r="B24" s="4">
        <v>42401</v>
      </c>
      <c r="C24" s="5">
        <f t="shared" si="0"/>
        <v>2016</v>
      </c>
      <c r="D24" s="6" t="s">
        <v>15</v>
      </c>
      <c r="E24" s="3">
        <v>96.3</v>
      </c>
      <c r="F24" s="1" t="s">
        <v>15</v>
      </c>
    </row>
    <row r="25" spans="2:6" x14ac:dyDescent="0.25">
      <c r="B25" s="4">
        <v>42401</v>
      </c>
      <c r="C25" s="5">
        <f t="shared" si="0"/>
        <v>2016</v>
      </c>
      <c r="D25" s="6" t="s">
        <v>16</v>
      </c>
      <c r="E25" s="3">
        <v>2</v>
      </c>
      <c r="F25" s="1" t="s">
        <v>16</v>
      </c>
    </row>
    <row r="26" spans="2:6" x14ac:dyDescent="0.25">
      <c r="B26" s="4">
        <v>42401</v>
      </c>
      <c r="C26" s="5">
        <f t="shared" si="0"/>
        <v>2016</v>
      </c>
      <c r="D26" s="6" t="s">
        <v>17</v>
      </c>
      <c r="E26" s="3">
        <v>5</v>
      </c>
      <c r="F26" s="1" t="s">
        <v>17</v>
      </c>
    </row>
    <row r="27" spans="2:6" x14ac:dyDescent="0.25">
      <c r="B27" s="4">
        <v>42401</v>
      </c>
      <c r="C27" s="5">
        <f t="shared" si="0"/>
        <v>2016</v>
      </c>
      <c r="D27" s="6" t="s">
        <v>18</v>
      </c>
      <c r="E27" s="7">
        <v>17</v>
      </c>
      <c r="F27" s="6" t="s">
        <v>18</v>
      </c>
    </row>
    <row r="28" spans="2:6" x14ac:dyDescent="0.25">
      <c r="B28" s="4">
        <v>42430</v>
      </c>
      <c r="C28" s="5">
        <f t="shared" si="0"/>
        <v>2016</v>
      </c>
      <c r="D28" s="6" t="s">
        <v>5</v>
      </c>
      <c r="E28" s="3">
        <v>69</v>
      </c>
      <c r="F28" s="1" t="s">
        <v>6</v>
      </c>
    </row>
    <row r="29" spans="2:6" x14ac:dyDescent="0.25">
      <c r="B29" s="4">
        <v>42430</v>
      </c>
      <c r="C29" s="5">
        <f t="shared" si="0"/>
        <v>2016</v>
      </c>
      <c r="D29" s="6" t="s">
        <v>7</v>
      </c>
      <c r="E29" s="3">
        <v>58</v>
      </c>
      <c r="F29" s="1" t="s">
        <v>8</v>
      </c>
    </row>
    <row r="30" spans="2:6" x14ac:dyDescent="0.25">
      <c r="B30" s="4">
        <v>42430</v>
      </c>
      <c r="C30" s="5">
        <f t="shared" si="0"/>
        <v>2016</v>
      </c>
      <c r="D30" s="6" t="s">
        <v>9</v>
      </c>
      <c r="E30" s="3">
        <v>32</v>
      </c>
      <c r="F30" s="1" t="s">
        <v>6</v>
      </c>
    </row>
    <row r="31" spans="2:6" x14ac:dyDescent="0.25">
      <c r="B31" s="4">
        <v>42430</v>
      </c>
      <c r="C31" s="5">
        <f t="shared" si="0"/>
        <v>2016</v>
      </c>
      <c r="D31" s="6" t="s">
        <v>10</v>
      </c>
      <c r="E31" s="3">
        <v>12</v>
      </c>
      <c r="F31" s="1" t="s">
        <v>8</v>
      </c>
    </row>
    <row r="32" spans="2:6" x14ac:dyDescent="0.25">
      <c r="B32" s="4">
        <v>42430</v>
      </c>
      <c r="C32" s="5">
        <f t="shared" si="0"/>
        <v>2016</v>
      </c>
      <c r="D32" s="6" t="s">
        <v>11</v>
      </c>
      <c r="E32" s="3">
        <v>41</v>
      </c>
      <c r="F32" s="1" t="s">
        <v>6</v>
      </c>
    </row>
    <row r="33" spans="2:6" x14ac:dyDescent="0.25">
      <c r="B33" s="4">
        <v>42430</v>
      </c>
      <c r="C33" s="5">
        <f t="shared" si="0"/>
        <v>2016</v>
      </c>
      <c r="D33" s="6" t="s">
        <v>12</v>
      </c>
      <c r="E33" s="3">
        <v>11</v>
      </c>
      <c r="F33" s="1" t="s">
        <v>8</v>
      </c>
    </row>
    <row r="34" spans="2:6" x14ac:dyDescent="0.25">
      <c r="B34" s="4">
        <v>42430</v>
      </c>
      <c r="C34" s="5">
        <f t="shared" si="0"/>
        <v>2016</v>
      </c>
      <c r="D34" s="6" t="s">
        <v>13</v>
      </c>
      <c r="E34" s="3">
        <v>64</v>
      </c>
      <c r="F34" s="1" t="s">
        <v>6</v>
      </c>
    </row>
    <row r="35" spans="2:6" x14ac:dyDescent="0.25">
      <c r="B35" s="4">
        <v>42430</v>
      </c>
      <c r="C35" s="5">
        <f t="shared" si="0"/>
        <v>2016</v>
      </c>
      <c r="D35" s="6" t="s">
        <v>14</v>
      </c>
      <c r="E35" s="3">
        <v>35</v>
      </c>
      <c r="F35" s="1" t="s">
        <v>8</v>
      </c>
    </row>
    <row r="36" spans="2:6" x14ac:dyDescent="0.25">
      <c r="B36" s="4">
        <v>42430</v>
      </c>
      <c r="C36" s="5">
        <f t="shared" si="0"/>
        <v>2016</v>
      </c>
      <c r="D36" s="6" t="s">
        <v>15</v>
      </c>
      <c r="E36" s="3">
        <v>96.6</v>
      </c>
      <c r="F36" s="1" t="s">
        <v>15</v>
      </c>
    </row>
    <row r="37" spans="2:6" x14ac:dyDescent="0.25">
      <c r="B37" s="4">
        <v>42430</v>
      </c>
      <c r="C37" s="5">
        <f t="shared" si="0"/>
        <v>2016</v>
      </c>
      <c r="D37" s="6" t="s">
        <v>16</v>
      </c>
      <c r="E37" s="3">
        <v>3</v>
      </c>
      <c r="F37" s="1" t="s">
        <v>16</v>
      </c>
    </row>
    <row r="38" spans="2:6" x14ac:dyDescent="0.25">
      <c r="B38" s="4">
        <v>42430</v>
      </c>
      <c r="C38" s="5">
        <f t="shared" si="0"/>
        <v>2016</v>
      </c>
      <c r="D38" s="6" t="s">
        <v>17</v>
      </c>
      <c r="E38" s="3">
        <v>5</v>
      </c>
      <c r="F38" s="1" t="s">
        <v>17</v>
      </c>
    </row>
    <row r="39" spans="2:6" x14ac:dyDescent="0.25">
      <c r="B39" s="4">
        <v>42430</v>
      </c>
      <c r="C39" s="5">
        <f t="shared" si="0"/>
        <v>2016</v>
      </c>
      <c r="D39" s="6" t="s">
        <v>18</v>
      </c>
      <c r="E39" s="7">
        <v>17.850000000000001</v>
      </c>
      <c r="F39" s="6" t="s">
        <v>18</v>
      </c>
    </row>
    <row r="40" spans="2:6" x14ac:dyDescent="0.25">
      <c r="B40" s="4">
        <v>42461</v>
      </c>
      <c r="C40" s="5">
        <f t="shared" si="0"/>
        <v>2016</v>
      </c>
      <c r="D40" s="6" t="s">
        <v>5</v>
      </c>
      <c r="E40" s="3">
        <v>68</v>
      </c>
      <c r="F40" s="1" t="s">
        <v>6</v>
      </c>
    </row>
    <row r="41" spans="2:6" x14ac:dyDescent="0.25">
      <c r="B41" s="4">
        <v>42461</v>
      </c>
      <c r="C41" s="5">
        <f t="shared" si="0"/>
        <v>2016</v>
      </c>
      <c r="D41" s="6" t="s">
        <v>7</v>
      </c>
      <c r="E41" s="3">
        <v>50</v>
      </c>
      <c r="F41" s="1" t="s">
        <v>8</v>
      </c>
    </row>
    <row r="42" spans="2:6" x14ac:dyDescent="0.25">
      <c r="B42" s="4">
        <v>42461</v>
      </c>
      <c r="C42" s="5">
        <f t="shared" si="0"/>
        <v>2016</v>
      </c>
      <c r="D42" s="6" t="s">
        <v>9</v>
      </c>
      <c r="E42" s="3">
        <v>29</v>
      </c>
      <c r="F42" s="1" t="s">
        <v>6</v>
      </c>
    </row>
    <row r="43" spans="2:6" x14ac:dyDescent="0.25">
      <c r="B43" s="4">
        <v>42461</v>
      </c>
      <c r="C43" s="5">
        <f t="shared" si="0"/>
        <v>2016</v>
      </c>
      <c r="D43" s="6" t="s">
        <v>10</v>
      </c>
      <c r="E43" s="3">
        <v>19</v>
      </c>
      <c r="F43" s="1" t="s">
        <v>8</v>
      </c>
    </row>
    <row r="44" spans="2:6" x14ac:dyDescent="0.25">
      <c r="B44" s="4">
        <v>42461</v>
      </c>
      <c r="C44" s="5">
        <f t="shared" si="0"/>
        <v>2016</v>
      </c>
      <c r="D44" s="6" t="s">
        <v>11</v>
      </c>
      <c r="E44" s="3">
        <v>38</v>
      </c>
      <c r="F44" s="1" t="s">
        <v>6</v>
      </c>
    </row>
    <row r="45" spans="2:6" x14ac:dyDescent="0.25">
      <c r="B45" s="4">
        <v>42461</v>
      </c>
      <c r="C45" s="5">
        <f t="shared" si="0"/>
        <v>2016</v>
      </c>
      <c r="D45" s="6" t="s">
        <v>12</v>
      </c>
      <c r="E45" s="3">
        <v>15</v>
      </c>
      <c r="F45" s="1" t="s">
        <v>8</v>
      </c>
    </row>
    <row r="46" spans="2:6" x14ac:dyDescent="0.25">
      <c r="B46" s="4">
        <v>42461</v>
      </c>
      <c r="C46" s="5">
        <f t="shared" si="0"/>
        <v>2016</v>
      </c>
      <c r="D46" s="6" t="s">
        <v>13</v>
      </c>
      <c r="E46" s="3">
        <v>60</v>
      </c>
      <c r="F46" s="1" t="s">
        <v>6</v>
      </c>
    </row>
    <row r="47" spans="2:6" x14ac:dyDescent="0.25">
      <c r="B47" s="4">
        <v>42461</v>
      </c>
      <c r="C47" s="5">
        <f t="shared" si="0"/>
        <v>2016</v>
      </c>
      <c r="D47" s="6" t="s">
        <v>14</v>
      </c>
      <c r="E47" s="3">
        <v>32</v>
      </c>
      <c r="F47" s="1" t="s">
        <v>8</v>
      </c>
    </row>
    <row r="48" spans="2:6" x14ac:dyDescent="0.25">
      <c r="B48" s="4">
        <v>42461</v>
      </c>
      <c r="C48" s="5">
        <f t="shared" si="0"/>
        <v>2016</v>
      </c>
      <c r="D48" s="6" t="s">
        <v>15</v>
      </c>
      <c r="E48" s="3">
        <v>99.52</v>
      </c>
      <c r="F48" s="1" t="s">
        <v>15</v>
      </c>
    </row>
    <row r="49" spans="2:6" x14ac:dyDescent="0.25">
      <c r="B49" s="4">
        <v>42461</v>
      </c>
      <c r="C49" s="5">
        <f t="shared" si="0"/>
        <v>2016</v>
      </c>
      <c r="D49" s="6" t="s">
        <v>16</v>
      </c>
      <c r="E49" s="3">
        <v>2</v>
      </c>
      <c r="F49" s="1" t="s">
        <v>16</v>
      </c>
    </row>
    <row r="50" spans="2:6" x14ac:dyDescent="0.25">
      <c r="B50" s="4">
        <v>42461</v>
      </c>
      <c r="C50" s="5">
        <f t="shared" si="0"/>
        <v>2016</v>
      </c>
      <c r="D50" s="6" t="s">
        <v>17</v>
      </c>
      <c r="E50" s="3">
        <v>5</v>
      </c>
      <c r="F50" s="1" t="s">
        <v>17</v>
      </c>
    </row>
    <row r="51" spans="2:6" x14ac:dyDescent="0.25">
      <c r="B51" s="4">
        <v>42461</v>
      </c>
      <c r="C51" s="5">
        <f t="shared" si="0"/>
        <v>2016</v>
      </c>
      <c r="D51" s="6" t="s">
        <v>18</v>
      </c>
      <c r="E51" s="7">
        <v>16.89</v>
      </c>
      <c r="F51" s="6" t="s">
        <v>18</v>
      </c>
    </row>
    <row r="52" spans="2:6" x14ac:dyDescent="0.25">
      <c r="B52" s="4">
        <v>42491</v>
      </c>
      <c r="C52" s="5">
        <f t="shared" si="0"/>
        <v>2016</v>
      </c>
      <c r="D52" s="6" t="s">
        <v>5</v>
      </c>
      <c r="E52" s="3">
        <v>68</v>
      </c>
      <c r="F52" s="1" t="s">
        <v>6</v>
      </c>
    </row>
    <row r="53" spans="2:6" x14ac:dyDescent="0.25">
      <c r="B53" s="4">
        <v>42491</v>
      </c>
      <c r="C53" s="5">
        <f t="shared" si="0"/>
        <v>2016</v>
      </c>
      <c r="D53" s="6" t="s">
        <v>7</v>
      </c>
      <c r="E53" s="3">
        <v>54</v>
      </c>
      <c r="F53" s="1" t="s">
        <v>8</v>
      </c>
    </row>
    <row r="54" spans="2:6" x14ac:dyDescent="0.25">
      <c r="B54" s="4">
        <v>42491</v>
      </c>
      <c r="C54" s="5">
        <f t="shared" si="0"/>
        <v>2016</v>
      </c>
      <c r="D54" s="6" t="s">
        <v>9</v>
      </c>
      <c r="E54" s="3">
        <v>32</v>
      </c>
      <c r="F54" s="1" t="s">
        <v>6</v>
      </c>
    </row>
    <row r="55" spans="2:6" x14ac:dyDescent="0.25">
      <c r="B55" s="4">
        <v>42491</v>
      </c>
      <c r="C55" s="5">
        <f t="shared" si="0"/>
        <v>2016</v>
      </c>
      <c r="D55" s="6" t="s">
        <v>10</v>
      </c>
      <c r="E55" s="3">
        <v>19</v>
      </c>
      <c r="F55" s="1" t="s">
        <v>8</v>
      </c>
    </row>
    <row r="56" spans="2:6" x14ac:dyDescent="0.25">
      <c r="B56" s="4">
        <v>42491</v>
      </c>
      <c r="C56" s="5">
        <f t="shared" si="0"/>
        <v>2016</v>
      </c>
      <c r="D56" s="6" t="s">
        <v>11</v>
      </c>
      <c r="E56" s="3">
        <v>50</v>
      </c>
      <c r="F56" s="1" t="s">
        <v>6</v>
      </c>
    </row>
    <row r="57" spans="2:6" x14ac:dyDescent="0.25">
      <c r="B57" s="4">
        <v>42491</v>
      </c>
      <c r="C57" s="5">
        <f t="shared" si="0"/>
        <v>2016</v>
      </c>
      <c r="D57" s="6" t="s">
        <v>12</v>
      </c>
      <c r="E57" s="3">
        <v>14</v>
      </c>
      <c r="F57" s="1" t="s">
        <v>8</v>
      </c>
    </row>
    <row r="58" spans="2:6" x14ac:dyDescent="0.25">
      <c r="B58" s="4">
        <v>42491</v>
      </c>
      <c r="C58" s="5">
        <f t="shared" si="0"/>
        <v>2016</v>
      </c>
      <c r="D58" s="6" t="s">
        <v>13</v>
      </c>
      <c r="E58" s="3">
        <v>64</v>
      </c>
      <c r="F58" s="1" t="s">
        <v>6</v>
      </c>
    </row>
    <row r="59" spans="2:6" x14ac:dyDescent="0.25">
      <c r="B59" s="4">
        <v>42491</v>
      </c>
      <c r="C59" s="5">
        <f t="shared" si="0"/>
        <v>2016</v>
      </c>
      <c r="D59" s="6" t="s">
        <v>14</v>
      </c>
      <c r="E59" s="3">
        <v>30</v>
      </c>
      <c r="F59" s="1" t="s">
        <v>8</v>
      </c>
    </row>
    <row r="60" spans="2:6" x14ac:dyDescent="0.25">
      <c r="B60" s="4">
        <v>42491</v>
      </c>
      <c r="C60" s="5">
        <f t="shared" si="0"/>
        <v>2016</v>
      </c>
      <c r="D60" s="6" t="s">
        <v>15</v>
      </c>
      <c r="E60" s="3">
        <v>105.92</v>
      </c>
      <c r="F60" s="1" t="s">
        <v>15</v>
      </c>
    </row>
    <row r="61" spans="2:6" x14ac:dyDescent="0.25">
      <c r="B61" s="4">
        <v>42491</v>
      </c>
      <c r="C61" s="5">
        <f t="shared" si="0"/>
        <v>2016</v>
      </c>
      <c r="D61" s="6" t="s">
        <v>16</v>
      </c>
      <c r="E61" s="3">
        <v>3</v>
      </c>
      <c r="F61" s="1" t="s">
        <v>16</v>
      </c>
    </row>
    <row r="62" spans="2:6" x14ac:dyDescent="0.25">
      <c r="B62" s="4">
        <v>42491</v>
      </c>
      <c r="C62" s="5">
        <f t="shared" si="0"/>
        <v>2016</v>
      </c>
      <c r="D62" s="6" t="s">
        <v>17</v>
      </c>
      <c r="E62" s="3">
        <v>5</v>
      </c>
      <c r="F62" s="1" t="s">
        <v>17</v>
      </c>
    </row>
    <row r="63" spans="2:6" x14ac:dyDescent="0.25">
      <c r="B63" s="4">
        <v>42491</v>
      </c>
      <c r="C63" s="5">
        <f t="shared" si="0"/>
        <v>2016</v>
      </c>
      <c r="D63" s="6" t="s">
        <v>18</v>
      </c>
      <c r="E63" s="7">
        <v>18.579999999999998</v>
      </c>
      <c r="F63" s="6" t="s">
        <v>18</v>
      </c>
    </row>
    <row r="64" spans="2:6" x14ac:dyDescent="0.25">
      <c r="B64" s="4">
        <v>42522</v>
      </c>
      <c r="C64" s="5">
        <f t="shared" si="0"/>
        <v>2016</v>
      </c>
      <c r="D64" s="6" t="s">
        <v>5</v>
      </c>
      <c r="E64" s="3">
        <v>56</v>
      </c>
      <c r="F64" s="1" t="s">
        <v>6</v>
      </c>
    </row>
    <row r="65" spans="2:6" x14ac:dyDescent="0.25">
      <c r="B65" s="4">
        <v>42522</v>
      </c>
      <c r="C65" s="5">
        <f t="shared" si="0"/>
        <v>2016</v>
      </c>
      <c r="D65" s="6" t="s">
        <v>7</v>
      </c>
      <c r="E65" s="3">
        <v>49</v>
      </c>
      <c r="F65" s="1" t="s">
        <v>8</v>
      </c>
    </row>
    <row r="66" spans="2:6" x14ac:dyDescent="0.25">
      <c r="B66" s="4">
        <v>42522</v>
      </c>
      <c r="C66" s="5">
        <f t="shared" si="0"/>
        <v>2016</v>
      </c>
      <c r="D66" s="6" t="s">
        <v>9</v>
      </c>
      <c r="E66" s="3">
        <v>31</v>
      </c>
      <c r="F66" s="1" t="s">
        <v>6</v>
      </c>
    </row>
    <row r="67" spans="2:6" x14ac:dyDescent="0.25">
      <c r="B67" s="4">
        <v>42522</v>
      </c>
      <c r="C67" s="5">
        <f t="shared" si="0"/>
        <v>2016</v>
      </c>
      <c r="D67" s="6" t="s">
        <v>10</v>
      </c>
      <c r="E67" s="3">
        <v>14</v>
      </c>
      <c r="F67" s="1" t="s">
        <v>8</v>
      </c>
    </row>
    <row r="68" spans="2:6" x14ac:dyDescent="0.25">
      <c r="B68" s="4">
        <v>42522</v>
      </c>
      <c r="C68" s="5">
        <f t="shared" si="0"/>
        <v>2016</v>
      </c>
      <c r="D68" s="6" t="s">
        <v>11</v>
      </c>
      <c r="E68" s="3">
        <v>36</v>
      </c>
      <c r="F68" s="1" t="s">
        <v>6</v>
      </c>
    </row>
    <row r="69" spans="2:6" x14ac:dyDescent="0.25">
      <c r="B69" s="4">
        <v>42522</v>
      </c>
      <c r="C69" s="5">
        <f t="shared" ref="C69:C132" si="1">YEAR(B69)</f>
        <v>2016</v>
      </c>
      <c r="D69" s="6" t="s">
        <v>12</v>
      </c>
      <c r="E69" s="3">
        <v>15</v>
      </c>
      <c r="F69" s="1" t="s">
        <v>8</v>
      </c>
    </row>
    <row r="70" spans="2:6" x14ac:dyDescent="0.25">
      <c r="B70" s="4">
        <v>42522</v>
      </c>
      <c r="C70" s="5">
        <f t="shared" si="1"/>
        <v>2016</v>
      </c>
      <c r="D70" s="6" t="s">
        <v>13</v>
      </c>
      <c r="E70" s="3">
        <v>57</v>
      </c>
      <c r="F70" s="1" t="s">
        <v>6</v>
      </c>
    </row>
    <row r="71" spans="2:6" x14ac:dyDescent="0.25">
      <c r="B71" s="4">
        <v>42522</v>
      </c>
      <c r="C71" s="5">
        <f t="shared" si="1"/>
        <v>2016</v>
      </c>
      <c r="D71" s="6" t="s">
        <v>14</v>
      </c>
      <c r="E71" s="3">
        <v>33</v>
      </c>
      <c r="F71" s="1" t="s">
        <v>8</v>
      </c>
    </row>
    <row r="72" spans="2:6" x14ac:dyDescent="0.25">
      <c r="B72" s="4">
        <v>42522</v>
      </c>
      <c r="C72" s="5">
        <f t="shared" si="1"/>
        <v>2016</v>
      </c>
      <c r="D72" s="6" t="s">
        <v>15</v>
      </c>
      <c r="E72" s="3">
        <v>93.12</v>
      </c>
      <c r="F72" s="1" t="s">
        <v>15</v>
      </c>
    </row>
    <row r="73" spans="2:6" x14ac:dyDescent="0.25">
      <c r="B73" s="4">
        <v>42522</v>
      </c>
      <c r="C73" s="5">
        <f t="shared" si="1"/>
        <v>2016</v>
      </c>
      <c r="D73" s="6" t="s">
        <v>16</v>
      </c>
      <c r="E73" s="3">
        <v>3</v>
      </c>
      <c r="F73" s="1" t="s">
        <v>16</v>
      </c>
    </row>
    <row r="74" spans="2:6" x14ac:dyDescent="0.25">
      <c r="B74" s="4">
        <v>42522</v>
      </c>
      <c r="C74" s="5">
        <f t="shared" si="1"/>
        <v>2016</v>
      </c>
      <c r="D74" s="6" t="s">
        <v>17</v>
      </c>
      <c r="E74" s="3">
        <v>4</v>
      </c>
      <c r="F74" s="1" t="s">
        <v>17</v>
      </c>
    </row>
    <row r="75" spans="2:6" x14ac:dyDescent="0.25">
      <c r="B75" s="4">
        <v>42522</v>
      </c>
      <c r="C75" s="5">
        <f t="shared" si="1"/>
        <v>2016</v>
      </c>
      <c r="D75" s="6" t="s">
        <v>18</v>
      </c>
      <c r="E75" s="7">
        <v>15.59</v>
      </c>
      <c r="F75" s="6" t="s">
        <v>18</v>
      </c>
    </row>
    <row r="76" spans="2:6" x14ac:dyDescent="0.25">
      <c r="B76" s="4">
        <v>42552</v>
      </c>
      <c r="C76" s="5">
        <f t="shared" si="1"/>
        <v>2016</v>
      </c>
      <c r="D76" s="6" t="s">
        <v>5</v>
      </c>
      <c r="E76" s="3">
        <v>66</v>
      </c>
      <c r="F76" s="1" t="s">
        <v>6</v>
      </c>
    </row>
    <row r="77" spans="2:6" x14ac:dyDescent="0.25">
      <c r="B77" s="4">
        <v>42552</v>
      </c>
      <c r="C77" s="5">
        <f t="shared" si="1"/>
        <v>2016</v>
      </c>
      <c r="D77" s="6" t="s">
        <v>7</v>
      </c>
      <c r="E77" s="3">
        <v>55</v>
      </c>
      <c r="F77" s="1" t="s">
        <v>8</v>
      </c>
    </row>
    <row r="78" spans="2:6" x14ac:dyDescent="0.25">
      <c r="B78" s="4">
        <v>42552</v>
      </c>
      <c r="C78" s="5">
        <f t="shared" si="1"/>
        <v>2016</v>
      </c>
      <c r="D78" s="6" t="s">
        <v>9</v>
      </c>
      <c r="E78" s="3">
        <v>38</v>
      </c>
      <c r="F78" s="1" t="s">
        <v>6</v>
      </c>
    </row>
    <row r="79" spans="2:6" x14ac:dyDescent="0.25">
      <c r="B79" s="4">
        <v>42552</v>
      </c>
      <c r="C79" s="5">
        <f t="shared" si="1"/>
        <v>2016</v>
      </c>
      <c r="D79" s="6" t="s">
        <v>10</v>
      </c>
      <c r="E79" s="3">
        <v>17</v>
      </c>
      <c r="F79" s="1" t="s">
        <v>8</v>
      </c>
    </row>
    <row r="80" spans="2:6" x14ac:dyDescent="0.25">
      <c r="B80" s="4">
        <v>42552</v>
      </c>
      <c r="C80" s="5">
        <f t="shared" si="1"/>
        <v>2016</v>
      </c>
      <c r="D80" s="6" t="s">
        <v>11</v>
      </c>
      <c r="E80" s="3">
        <v>43</v>
      </c>
      <c r="F80" s="1" t="s">
        <v>6</v>
      </c>
    </row>
    <row r="81" spans="2:6" x14ac:dyDescent="0.25">
      <c r="B81" s="4">
        <v>42552</v>
      </c>
      <c r="C81" s="5">
        <f t="shared" si="1"/>
        <v>2016</v>
      </c>
      <c r="D81" s="6" t="s">
        <v>12</v>
      </c>
      <c r="E81" s="3">
        <v>17</v>
      </c>
      <c r="F81" s="1" t="s">
        <v>8</v>
      </c>
    </row>
    <row r="82" spans="2:6" x14ac:dyDescent="0.25">
      <c r="B82" s="4">
        <v>42552</v>
      </c>
      <c r="C82" s="5">
        <f t="shared" si="1"/>
        <v>2016</v>
      </c>
      <c r="D82" s="6" t="s">
        <v>13</v>
      </c>
      <c r="E82" s="3">
        <v>68</v>
      </c>
      <c r="F82" s="1" t="s">
        <v>6</v>
      </c>
    </row>
    <row r="83" spans="2:6" x14ac:dyDescent="0.25">
      <c r="B83" s="4">
        <v>42552</v>
      </c>
      <c r="C83" s="5">
        <f t="shared" si="1"/>
        <v>2016</v>
      </c>
      <c r="D83" s="6" t="s">
        <v>14</v>
      </c>
      <c r="E83" s="3">
        <v>33</v>
      </c>
      <c r="F83" s="1" t="s">
        <v>8</v>
      </c>
    </row>
    <row r="84" spans="2:6" x14ac:dyDescent="0.25">
      <c r="B84" s="4">
        <v>42552</v>
      </c>
      <c r="C84" s="5">
        <f t="shared" si="1"/>
        <v>2016</v>
      </c>
      <c r="D84" s="6" t="s">
        <v>15</v>
      </c>
      <c r="E84" s="3">
        <v>114.58000000000001</v>
      </c>
      <c r="F84" s="1" t="s">
        <v>15</v>
      </c>
    </row>
    <row r="85" spans="2:6" x14ac:dyDescent="0.25">
      <c r="B85" s="4">
        <v>42552</v>
      </c>
      <c r="C85" s="5">
        <f t="shared" si="1"/>
        <v>2016</v>
      </c>
      <c r="D85" s="6" t="s">
        <v>16</v>
      </c>
      <c r="E85" s="3">
        <v>3</v>
      </c>
      <c r="F85" s="1" t="s">
        <v>16</v>
      </c>
    </row>
    <row r="86" spans="2:6" x14ac:dyDescent="0.25">
      <c r="B86" s="4">
        <v>42552</v>
      </c>
      <c r="C86" s="5">
        <f t="shared" si="1"/>
        <v>2016</v>
      </c>
      <c r="D86" s="6" t="s">
        <v>17</v>
      </c>
      <c r="E86" s="3">
        <v>4</v>
      </c>
      <c r="F86" s="1" t="s">
        <v>17</v>
      </c>
    </row>
    <row r="87" spans="2:6" x14ac:dyDescent="0.25">
      <c r="B87" s="4">
        <v>42552</v>
      </c>
      <c r="C87" s="5">
        <f t="shared" si="1"/>
        <v>2016</v>
      </c>
      <c r="D87" s="6" t="s">
        <v>18</v>
      </c>
      <c r="E87" s="7">
        <v>18.61</v>
      </c>
      <c r="F87" s="6" t="s">
        <v>18</v>
      </c>
    </row>
    <row r="88" spans="2:6" x14ac:dyDescent="0.25">
      <c r="B88" s="4">
        <v>42583</v>
      </c>
      <c r="C88" s="5">
        <f t="shared" si="1"/>
        <v>2016</v>
      </c>
      <c r="D88" s="6" t="s">
        <v>5</v>
      </c>
      <c r="E88" s="3">
        <v>57</v>
      </c>
      <c r="F88" s="1" t="s">
        <v>6</v>
      </c>
    </row>
    <row r="89" spans="2:6" x14ac:dyDescent="0.25">
      <c r="B89" s="4">
        <v>42583</v>
      </c>
      <c r="C89" s="5">
        <f t="shared" si="1"/>
        <v>2016</v>
      </c>
      <c r="D89" s="6" t="s">
        <v>7</v>
      </c>
      <c r="E89" s="3">
        <v>52</v>
      </c>
      <c r="F89" s="1" t="s">
        <v>8</v>
      </c>
    </row>
    <row r="90" spans="2:6" x14ac:dyDescent="0.25">
      <c r="B90" s="4">
        <v>42583</v>
      </c>
      <c r="C90" s="5">
        <f t="shared" si="1"/>
        <v>2016</v>
      </c>
      <c r="D90" s="6" t="s">
        <v>9</v>
      </c>
      <c r="E90" s="3">
        <v>35</v>
      </c>
      <c r="F90" s="1" t="s">
        <v>6</v>
      </c>
    </row>
    <row r="91" spans="2:6" x14ac:dyDescent="0.25">
      <c r="B91" s="4">
        <v>42583</v>
      </c>
      <c r="C91" s="5">
        <f t="shared" si="1"/>
        <v>2016</v>
      </c>
      <c r="D91" s="6" t="s">
        <v>10</v>
      </c>
      <c r="E91" s="3">
        <v>19</v>
      </c>
      <c r="F91" s="1" t="s">
        <v>8</v>
      </c>
    </row>
    <row r="92" spans="2:6" x14ac:dyDescent="0.25">
      <c r="B92" s="4">
        <v>42583</v>
      </c>
      <c r="C92" s="5">
        <f t="shared" si="1"/>
        <v>2016</v>
      </c>
      <c r="D92" s="6" t="s">
        <v>11</v>
      </c>
      <c r="E92" s="3">
        <v>38</v>
      </c>
      <c r="F92" s="1" t="s">
        <v>6</v>
      </c>
    </row>
    <row r="93" spans="2:6" x14ac:dyDescent="0.25">
      <c r="B93" s="4">
        <v>42583</v>
      </c>
      <c r="C93" s="5">
        <f t="shared" si="1"/>
        <v>2016</v>
      </c>
      <c r="D93" s="6" t="s">
        <v>12</v>
      </c>
      <c r="E93" s="3">
        <v>16</v>
      </c>
      <c r="F93" s="1" t="s">
        <v>8</v>
      </c>
    </row>
    <row r="94" spans="2:6" x14ac:dyDescent="0.25">
      <c r="B94" s="4">
        <v>42583</v>
      </c>
      <c r="C94" s="5">
        <f t="shared" si="1"/>
        <v>2016</v>
      </c>
      <c r="D94" s="6" t="s">
        <v>13</v>
      </c>
      <c r="E94" s="3">
        <v>57</v>
      </c>
      <c r="F94" s="1" t="s">
        <v>6</v>
      </c>
    </row>
    <row r="95" spans="2:6" x14ac:dyDescent="0.25">
      <c r="B95" s="4">
        <v>42583</v>
      </c>
      <c r="C95" s="5">
        <f t="shared" si="1"/>
        <v>2016</v>
      </c>
      <c r="D95" s="6" t="s">
        <v>14</v>
      </c>
      <c r="E95" s="3">
        <v>33</v>
      </c>
      <c r="F95" s="1" t="s">
        <v>8</v>
      </c>
    </row>
    <row r="96" spans="2:6" x14ac:dyDescent="0.25">
      <c r="B96" s="4">
        <v>42583</v>
      </c>
      <c r="C96" s="5">
        <f t="shared" si="1"/>
        <v>2016</v>
      </c>
      <c r="D96" s="6" t="s">
        <v>15</v>
      </c>
      <c r="E96" s="3">
        <v>104.38000000000001</v>
      </c>
      <c r="F96" s="1" t="s">
        <v>15</v>
      </c>
    </row>
    <row r="97" spans="2:6" x14ac:dyDescent="0.25">
      <c r="B97" s="4">
        <v>42583</v>
      </c>
      <c r="C97" s="5">
        <f t="shared" si="1"/>
        <v>2016</v>
      </c>
      <c r="D97" s="6" t="s">
        <v>16</v>
      </c>
      <c r="E97" s="3">
        <v>3</v>
      </c>
      <c r="F97" s="1" t="s">
        <v>16</v>
      </c>
    </row>
    <row r="98" spans="2:6" x14ac:dyDescent="0.25">
      <c r="B98" s="4">
        <v>42583</v>
      </c>
      <c r="C98" s="5">
        <f t="shared" si="1"/>
        <v>2016</v>
      </c>
      <c r="D98" s="6" t="s">
        <v>17</v>
      </c>
      <c r="E98" s="3">
        <v>5</v>
      </c>
      <c r="F98" s="1" t="s">
        <v>17</v>
      </c>
    </row>
    <row r="99" spans="2:6" x14ac:dyDescent="0.25">
      <c r="B99" s="4">
        <v>42583</v>
      </c>
      <c r="C99" s="5">
        <f t="shared" si="1"/>
        <v>2016</v>
      </c>
      <c r="D99" s="6" t="s">
        <v>18</v>
      </c>
      <c r="E99" s="7">
        <v>16.13</v>
      </c>
      <c r="F99" s="6" t="s">
        <v>18</v>
      </c>
    </row>
    <row r="100" spans="2:6" x14ac:dyDescent="0.25">
      <c r="B100" s="4">
        <v>42614</v>
      </c>
      <c r="C100" s="5">
        <f t="shared" si="1"/>
        <v>2016</v>
      </c>
      <c r="D100" s="6" t="s">
        <v>5</v>
      </c>
      <c r="E100" s="3">
        <v>60</v>
      </c>
      <c r="F100" s="1" t="s">
        <v>6</v>
      </c>
    </row>
    <row r="101" spans="2:6" x14ac:dyDescent="0.25">
      <c r="B101" s="4">
        <v>42614</v>
      </c>
      <c r="C101" s="5">
        <f t="shared" si="1"/>
        <v>2016</v>
      </c>
      <c r="D101" s="6" t="s">
        <v>7</v>
      </c>
      <c r="E101" s="3">
        <v>57</v>
      </c>
      <c r="F101" s="1" t="s">
        <v>8</v>
      </c>
    </row>
    <row r="102" spans="2:6" x14ac:dyDescent="0.25">
      <c r="B102" s="4">
        <v>42614</v>
      </c>
      <c r="C102" s="5">
        <f t="shared" si="1"/>
        <v>2016</v>
      </c>
      <c r="D102" s="6" t="s">
        <v>9</v>
      </c>
      <c r="E102" s="3">
        <v>28</v>
      </c>
      <c r="F102" s="1" t="s">
        <v>6</v>
      </c>
    </row>
    <row r="103" spans="2:6" x14ac:dyDescent="0.25">
      <c r="B103" s="4">
        <v>42614</v>
      </c>
      <c r="C103" s="5">
        <f t="shared" si="1"/>
        <v>2016</v>
      </c>
      <c r="D103" s="6" t="s">
        <v>10</v>
      </c>
      <c r="E103" s="3">
        <v>11</v>
      </c>
      <c r="F103" s="1" t="s">
        <v>8</v>
      </c>
    </row>
    <row r="104" spans="2:6" x14ac:dyDescent="0.25">
      <c r="B104" s="4">
        <v>42614</v>
      </c>
      <c r="C104" s="5">
        <f t="shared" si="1"/>
        <v>2016</v>
      </c>
      <c r="D104" s="6" t="s">
        <v>11</v>
      </c>
      <c r="E104" s="3">
        <v>44</v>
      </c>
      <c r="F104" s="1" t="s">
        <v>6</v>
      </c>
    </row>
    <row r="105" spans="2:6" x14ac:dyDescent="0.25">
      <c r="B105" s="4">
        <v>42614</v>
      </c>
      <c r="C105" s="5">
        <f t="shared" si="1"/>
        <v>2016</v>
      </c>
      <c r="D105" s="6" t="s">
        <v>12</v>
      </c>
      <c r="E105" s="3">
        <v>12</v>
      </c>
      <c r="F105" s="1" t="s">
        <v>8</v>
      </c>
    </row>
    <row r="106" spans="2:6" x14ac:dyDescent="0.25">
      <c r="B106" s="4">
        <v>42614</v>
      </c>
      <c r="C106" s="5">
        <f t="shared" si="1"/>
        <v>2016</v>
      </c>
      <c r="D106" s="6" t="s">
        <v>13</v>
      </c>
      <c r="E106" s="3">
        <v>67</v>
      </c>
      <c r="F106" s="1" t="s">
        <v>6</v>
      </c>
    </row>
    <row r="107" spans="2:6" x14ac:dyDescent="0.25">
      <c r="B107" s="4">
        <v>42614</v>
      </c>
      <c r="C107" s="5">
        <f t="shared" si="1"/>
        <v>2016</v>
      </c>
      <c r="D107" s="6" t="s">
        <v>14</v>
      </c>
      <c r="E107" s="3">
        <v>31</v>
      </c>
      <c r="F107" s="1" t="s">
        <v>8</v>
      </c>
    </row>
    <row r="108" spans="2:6" x14ac:dyDescent="0.25">
      <c r="B108" s="4">
        <v>42614</v>
      </c>
      <c r="C108" s="5">
        <f t="shared" si="1"/>
        <v>2016</v>
      </c>
      <c r="D108" s="6" t="s">
        <v>15</v>
      </c>
      <c r="E108" s="3">
        <v>108.5</v>
      </c>
      <c r="F108" s="1" t="s">
        <v>15</v>
      </c>
    </row>
    <row r="109" spans="2:6" x14ac:dyDescent="0.25">
      <c r="B109" s="4">
        <v>42614</v>
      </c>
      <c r="C109" s="5">
        <f t="shared" si="1"/>
        <v>2016</v>
      </c>
      <c r="D109" s="6" t="s">
        <v>16</v>
      </c>
      <c r="E109" s="3">
        <v>2</v>
      </c>
      <c r="F109" s="1" t="s">
        <v>16</v>
      </c>
    </row>
    <row r="110" spans="2:6" x14ac:dyDescent="0.25">
      <c r="B110" s="4">
        <v>42614</v>
      </c>
      <c r="C110" s="5">
        <f t="shared" si="1"/>
        <v>2016</v>
      </c>
      <c r="D110" s="6" t="s">
        <v>17</v>
      </c>
      <c r="E110" s="3">
        <v>4</v>
      </c>
      <c r="F110" s="1" t="s">
        <v>17</v>
      </c>
    </row>
    <row r="111" spans="2:6" x14ac:dyDescent="0.25">
      <c r="B111" s="4">
        <v>42614</v>
      </c>
      <c r="C111" s="5">
        <f t="shared" si="1"/>
        <v>2016</v>
      </c>
      <c r="D111" s="6" t="s">
        <v>18</v>
      </c>
      <c r="E111" s="7">
        <v>17.419999999999998</v>
      </c>
      <c r="F111" s="6" t="s">
        <v>18</v>
      </c>
    </row>
    <row r="112" spans="2:6" x14ac:dyDescent="0.25">
      <c r="B112" s="4">
        <v>42644</v>
      </c>
      <c r="C112" s="5">
        <f t="shared" si="1"/>
        <v>2016</v>
      </c>
      <c r="D112" s="6" t="s">
        <v>5</v>
      </c>
      <c r="E112" s="3">
        <v>59</v>
      </c>
      <c r="F112" s="1" t="s">
        <v>6</v>
      </c>
    </row>
    <row r="113" spans="2:6" x14ac:dyDescent="0.25">
      <c r="B113" s="4">
        <v>42644</v>
      </c>
      <c r="C113" s="5">
        <f t="shared" si="1"/>
        <v>2016</v>
      </c>
      <c r="D113" s="6" t="s">
        <v>7</v>
      </c>
      <c r="E113" s="3">
        <v>57</v>
      </c>
      <c r="F113" s="1" t="s">
        <v>8</v>
      </c>
    </row>
    <row r="114" spans="2:6" x14ac:dyDescent="0.25">
      <c r="B114" s="4">
        <v>42644</v>
      </c>
      <c r="C114" s="5">
        <f t="shared" si="1"/>
        <v>2016</v>
      </c>
      <c r="D114" s="6" t="s">
        <v>9</v>
      </c>
      <c r="E114" s="3">
        <v>40</v>
      </c>
      <c r="F114" s="1" t="s">
        <v>6</v>
      </c>
    </row>
    <row r="115" spans="2:6" x14ac:dyDescent="0.25">
      <c r="B115" s="4">
        <v>42644</v>
      </c>
      <c r="C115" s="5">
        <f t="shared" si="1"/>
        <v>2016</v>
      </c>
      <c r="D115" s="6" t="s">
        <v>10</v>
      </c>
      <c r="E115" s="3">
        <v>11</v>
      </c>
      <c r="F115" s="1" t="s">
        <v>8</v>
      </c>
    </row>
    <row r="116" spans="2:6" x14ac:dyDescent="0.25">
      <c r="B116" s="4">
        <v>42644</v>
      </c>
      <c r="C116" s="5">
        <f t="shared" si="1"/>
        <v>2016</v>
      </c>
      <c r="D116" s="6" t="s">
        <v>11</v>
      </c>
      <c r="E116" s="3">
        <v>35</v>
      </c>
      <c r="F116" s="1" t="s">
        <v>6</v>
      </c>
    </row>
    <row r="117" spans="2:6" x14ac:dyDescent="0.25">
      <c r="B117" s="4">
        <v>42644</v>
      </c>
      <c r="C117" s="5">
        <f t="shared" si="1"/>
        <v>2016</v>
      </c>
      <c r="D117" s="6" t="s">
        <v>12</v>
      </c>
      <c r="E117" s="3">
        <v>15</v>
      </c>
      <c r="F117" s="1" t="s">
        <v>8</v>
      </c>
    </row>
    <row r="118" spans="2:6" x14ac:dyDescent="0.25">
      <c r="B118" s="4">
        <v>42644</v>
      </c>
      <c r="C118" s="5">
        <f t="shared" si="1"/>
        <v>2016</v>
      </c>
      <c r="D118" s="6" t="s">
        <v>13</v>
      </c>
      <c r="E118" s="3">
        <v>61</v>
      </c>
      <c r="F118" s="1" t="s">
        <v>6</v>
      </c>
    </row>
    <row r="119" spans="2:6" x14ac:dyDescent="0.25">
      <c r="B119" s="4">
        <v>42644</v>
      </c>
      <c r="C119" s="5">
        <f t="shared" si="1"/>
        <v>2016</v>
      </c>
      <c r="D119" s="6" t="s">
        <v>14</v>
      </c>
      <c r="E119" s="3">
        <v>35</v>
      </c>
      <c r="F119" s="1" t="s">
        <v>8</v>
      </c>
    </row>
    <row r="120" spans="2:6" x14ac:dyDescent="0.25">
      <c r="B120" s="4">
        <v>42644</v>
      </c>
      <c r="C120" s="5">
        <f t="shared" si="1"/>
        <v>2016</v>
      </c>
      <c r="D120" s="6" t="s">
        <v>15</v>
      </c>
      <c r="E120" s="3">
        <v>97.03</v>
      </c>
      <c r="F120" s="1" t="s">
        <v>15</v>
      </c>
    </row>
    <row r="121" spans="2:6" x14ac:dyDescent="0.25">
      <c r="B121" s="4">
        <v>42644</v>
      </c>
      <c r="C121" s="5">
        <f t="shared" si="1"/>
        <v>2016</v>
      </c>
      <c r="D121" s="6" t="s">
        <v>16</v>
      </c>
      <c r="E121" s="3">
        <v>3</v>
      </c>
      <c r="F121" s="1" t="s">
        <v>16</v>
      </c>
    </row>
    <row r="122" spans="2:6" x14ac:dyDescent="0.25">
      <c r="B122" s="4">
        <v>42644</v>
      </c>
      <c r="C122" s="5">
        <f t="shared" si="1"/>
        <v>2016</v>
      </c>
      <c r="D122" s="6" t="s">
        <v>17</v>
      </c>
      <c r="E122" s="3">
        <v>4</v>
      </c>
      <c r="F122" s="1" t="s">
        <v>17</v>
      </c>
    </row>
    <row r="123" spans="2:6" x14ac:dyDescent="0.25">
      <c r="B123" s="4">
        <v>42644</v>
      </c>
      <c r="C123" s="5">
        <f t="shared" si="1"/>
        <v>2016</v>
      </c>
      <c r="D123" s="6" t="s">
        <v>18</v>
      </c>
      <c r="E123" s="7">
        <v>16.77</v>
      </c>
      <c r="F123" s="6" t="s">
        <v>18</v>
      </c>
    </row>
    <row r="124" spans="2:6" x14ac:dyDescent="0.25">
      <c r="B124" s="4">
        <v>42675</v>
      </c>
      <c r="C124" s="5">
        <f t="shared" si="1"/>
        <v>2016</v>
      </c>
      <c r="D124" s="6" t="s">
        <v>5</v>
      </c>
      <c r="E124" s="3">
        <v>69</v>
      </c>
      <c r="F124" s="1" t="s">
        <v>6</v>
      </c>
    </row>
    <row r="125" spans="2:6" x14ac:dyDescent="0.25">
      <c r="B125" s="4">
        <v>42675</v>
      </c>
      <c r="C125" s="5">
        <f t="shared" si="1"/>
        <v>2016</v>
      </c>
      <c r="D125" s="6" t="s">
        <v>7</v>
      </c>
      <c r="E125" s="3">
        <v>45</v>
      </c>
      <c r="F125" s="1" t="s">
        <v>8</v>
      </c>
    </row>
    <row r="126" spans="2:6" x14ac:dyDescent="0.25">
      <c r="B126" s="4">
        <v>42675</v>
      </c>
      <c r="C126" s="5">
        <f t="shared" si="1"/>
        <v>2016</v>
      </c>
      <c r="D126" s="6" t="s">
        <v>9</v>
      </c>
      <c r="E126" s="3">
        <v>25</v>
      </c>
      <c r="F126" s="1" t="s">
        <v>6</v>
      </c>
    </row>
    <row r="127" spans="2:6" x14ac:dyDescent="0.25">
      <c r="B127" s="4">
        <v>42675</v>
      </c>
      <c r="C127" s="5">
        <f t="shared" si="1"/>
        <v>2016</v>
      </c>
      <c r="D127" s="6" t="s">
        <v>10</v>
      </c>
      <c r="E127" s="3">
        <v>17</v>
      </c>
      <c r="F127" s="1" t="s">
        <v>8</v>
      </c>
    </row>
    <row r="128" spans="2:6" x14ac:dyDescent="0.25">
      <c r="B128" s="4">
        <v>42675</v>
      </c>
      <c r="C128" s="5">
        <f t="shared" si="1"/>
        <v>2016</v>
      </c>
      <c r="D128" s="6" t="s">
        <v>11</v>
      </c>
      <c r="E128" s="3">
        <v>45</v>
      </c>
      <c r="F128" s="1" t="s">
        <v>6</v>
      </c>
    </row>
    <row r="129" spans="2:6" x14ac:dyDescent="0.25">
      <c r="B129" s="4">
        <v>42675</v>
      </c>
      <c r="C129" s="5">
        <f t="shared" si="1"/>
        <v>2016</v>
      </c>
      <c r="D129" s="6" t="s">
        <v>12</v>
      </c>
      <c r="E129" s="3">
        <v>10</v>
      </c>
      <c r="F129" s="1" t="s">
        <v>8</v>
      </c>
    </row>
    <row r="130" spans="2:6" x14ac:dyDescent="0.25">
      <c r="B130" s="4">
        <v>42675</v>
      </c>
      <c r="C130" s="5">
        <f t="shared" si="1"/>
        <v>2016</v>
      </c>
      <c r="D130" s="6" t="s">
        <v>13</v>
      </c>
      <c r="E130" s="3">
        <v>63</v>
      </c>
      <c r="F130" s="1" t="s">
        <v>6</v>
      </c>
    </row>
    <row r="131" spans="2:6" x14ac:dyDescent="0.25">
      <c r="B131" s="4">
        <v>42675</v>
      </c>
      <c r="C131" s="5">
        <f t="shared" si="1"/>
        <v>2016</v>
      </c>
      <c r="D131" s="6" t="s">
        <v>14</v>
      </c>
      <c r="E131" s="3">
        <v>31</v>
      </c>
      <c r="F131" s="1" t="s">
        <v>8</v>
      </c>
    </row>
    <row r="132" spans="2:6" x14ac:dyDescent="0.25">
      <c r="B132" s="4">
        <v>42675</v>
      </c>
      <c r="C132" s="5">
        <f t="shared" si="1"/>
        <v>2016</v>
      </c>
      <c r="D132" s="6" t="s">
        <v>15</v>
      </c>
      <c r="E132" s="3">
        <v>97.600000000000009</v>
      </c>
      <c r="F132" s="1" t="s">
        <v>15</v>
      </c>
    </row>
    <row r="133" spans="2:6" x14ac:dyDescent="0.25">
      <c r="B133" s="4">
        <v>42675</v>
      </c>
      <c r="C133" s="5">
        <f t="shared" ref="C133:C196" si="2">YEAR(B133)</f>
        <v>2016</v>
      </c>
      <c r="D133" s="6" t="s">
        <v>16</v>
      </c>
      <c r="E133" s="3">
        <v>2</v>
      </c>
      <c r="F133" s="1" t="s">
        <v>16</v>
      </c>
    </row>
    <row r="134" spans="2:6" x14ac:dyDescent="0.25">
      <c r="B134" s="4">
        <v>42675</v>
      </c>
      <c r="C134" s="5">
        <f t="shared" si="2"/>
        <v>2016</v>
      </c>
      <c r="D134" s="6" t="s">
        <v>17</v>
      </c>
      <c r="E134" s="3">
        <v>5</v>
      </c>
      <c r="F134" s="1" t="s">
        <v>17</v>
      </c>
    </row>
    <row r="135" spans="2:6" x14ac:dyDescent="0.25">
      <c r="B135" s="4">
        <v>42675</v>
      </c>
      <c r="C135" s="5">
        <f t="shared" si="2"/>
        <v>2016</v>
      </c>
      <c r="D135" s="6" t="s">
        <v>18</v>
      </c>
      <c r="E135" s="7">
        <v>17.62</v>
      </c>
      <c r="F135" s="6" t="s">
        <v>18</v>
      </c>
    </row>
    <row r="136" spans="2:6" x14ac:dyDescent="0.25">
      <c r="B136" s="4">
        <v>42705</v>
      </c>
      <c r="C136" s="5">
        <f t="shared" si="2"/>
        <v>2016</v>
      </c>
      <c r="D136" s="6" t="s">
        <v>5</v>
      </c>
      <c r="E136" s="3">
        <v>74</v>
      </c>
      <c r="F136" s="1" t="s">
        <v>6</v>
      </c>
    </row>
    <row r="137" spans="2:6" x14ac:dyDescent="0.25">
      <c r="B137" s="4">
        <v>42705</v>
      </c>
      <c r="C137" s="5">
        <f t="shared" si="2"/>
        <v>2016</v>
      </c>
      <c r="D137" s="6" t="s">
        <v>7</v>
      </c>
      <c r="E137" s="3">
        <v>55</v>
      </c>
      <c r="F137" s="1" t="s">
        <v>8</v>
      </c>
    </row>
    <row r="138" spans="2:6" x14ac:dyDescent="0.25">
      <c r="B138" s="4">
        <v>42705</v>
      </c>
      <c r="C138" s="5">
        <f t="shared" si="2"/>
        <v>2016</v>
      </c>
      <c r="D138" s="6" t="s">
        <v>9</v>
      </c>
      <c r="E138" s="3">
        <v>31</v>
      </c>
      <c r="F138" s="1" t="s">
        <v>6</v>
      </c>
    </row>
    <row r="139" spans="2:6" x14ac:dyDescent="0.25">
      <c r="B139" s="4">
        <v>42705</v>
      </c>
      <c r="C139" s="5">
        <f t="shared" si="2"/>
        <v>2016</v>
      </c>
      <c r="D139" s="6" t="s">
        <v>10</v>
      </c>
      <c r="E139" s="3">
        <v>19</v>
      </c>
      <c r="F139" s="1" t="s">
        <v>8</v>
      </c>
    </row>
    <row r="140" spans="2:6" x14ac:dyDescent="0.25">
      <c r="B140" s="4">
        <v>42705</v>
      </c>
      <c r="C140" s="5">
        <f t="shared" si="2"/>
        <v>2016</v>
      </c>
      <c r="D140" s="6" t="s">
        <v>11</v>
      </c>
      <c r="E140" s="3">
        <v>42</v>
      </c>
      <c r="F140" s="1" t="s">
        <v>6</v>
      </c>
    </row>
    <row r="141" spans="2:6" x14ac:dyDescent="0.25">
      <c r="B141" s="4">
        <v>42705</v>
      </c>
      <c r="C141" s="5">
        <f t="shared" si="2"/>
        <v>2016</v>
      </c>
      <c r="D141" s="6" t="s">
        <v>12</v>
      </c>
      <c r="E141" s="3">
        <v>19</v>
      </c>
      <c r="F141" s="1" t="s">
        <v>8</v>
      </c>
    </row>
    <row r="142" spans="2:6" x14ac:dyDescent="0.25">
      <c r="B142" s="4">
        <v>42705</v>
      </c>
      <c r="C142" s="5">
        <f t="shared" si="2"/>
        <v>2016</v>
      </c>
      <c r="D142" s="6" t="s">
        <v>13</v>
      </c>
      <c r="E142" s="3">
        <v>59</v>
      </c>
      <c r="F142" s="1" t="s">
        <v>6</v>
      </c>
    </row>
    <row r="143" spans="2:6" x14ac:dyDescent="0.25">
      <c r="B143" s="4">
        <v>42705</v>
      </c>
      <c r="C143" s="5">
        <f t="shared" si="2"/>
        <v>2016</v>
      </c>
      <c r="D143" s="6" t="s">
        <v>14</v>
      </c>
      <c r="E143" s="3">
        <v>34</v>
      </c>
      <c r="F143" s="1" t="s">
        <v>8</v>
      </c>
    </row>
    <row r="144" spans="2:6" x14ac:dyDescent="0.25">
      <c r="B144" s="4">
        <v>42705</v>
      </c>
      <c r="C144" s="5">
        <f t="shared" si="2"/>
        <v>2016</v>
      </c>
      <c r="D144" s="6" t="s">
        <v>15</v>
      </c>
      <c r="E144" s="3">
        <v>103.23</v>
      </c>
      <c r="F144" s="1" t="s">
        <v>15</v>
      </c>
    </row>
    <row r="145" spans="2:6" x14ac:dyDescent="0.25">
      <c r="B145" s="4">
        <v>42705</v>
      </c>
      <c r="C145" s="5">
        <f t="shared" si="2"/>
        <v>2016</v>
      </c>
      <c r="D145" s="6" t="s">
        <v>16</v>
      </c>
      <c r="E145" s="3">
        <v>3</v>
      </c>
      <c r="F145" s="1" t="s">
        <v>16</v>
      </c>
    </row>
    <row r="146" spans="2:6" x14ac:dyDescent="0.25">
      <c r="B146" s="4">
        <v>42705</v>
      </c>
      <c r="C146" s="5">
        <f t="shared" si="2"/>
        <v>2016</v>
      </c>
      <c r="D146" s="6" t="s">
        <v>17</v>
      </c>
      <c r="E146" s="3">
        <v>5</v>
      </c>
      <c r="F146" s="1" t="s">
        <v>17</v>
      </c>
    </row>
    <row r="147" spans="2:6" x14ac:dyDescent="0.25">
      <c r="B147" s="4">
        <v>42705</v>
      </c>
      <c r="C147" s="5">
        <f t="shared" si="2"/>
        <v>2016</v>
      </c>
      <c r="D147" s="6" t="s">
        <v>18</v>
      </c>
      <c r="E147" s="7">
        <v>17.77</v>
      </c>
      <c r="F147" s="6" t="s">
        <v>18</v>
      </c>
    </row>
    <row r="148" spans="2:6" x14ac:dyDescent="0.25">
      <c r="B148" s="4">
        <v>42736</v>
      </c>
      <c r="C148" s="5">
        <f t="shared" si="2"/>
        <v>2017</v>
      </c>
      <c r="D148" s="6" t="s">
        <v>5</v>
      </c>
      <c r="E148" s="3">
        <v>56</v>
      </c>
      <c r="F148" s="1" t="s">
        <v>6</v>
      </c>
    </row>
    <row r="149" spans="2:6" x14ac:dyDescent="0.25">
      <c r="B149" s="4">
        <v>42736</v>
      </c>
      <c r="C149" s="5">
        <f t="shared" si="2"/>
        <v>2017</v>
      </c>
      <c r="D149" s="6" t="s">
        <v>7</v>
      </c>
      <c r="E149" s="3">
        <v>49</v>
      </c>
      <c r="F149" s="1" t="s">
        <v>8</v>
      </c>
    </row>
    <row r="150" spans="2:6" x14ac:dyDescent="0.25">
      <c r="B150" s="4">
        <v>42736</v>
      </c>
      <c r="C150" s="5">
        <f t="shared" si="2"/>
        <v>2017</v>
      </c>
      <c r="D150" s="6" t="s">
        <v>9</v>
      </c>
      <c r="E150" s="3">
        <v>38</v>
      </c>
      <c r="F150" s="1" t="s">
        <v>6</v>
      </c>
    </row>
    <row r="151" spans="2:6" x14ac:dyDescent="0.25">
      <c r="B151" s="4">
        <v>42736</v>
      </c>
      <c r="C151" s="5">
        <f t="shared" si="2"/>
        <v>2017</v>
      </c>
      <c r="D151" s="6" t="s">
        <v>10</v>
      </c>
      <c r="E151" s="3">
        <v>13</v>
      </c>
      <c r="F151" s="1" t="s">
        <v>8</v>
      </c>
    </row>
    <row r="152" spans="2:6" x14ac:dyDescent="0.25">
      <c r="B152" s="4">
        <v>42736</v>
      </c>
      <c r="C152" s="5">
        <f t="shared" si="2"/>
        <v>2017</v>
      </c>
      <c r="D152" s="6" t="s">
        <v>11</v>
      </c>
      <c r="E152" s="3">
        <v>49</v>
      </c>
      <c r="F152" s="1" t="s">
        <v>6</v>
      </c>
    </row>
    <row r="153" spans="2:6" x14ac:dyDescent="0.25">
      <c r="B153" s="4">
        <v>42736</v>
      </c>
      <c r="C153" s="5">
        <f t="shared" si="2"/>
        <v>2017</v>
      </c>
      <c r="D153" s="6" t="s">
        <v>12</v>
      </c>
      <c r="E153" s="3">
        <v>13</v>
      </c>
      <c r="F153" s="1" t="s">
        <v>8</v>
      </c>
    </row>
    <row r="154" spans="2:6" x14ac:dyDescent="0.25">
      <c r="B154" s="4">
        <v>42736</v>
      </c>
      <c r="C154" s="5">
        <f t="shared" si="2"/>
        <v>2017</v>
      </c>
      <c r="D154" s="6" t="s">
        <v>13</v>
      </c>
      <c r="E154" s="3">
        <v>67</v>
      </c>
      <c r="F154" s="1" t="s">
        <v>6</v>
      </c>
    </row>
    <row r="155" spans="2:6" x14ac:dyDescent="0.25">
      <c r="B155" s="4">
        <v>42736</v>
      </c>
      <c r="C155" s="5">
        <f t="shared" si="2"/>
        <v>2017</v>
      </c>
      <c r="D155" s="6" t="s">
        <v>14</v>
      </c>
      <c r="E155" s="3">
        <v>30</v>
      </c>
      <c r="F155" s="1" t="s">
        <v>8</v>
      </c>
    </row>
    <row r="156" spans="2:6" x14ac:dyDescent="0.25">
      <c r="B156" s="4">
        <v>42736</v>
      </c>
      <c r="C156" s="5">
        <f t="shared" si="2"/>
        <v>2017</v>
      </c>
      <c r="D156" s="6" t="s">
        <v>15</v>
      </c>
      <c r="E156" s="3">
        <v>107.10000000000001</v>
      </c>
      <c r="F156" s="1" t="s">
        <v>15</v>
      </c>
    </row>
    <row r="157" spans="2:6" x14ac:dyDescent="0.25">
      <c r="B157" s="4">
        <v>42736</v>
      </c>
      <c r="C157" s="5">
        <f t="shared" si="2"/>
        <v>2017</v>
      </c>
      <c r="D157" s="6" t="s">
        <v>16</v>
      </c>
      <c r="E157" s="3">
        <v>4</v>
      </c>
      <c r="F157" s="1" t="s">
        <v>16</v>
      </c>
    </row>
    <row r="158" spans="2:6" x14ac:dyDescent="0.25">
      <c r="B158" s="4">
        <v>42736</v>
      </c>
      <c r="C158" s="5">
        <f t="shared" si="2"/>
        <v>2017</v>
      </c>
      <c r="D158" s="6" t="s">
        <v>17</v>
      </c>
      <c r="E158" s="3">
        <v>6</v>
      </c>
      <c r="F158" s="1" t="s">
        <v>17</v>
      </c>
    </row>
    <row r="159" spans="2:6" x14ac:dyDescent="0.25">
      <c r="B159" s="4">
        <v>42736</v>
      </c>
      <c r="C159" s="5">
        <f t="shared" si="2"/>
        <v>2017</v>
      </c>
      <c r="D159" s="6" t="s">
        <v>18</v>
      </c>
      <c r="E159" s="7">
        <v>18.25</v>
      </c>
      <c r="F159" s="6" t="s">
        <v>18</v>
      </c>
    </row>
    <row r="160" spans="2:6" x14ac:dyDescent="0.25">
      <c r="B160" s="4">
        <v>42767</v>
      </c>
      <c r="C160" s="5">
        <f t="shared" si="2"/>
        <v>2017</v>
      </c>
      <c r="D160" s="6" t="s">
        <v>5</v>
      </c>
      <c r="E160" s="3">
        <v>73</v>
      </c>
      <c r="F160" s="1" t="s">
        <v>6</v>
      </c>
    </row>
    <row r="161" spans="2:6" x14ac:dyDescent="0.25">
      <c r="B161" s="4">
        <v>42767</v>
      </c>
      <c r="C161" s="5">
        <f t="shared" si="2"/>
        <v>2017</v>
      </c>
      <c r="D161" s="6" t="s">
        <v>7</v>
      </c>
      <c r="E161" s="3">
        <v>60</v>
      </c>
      <c r="F161" s="1" t="s">
        <v>8</v>
      </c>
    </row>
    <row r="162" spans="2:6" x14ac:dyDescent="0.25">
      <c r="B162" s="4">
        <v>42767</v>
      </c>
      <c r="C162" s="5">
        <f t="shared" si="2"/>
        <v>2017</v>
      </c>
      <c r="D162" s="6" t="s">
        <v>9</v>
      </c>
      <c r="E162" s="3">
        <v>40</v>
      </c>
      <c r="F162" s="1" t="s">
        <v>6</v>
      </c>
    </row>
    <row r="163" spans="2:6" x14ac:dyDescent="0.25">
      <c r="B163" s="4">
        <v>42767</v>
      </c>
      <c r="C163" s="5">
        <f t="shared" si="2"/>
        <v>2017</v>
      </c>
      <c r="D163" s="6" t="s">
        <v>10</v>
      </c>
      <c r="E163" s="3">
        <v>15</v>
      </c>
      <c r="F163" s="1" t="s">
        <v>8</v>
      </c>
    </row>
    <row r="164" spans="2:6" x14ac:dyDescent="0.25">
      <c r="B164" s="4">
        <v>42767</v>
      </c>
      <c r="C164" s="5">
        <f t="shared" si="2"/>
        <v>2017</v>
      </c>
      <c r="D164" s="6" t="s">
        <v>11</v>
      </c>
      <c r="E164" s="3">
        <v>41</v>
      </c>
      <c r="F164" s="1" t="s">
        <v>6</v>
      </c>
    </row>
    <row r="165" spans="2:6" x14ac:dyDescent="0.25">
      <c r="B165" s="4">
        <v>42767</v>
      </c>
      <c r="C165" s="5">
        <f t="shared" si="2"/>
        <v>2017</v>
      </c>
      <c r="D165" s="6" t="s">
        <v>12</v>
      </c>
      <c r="E165" s="3">
        <v>12</v>
      </c>
      <c r="F165" s="1" t="s">
        <v>8</v>
      </c>
    </row>
    <row r="166" spans="2:6" x14ac:dyDescent="0.25">
      <c r="B166" s="4">
        <v>42767</v>
      </c>
      <c r="C166" s="5">
        <f t="shared" si="2"/>
        <v>2017</v>
      </c>
      <c r="D166" s="6" t="s">
        <v>13</v>
      </c>
      <c r="E166" s="3">
        <v>59</v>
      </c>
      <c r="F166" s="1" t="s">
        <v>6</v>
      </c>
    </row>
    <row r="167" spans="2:6" x14ac:dyDescent="0.25">
      <c r="B167" s="4">
        <v>42767</v>
      </c>
      <c r="C167" s="5">
        <f t="shared" si="2"/>
        <v>2017</v>
      </c>
      <c r="D167" s="6" t="s">
        <v>14</v>
      </c>
      <c r="E167" s="3">
        <v>35</v>
      </c>
      <c r="F167" s="1" t="s">
        <v>8</v>
      </c>
    </row>
    <row r="168" spans="2:6" x14ac:dyDescent="0.25">
      <c r="B168" s="4">
        <v>42767</v>
      </c>
      <c r="C168" s="5">
        <f t="shared" si="2"/>
        <v>2017</v>
      </c>
      <c r="D168" s="6" t="s">
        <v>15</v>
      </c>
      <c r="E168" s="3">
        <v>107.2</v>
      </c>
      <c r="F168" s="1" t="s">
        <v>15</v>
      </c>
    </row>
    <row r="169" spans="2:6" x14ac:dyDescent="0.25">
      <c r="B169" s="4">
        <v>42767</v>
      </c>
      <c r="C169" s="5">
        <f t="shared" si="2"/>
        <v>2017</v>
      </c>
      <c r="D169" s="6" t="s">
        <v>16</v>
      </c>
      <c r="E169" s="3">
        <v>3</v>
      </c>
      <c r="F169" s="1" t="s">
        <v>16</v>
      </c>
    </row>
    <row r="170" spans="2:6" x14ac:dyDescent="0.25">
      <c r="B170" s="4">
        <v>42767</v>
      </c>
      <c r="C170" s="5">
        <f t="shared" si="2"/>
        <v>2017</v>
      </c>
      <c r="D170" s="6" t="s">
        <v>17</v>
      </c>
      <c r="E170" s="3">
        <v>5</v>
      </c>
      <c r="F170" s="1" t="s">
        <v>17</v>
      </c>
    </row>
    <row r="171" spans="2:6" x14ac:dyDescent="0.25">
      <c r="B171" s="4">
        <v>42767</v>
      </c>
      <c r="C171" s="5">
        <f t="shared" si="2"/>
        <v>2017</v>
      </c>
      <c r="D171" s="6" t="s">
        <v>18</v>
      </c>
      <c r="E171" s="7">
        <v>18.23</v>
      </c>
      <c r="F171" s="6" t="s">
        <v>18</v>
      </c>
    </row>
    <row r="172" spans="2:6" x14ac:dyDescent="0.25">
      <c r="B172" s="4">
        <v>42795</v>
      </c>
      <c r="C172" s="5">
        <f t="shared" si="2"/>
        <v>2017</v>
      </c>
      <c r="D172" s="6" t="s">
        <v>5</v>
      </c>
      <c r="E172" s="3">
        <v>55</v>
      </c>
      <c r="F172" s="1" t="s">
        <v>6</v>
      </c>
    </row>
    <row r="173" spans="2:6" x14ac:dyDescent="0.25">
      <c r="B173" s="4">
        <v>42795</v>
      </c>
      <c r="C173" s="5">
        <f t="shared" si="2"/>
        <v>2017</v>
      </c>
      <c r="D173" s="6" t="s">
        <v>7</v>
      </c>
      <c r="E173" s="3">
        <v>49</v>
      </c>
      <c r="F173" s="1" t="s">
        <v>8</v>
      </c>
    </row>
    <row r="174" spans="2:6" x14ac:dyDescent="0.25">
      <c r="B174" s="4">
        <v>42795</v>
      </c>
      <c r="C174" s="5">
        <f t="shared" si="2"/>
        <v>2017</v>
      </c>
      <c r="D174" s="6" t="s">
        <v>9</v>
      </c>
      <c r="E174" s="3">
        <v>37</v>
      </c>
      <c r="F174" s="1" t="s">
        <v>6</v>
      </c>
    </row>
    <row r="175" spans="2:6" x14ac:dyDescent="0.25">
      <c r="B175" s="4">
        <v>42795</v>
      </c>
      <c r="C175" s="5">
        <f t="shared" si="2"/>
        <v>2017</v>
      </c>
      <c r="D175" s="6" t="s">
        <v>10</v>
      </c>
      <c r="E175" s="3">
        <v>20</v>
      </c>
      <c r="F175" s="1" t="s">
        <v>8</v>
      </c>
    </row>
    <row r="176" spans="2:6" x14ac:dyDescent="0.25">
      <c r="B176" s="4">
        <v>42795</v>
      </c>
      <c r="C176" s="5">
        <f t="shared" si="2"/>
        <v>2017</v>
      </c>
      <c r="D176" s="6" t="s">
        <v>11</v>
      </c>
      <c r="E176" s="3">
        <v>46</v>
      </c>
      <c r="F176" s="1" t="s">
        <v>6</v>
      </c>
    </row>
    <row r="177" spans="2:6" x14ac:dyDescent="0.25">
      <c r="B177" s="4">
        <v>42795</v>
      </c>
      <c r="C177" s="5">
        <f t="shared" si="2"/>
        <v>2017</v>
      </c>
      <c r="D177" s="6" t="s">
        <v>12</v>
      </c>
      <c r="E177" s="3">
        <v>18</v>
      </c>
      <c r="F177" s="1" t="s">
        <v>8</v>
      </c>
    </row>
    <row r="178" spans="2:6" x14ac:dyDescent="0.25">
      <c r="B178" s="4">
        <v>42795</v>
      </c>
      <c r="C178" s="5">
        <f t="shared" si="2"/>
        <v>2017</v>
      </c>
      <c r="D178" s="6" t="s">
        <v>13</v>
      </c>
      <c r="E178" s="3">
        <v>56</v>
      </c>
      <c r="F178" s="1" t="s">
        <v>6</v>
      </c>
    </row>
    <row r="179" spans="2:6" x14ac:dyDescent="0.25">
      <c r="B179" s="4">
        <v>42795</v>
      </c>
      <c r="C179" s="5">
        <f t="shared" si="2"/>
        <v>2017</v>
      </c>
      <c r="D179" s="6" t="s">
        <v>14</v>
      </c>
      <c r="E179" s="3">
        <v>35</v>
      </c>
      <c r="F179" s="1" t="s">
        <v>8</v>
      </c>
    </row>
    <row r="180" spans="2:6" x14ac:dyDescent="0.25">
      <c r="B180" s="4">
        <v>42795</v>
      </c>
      <c r="C180" s="5">
        <f t="shared" si="2"/>
        <v>2017</v>
      </c>
      <c r="D180" s="6" t="s">
        <v>15</v>
      </c>
      <c r="E180" s="3">
        <v>104.28</v>
      </c>
      <c r="F180" s="1" t="s">
        <v>15</v>
      </c>
    </row>
    <row r="181" spans="2:6" x14ac:dyDescent="0.25">
      <c r="B181" s="4">
        <v>42795</v>
      </c>
      <c r="C181" s="5">
        <f t="shared" si="2"/>
        <v>2017</v>
      </c>
      <c r="D181" s="6" t="s">
        <v>16</v>
      </c>
      <c r="E181" s="3">
        <v>4</v>
      </c>
      <c r="F181" s="1" t="s">
        <v>16</v>
      </c>
    </row>
    <row r="182" spans="2:6" x14ac:dyDescent="0.25">
      <c r="B182" s="4">
        <v>42795</v>
      </c>
      <c r="C182" s="5">
        <f t="shared" si="2"/>
        <v>2017</v>
      </c>
      <c r="D182" s="6" t="s">
        <v>17</v>
      </c>
      <c r="E182" s="3">
        <v>6</v>
      </c>
      <c r="F182" s="1" t="s">
        <v>17</v>
      </c>
    </row>
    <row r="183" spans="2:6" x14ac:dyDescent="0.25">
      <c r="B183" s="4">
        <v>42795</v>
      </c>
      <c r="C183" s="5">
        <f t="shared" si="2"/>
        <v>2017</v>
      </c>
      <c r="D183" s="6" t="s">
        <v>18</v>
      </c>
      <c r="E183" s="7">
        <v>16.73</v>
      </c>
      <c r="F183" s="6" t="s">
        <v>18</v>
      </c>
    </row>
    <row r="184" spans="2:6" x14ac:dyDescent="0.25">
      <c r="B184" s="4">
        <v>42826</v>
      </c>
      <c r="C184" s="5">
        <f t="shared" si="2"/>
        <v>2017</v>
      </c>
      <c r="D184" s="6" t="s">
        <v>5</v>
      </c>
      <c r="E184" s="3">
        <v>56</v>
      </c>
      <c r="F184" s="1" t="s">
        <v>6</v>
      </c>
    </row>
    <row r="185" spans="2:6" x14ac:dyDescent="0.25">
      <c r="B185" s="4">
        <v>42826</v>
      </c>
      <c r="C185" s="5">
        <f t="shared" si="2"/>
        <v>2017</v>
      </c>
      <c r="D185" s="6" t="s">
        <v>7</v>
      </c>
      <c r="E185" s="3">
        <v>47</v>
      </c>
      <c r="F185" s="1" t="s">
        <v>8</v>
      </c>
    </row>
    <row r="186" spans="2:6" x14ac:dyDescent="0.25">
      <c r="B186" s="4">
        <v>42826</v>
      </c>
      <c r="C186" s="5">
        <f t="shared" si="2"/>
        <v>2017</v>
      </c>
      <c r="D186" s="6" t="s">
        <v>9</v>
      </c>
      <c r="E186" s="3">
        <v>38</v>
      </c>
      <c r="F186" s="1" t="s">
        <v>6</v>
      </c>
    </row>
    <row r="187" spans="2:6" x14ac:dyDescent="0.25">
      <c r="B187" s="4">
        <v>42826</v>
      </c>
      <c r="C187" s="5">
        <f t="shared" si="2"/>
        <v>2017</v>
      </c>
      <c r="D187" s="6" t="s">
        <v>10</v>
      </c>
      <c r="E187" s="3">
        <v>13</v>
      </c>
      <c r="F187" s="1" t="s">
        <v>8</v>
      </c>
    </row>
    <row r="188" spans="2:6" x14ac:dyDescent="0.25">
      <c r="B188" s="4">
        <v>42826</v>
      </c>
      <c r="C188" s="5">
        <f t="shared" si="2"/>
        <v>2017</v>
      </c>
      <c r="D188" s="6" t="s">
        <v>11</v>
      </c>
      <c r="E188" s="3">
        <v>41</v>
      </c>
      <c r="F188" s="1" t="s">
        <v>6</v>
      </c>
    </row>
    <row r="189" spans="2:6" x14ac:dyDescent="0.25">
      <c r="B189" s="4">
        <v>42826</v>
      </c>
      <c r="C189" s="5">
        <f t="shared" si="2"/>
        <v>2017</v>
      </c>
      <c r="D189" s="6" t="s">
        <v>12</v>
      </c>
      <c r="E189" s="3">
        <v>18</v>
      </c>
      <c r="F189" s="1" t="s">
        <v>8</v>
      </c>
    </row>
    <row r="190" spans="2:6" x14ac:dyDescent="0.25">
      <c r="B190" s="4">
        <v>42826</v>
      </c>
      <c r="C190" s="5">
        <f t="shared" si="2"/>
        <v>2017</v>
      </c>
      <c r="D190" s="6" t="s">
        <v>13</v>
      </c>
      <c r="E190" s="3">
        <v>57</v>
      </c>
      <c r="F190" s="1" t="s">
        <v>6</v>
      </c>
    </row>
    <row r="191" spans="2:6" x14ac:dyDescent="0.25">
      <c r="B191" s="4">
        <v>42826</v>
      </c>
      <c r="C191" s="5">
        <f t="shared" si="2"/>
        <v>2017</v>
      </c>
      <c r="D191" s="6" t="s">
        <v>14</v>
      </c>
      <c r="E191" s="3">
        <v>32</v>
      </c>
      <c r="F191" s="1" t="s">
        <v>8</v>
      </c>
    </row>
    <row r="192" spans="2:6" x14ac:dyDescent="0.25">
      <c r="B192" s="4">
        <v>42826</v>
      </c>
      <c r="C192" s="5">
        <f t="shared" si="2"/>
        <v>2017</v>
      </c>
      <c r="D192" s="6" t="s">
        <v>15</v>
      </c>
      <c r="E192" s="3">
        <v>105.69999999999999</v>
      </c>
      <c r="F192" s="1" t="s">
        <v>15</v>
      </c>
    </row>
    <row r="193" spans="2:6" x14ac:dyDescent="0.25">
      <c r="B193" s="4">
        <v>42826</v>
      </c>
      <c r="C193" s="5">
        <f t="shared" si="2"/>
        <v>2017</v>
      </c>
      <c r="D193" s="6" t="s">
        <v>16</v>
      </c>
      <c r="E193" s="3">
        <v>3</v>
      </c>
      <c r="F193" s="1" t="s">
        <v>16</v>
      </c>
    </row>
    <row r="194" spans="2:6" x14ac:dyDescent="0.25">
      <c r="B194" s="4">
        <v>42826</v>
      </c>
      <c r="C194" s="5">
        <f t="shared" si="2"/>
        <v>2017</v>
      </c>
      <c r="D194" s="6" t="s">
        <v>17</v>
      </c>
      <c r="E194" s="3">
        <v>5</v>
      </c>
      <c r="F194" s="1" t="s">
        <v>17</v>
      </c>
    </row>
    <row r="195" spans="2:6" x14ac:dyDescent="0.25">
      <c r="B195" s="4">
        <v>42826</v>
      </c>
      <c r="C195" s="5">
        <f t="shared" si="2"/>
        <v>2017</v>
      </c>
      <c r="D195" s="6" t="s">
        <v>18</v>
      </c>
      <c r="E195" s="7">
        <v>16.53</v>
      </c>
      <c r="F195" s="6" t="s">
        <v>18</v>
      </c>
    </row>
    <row r="196" spans="2:6" x14ac:dyDescent="0.25">
      <c r="B196" s="4">
        <v>42856</v>
      </c>
      <c r="C196" s="5">
        <f t="shared" si="2"/>
        <v>2017</v>
      </c>
      <c r="D196" s="6" t="s">
        <v>5</v>
      </c>
      <c r="E196" s="3">
        <v>62</v>
      </c>
      <c r="F196" s="1" t="s">
        <v>6</v>
      </c>
    </row>
    <row r="197" spans="2:6" x14ac:dyDescent="0.25">
      <c r="B197" s="4">
        <v>42856</v>
      </c>
      <c r="C197" s="5">
        <f t="shared" ref="C197:C260" si="3">YEAR(B197)</f>
        <v>2017</v>
      </c>
      <c r="D197" s="6" t="s">
        <v>7</v>
      </c>
      <c r="E197" s="3">
        <v>46</v>
      </c>
      <c r="F197" s="1" t="s">
        <v>8</v>
      </c>
    </row>
    <row r="198" spans="2:6" x14ac:dyDescent="0.25">
      <c r="B198" s="4">
        <v>42856</v>
      </c>
      <c r="C198" s="5">
        <f t="shared" si="3"/>
        <v>2017</v>
      </c>
      <c r="D198" s="6" t="s">
        <v>9</v>
      </c>
      <c r="E198" s="3">
        <v>37</v>
      </c>
      <c r="F198" s="1" t="s">
        <v>6</v>
      </c>
    </row>
    <row r="199" spans="2:6" x14ac:dyDescent="0.25">
      <c r="B199" s="4">
        <v>42856</v>
      </c>
      <c r="C199" s="5">
        <f t="shared" si="3"/>
        <v>2017</v>
      </c>
      <c r="D199" s="6" t="s">
        <v>10</v>
      </c>
      <c r="E199" s="3">
        <v>18</v>
      </c>
      <c r="F199" s="1" t="s">
        <v>8</v>
      </c>
    </row>
    <row r="200" spans="2:6" x14ac:dyDescent="0.25">
      <c r="B200" s="4">
        <v>42856</v>
      </c>
      <c r="C200" s="5">
        <f t="shared" si="3"/>
        <v>2017</v>
      </c>
      <c r="D200" s="6" t="s">
        <v>11</v>
      </c>
      <c r="E200" s="3">
        <v>35</v>
      </c>
      <c r="F200" s="1" t="s">
        <v>6</v>
      </c>
    </row>
    <row r="201" spans="2:6" x14ac:dyDescent="0.25">
      <c r="B201" s="4">
        <v>42856</v>
      </c>
      <c r="C201" s="5">
        <f t="shared" si="3"/>
        <v>2017</v>
      </c>
      <c r="D201" s="6" t="s">
        <v>12</v>
      </c>
      <c r="E201" s="3">
        <v>17</v>
      </c>
      <c r="F201" s="1" t="s">
        <v>8</v>
      </c>
    </row>
    <row r="202" spans="2:6" x14ac:dyDescent="0.25">
      <c r="B202" s="4">
        <v>42856</v>
      </c>
      <c r="C202" s="5">
        <f t="shared" si="3"/>
        <v>2017</v>
      </c>
      <c r="D202" s="6" t="s">
        <v>13</v>
      </c>
      <c r="E202" s="3">
        <v>57</v>
      </c>
      <c r="F202" s="1" t="s">
        <v>6</v>
      </c>
    </row>
    <row r="203" spans="2:6" x14ac:dyDescent="0.25">
      <c r="B203" s="4">
        <v>42856</v>
      </c>
      <c r="C203" s="5">
        <f t="shared" si="3"/>
        <v>2017</v>
      </c>
      <c r="D203" s="6" t="s">
        <v>14</v>
      </c>
      <c r="E203" s="3">
        <v>32</v>
      </c>
      <c r="F203" s="1" t="s">
        <v>8</v>
      </c>
    </row>
    <row r="204" spans="2:6" x14ac:dyDescent="0.25">
      <c r="B204" s="4">
        <v>42856</v>
      </c>
      <c r="C204" s="5">
        <f t="shared" si="3"/>
        <v>2017</v>
      </c>
      <c r="D204" s="6" t="s">
        <v>15</v>
      </c>
      <c r="E204" s="3">
        <v>109.44</v>
      </c>
      <c r="F204" s="1" t="s">
        <v>15</v>
      </c>
    </row>
    <row r="205" spans="2:6" x14ac:dyDescent="0.25">
      <c r="B205" s="4">
        <v>42856</v>
      </c>
      <c r="C205" s="5">
        <f t="shared" si="3"/>
        <v>2017</v>
      </c>
      <c r="D205" s="6" t="s">
        <v>16</v>
      </c>
      <c r="E205" s="3">
        <v>3</v>
      </c>
      <c r="F205" s="1" t="s">
        <v>16</v>
      </c>
    </row>
    <row r="206" spans="2:6" x14ac:dyDescent="0.25">
      <c r="B206" s="4">
        <v>42856</v>
      </c>
      <c r="C206" s="5">
        <f t="shared" si="3"/>
        <v>2017</v>
      </c>
      <c r="D206" s="6" t="s">
        <v>17</v>
      </c>
      <c r="E206" s="3">
        <v>5</v>
      </c>
      <c r="F206" s="1" t="s">
        <v>17</v>
      </c>
    </row>
    <row r="207" spans="2:6" x14ac:dyDescent="0.25">
      <c r="B207" s="4">
        <v>42856</v>
      </c>
      <c r="C207" s="5">
        <f t="shared" si="3"/>
        <v>2017</v>
      </c>
      <c r="D207" s="6" t="s">
        <v>18</v>
      </c>
      <c r="E207" s="7">
        <v>16.400000000000002</v>
      </c>
      <c r="F207" s="6" t="s">
        <v>18</v>
      </c>
    </row>
    <row r="208" spans="2:6" x14ac:dyDescent="0.25">
      <c r="B208" s="4">
        <v>42887</v>
      </c>
      <c r="C208" s="5">
        <f t="shared" si="3"/>
        <v>2017</v>
      </c>
      <c r="D208" s="6" t="s">
        <v>5</v>
      </c>
      <c r="E208" s="3">
        <v>70</v>
      </c>
      <c r="F208" s="1" t="s">
        <v>6</v>
      </c>
    </row>
    <row r="209" spans="2:6" x14ac:dyDescent="0.25">
      <c r="B209" s="4">
        <v>42887</v>
      </c>
      <c r="C209" s="5">
        <f t="shared" si="3"/>
        <v>2017</v>
      </c>
      <c r="D209" s="6" t="s">
        <v>7</v>
      </c>
      <c r="E209" s="3">
        <v>56</v>
      </c>
      <c r="F209" s="1" t="s">
        <v>8</v>
      </c>
    </row>
    <row r="210" spans="2:6" x14ac:dyDescent="0.25">
      <c r="B210" s="4">
        <v>42887</v>
      </c>
      <c r="C210" s="5">
        <f t="shared" si="3"/>
        <v>2017</v>
      </c>
      <c r="D210" s="6" t="s">
        <v>9</v>
      </c>
      <c r="E210" s="3">
        <v>33</v>
      </c>
      <c r="F210" s="1" t="s">
        <v>6</v>
      </c>
    </row>
    <row r="211" spans="2:6" x14ac:dyDescent="0.25">
      <c r="B211" s="4">
        <v>42887</v>
      </c>
      <c r="C211" s="5">
        <f t="shared" si="3"/>
        <v>2017</v>
      </c>
      <c r="D211" s="6" t="s">
        <v>10</v>
      </c>
      <c r="E211" s="3">
        <v>16</v>
      </c>
      <c r="F211" s="1" t="s">
        <v>8</v>
      </c>
    </row>
    <row r="212" spans="2:6" x14ac:dyDescent="0.25">
      <c r="B212" s="4">
        <v>42887</v>
      </c>
      <c r="C212" s="5">
        <f t="shared" si="3"/>
        <v>2017</v>
      </c>
      <c r="D212" s="6" t="s">
        <v>11</v>
      </c>
      <c r="E212" s="3">
        <v>49</v>
      </c>
      <c r="F212" s="1" t="s">
        <v>6</v>
      </c>
    </row>
    <row r="213" spans="2:6" x14ac:dyDescent="0.25">
      <c r="B213" s="4">
        <v>42887</v>
      </c>
      <c r="C213" s="5">
        <f t="shared" si="3"/>
        <v>2017</v>
      </c>
      <c r="D213" s="6" t="s">
        <v>12</v>
      </c>
      <c r="E213" s="3">
        <v>17</v>
      </c>
      <c r="F213" s="1" t="s">
        <v>8</v>
      </c>
    </row>
    <row r="214" spans="2:6" x14ac:dyDescent="0.25">
      <c r="B214" s="4">
        <v>42887</v>
      </c>
      <c r="C214" s="5">
        <f t="shared" si="3"/>
        <v>2017</v>
      </c>
      <c r="D214" s="6" t="s">
        <v>13</v>
      </c>
      <c r="E214" s="3">
        <v>64</v>
      </c>
      <c r="F214" s="1" t="s">
        <v>6</v>
      </c>
    </row>
    <row r="215" spans="2:6" x14ac:dyDescent="0.25">
      <c r="B215" s="4">
        <v>42887</v>
      </c>
      <c r="C215" s="5">
        <f t="shared" si="3"/>
        <v>2017</v>
      </c>
      <c r="D215" s="6" t="s">
        <v>14</v>
      </c>
      <c r="E215" s="3">
        <v>33</v>
      </c>
      <c r="F215" s="1" t="s">
        <v>8</v>
      </c>
    </row>
    <row r="216" spans="2:6" x14ac:dyDescent="0.25">
      <c r="B216" s="4">
        <v>42887</v>
      </c>
      <c r="C216" s="5">
        <f t="shared" si="3"/>
        <v>2017</v>
      </c>
      <c r="D216" s="6" t="s">
        <v>15</v>
      </c>
      <c r="E216" s="3">
        <v>104.78</v>
      </c>
      <c r="F216" s="1" t="s">
        <v>15</v>
      </c>
    </row>
    <row r="217" spans="2:6" x14ac:dyDescent="0.25">
      <c r="B217" s="4">
        <v>42887</v>
      </c>
      <c r="C217" s="5">
        <f t="shared" si="3"/>
        <v>2017</v>
      </c>
      <c r="D217" s="6" t="s">
        <v>16</v>
      </c>
      <c r="E217" s="3">
        <v>4</v>
      </c>
      <c r="F217" s="1" t="s">
        <v>16</v>
      </c>
    </row>
    <row r="218" spans="2:6" x14ac:dyDescent="0.25">
      <c r="B218" s="4">
        <v>42887</v>
      </c>
      <c r="C218" s="5">
        <f t="shared" si="3"/>
        <v>2017</v>
      </c>
      <c r="D218" s="6" t="s">
        <v>17</v>
      </c>
      <c r="E218" s="3">
        <v>6</v>
      </c>
      <c r="F218" s="1" t="s">
        <v>17</v>
      </c>
    </row>
    <row r="219" spans="2:6" x14ac:dyDescent="0.25">
      <c r="B219" s="4">
        <v>42887</v>
      </c>
      <c r="C219" s="5">
        <f t="shared" si="3"/>
        <v>2017</v>
      </c>
      <c r="D219" s="6" t="s">
        <v>18</v>
      </c>
      <c r="E219" s="7">
        <v>18.72</v>
      </c>
      <c r="F219" s="6" t="s">
        <v>18</v>
      </c>
    </row>
    <row r="220" spans="2:6" x14ac:dyDescent="0.25">
      <c r="B220" s="4">
        <v>42917</v>
      </c>
      <c r="C220" s="5">
        <f t="shared" si="3"/>
        <v>2017</v>
      </c>
      <c r="D220" s="6" t="s">
        <v>5</v>
      </c>
      <c r="E220" s="3">
        <v>68</v>
      </c>
      <c r="F220" s="1" t="s">
        <v>6</v>
      </c>
    </row>
    <row r="221" spans="2:6" x14ac:dyDescent="0.25">
      <c r="B221" s="4">
        <v>42917</v>
      </c>
      <c r="C221" s="5">
        <f t="shared" si="3"/>
        <v>2017</v>
      </c>
      <c r="D221" s="6" t="s">
        <v>7</v>
      </c>
      <c r="E221" s="3">
        <v>52</v>
      </c>
      <c r="F221" s="1" t="s">
        <v>8</v>
      </c>
    </row>
    <row r="222" spans="2:6" x14ac:dyDescent="0.25">
      <c r="B222" s="4">
        <v>42917</v>
      </c>
      <c r="C222" s="5">
        <f t="shared" si="3"/>
        <v>2017</v>
      </c>
      <c r="D222" s="6" t="s">
        <v>9</v>
      </c>
      <c r="E222" s="3">
        <v>33</v>
      </c>
      <c r="F222" s="1" t="s">
        <v>6</v>
      </c>
    </row>
    <row r="223" spans="2:6" x14ac:dyDescent="0.25">
      <c r="B223" s="4">
        <v>42917</v>
      </c>
      <c r="C223" s="5">
        <f t="shared" si="3"/>
        <v>2017</v>
      </c>
      <c r="D223" s="6" t="s">
        <v>10</v>
      </c>
      <c r="E223" s="3">
        <v>16</v>
      </c>
      <c r="F223" s="1" t="s">
        <v>8</v>
      </c>
    </row>
    <row r="224" spans="2:6" x14ac:dyDescent="0.25">
      <c r="B224" s="4">
        <v>42917</v>
      </c>
      <c r="C224" s="5">
        <f t="shared" si="3"/>
        <v>2017</v>
      </c>
      <c r="D224" s="6" t="s">
        <v>11</v>
      </c>
      <c r="E224" s="3">
        <v>40</v>
      </c>
      <c r="F224" s="1" t="s">
        <v>6</v>
      </c>
    </row>
    <row r="225" spans="2:6" x14ac:dyDescent="0.25">
      <c r="B225" s="4">
        <v>42917</v>
      </c>
      <c r="C225" s="5">
        <f t="shared" si="3"/>
        <v>2017</v>
      </c>
      <c r="D225" s="6" t="s">
        <v>12</v>
      </c>
      <c r="E225" s="3">
        <v>15</v>
      </c>
      <c r="F225" s="1" t="s">
        <v>8</v>
      </c>
    </row>
    <row r="226" spans="2:6" x14ac:dyDescent="0.25">
      <c r="B226" s="4">
        <v>42917</v>
      </c>
      <c r="C226" s="5">
        <f t="shared" si="3"/>
        <v>2017</v>
      </c>
      <c r="D226" s="6" t="s">
        <v>13</v>
      </c>
      <c r="E226" s="3">
        <v>55</v>
      </c>
      <c r="F226" s="1" t="s">
        <v>6</v>
      </c>
    </row>
    <row r="227" spans="2:6" x14ac:dyDescent="0.25">
      <c r="B227" s="4">
        <v>42917</v>
      </c>
      <c r="C227" s="5">
        <f t="shared" si="3"/>
        <v>2017</v>
      </c>
      <c r="D227" s="6" t="s">
        <v>14</v>
      </c>
      <c r="E227" s="3">
        <v>31</v>
      </c>
      <c r="F227" s="1" t="s">
        <v>8</v>
      </c>
    </row>
    <row r="228" spans="2:6" x14ac:dyDescent="0.25">
      <c r="B228" s="4">
        <v>42917</v>
      </c>
      <c r="C228" s="5">
        <f t="shared" si="3"/>
        <v>2017</v>
      </c>
      <c r="D228" s="6" t="s">
        <v>15</v>
      </c>
      <c r="E228" s="3">
        <v>99.2</v>
      </c>
      <c r="F228" s="1" t="s">
        <v>15</v>
      </c>
    </row>
    <row r="229" spans="2:6" x14ac:dyDescent="0.25">
      <c r="B229" s="4">
        <v>42917</v>
      </c>
      <c r="C229" s="5">
        <f t="shared" si="3"/>
        <v>2017</v>
      </c>
      <c r="D229" s="6" t="s">
        <v>16</v>
      </c>
      <c r="E229" s="3">
        <v>4</v>
      </c>
      <c r="F229" s="1" t="s">
        <v>16</v>
      </c>
    </row>
    <row r="230" spans="2:6" x14ac:dyDescent="0.25">
      <c r="B230" s="4">
        <v>42917</v>
      </c>
      <c r="C230" s="5">
        <f t="shared" si="3"/>
        <v>2017</v>
      </c>
      <c r="D230" s="6" t="s">
        <v>17</v>
      </c>
      <c r="E230" s="3">
        <v>5</v>
      </c>
      <c r="F230" s="1" t="s">
        <v>17</v>
      </c>
    </row>
    <row r="231" spans="2:6" x14ac:dyDescent="0.25">
      <c r="B231" s="4">
        <v>42917</v>
      </c>
      <c r="C231" s="5">
        <f t="shared" si="3"/>
        <v>2017</v>
      </c>
      <c r="D231" s="6" t="s">
        <v>18</v>
      </c>
      <c r="E231" s="7">
        <v>16.850000000000001</v>
      </c>
      <c r="F231" s="6" t="s">
        <v>18</v>
      </c>
    </row>
    <row r="232" spans="2:6" x14ac:dyDescent="0.25">
      <c r="B232" s="4">
        <v>42948</v>
      </c>
      <c r="C232" s="5">
        <f t="shared" si="3"/>
        <v>2017</v>
      </c>
      <c r="D232" s="6" t="s">
        <v>5</v>
      </c>
      <c r="E232" s="3">
        <v>69</v>
      </c>
      <c r="F232" s="1" t="s">
        <v>6</v>
      </c>
    </row>
    <row r="233" spans="2:6" x14ac:dyDescent="0.25">
      <c r="B233" s="4">
        <v>42948</v>
      </c>
      <c r="C233" s="5">
        <f t="shared" si="3"/>
        <v>2017</v>
      </c>
      <c r="D233" s="6" t="s">
        <v>7</v>
      </c>
      <c r="E233" s="3">
        <v>48</v>
      </c>
      <c r="F233" s="1" t="s">
        <v>8</v>
      </c>
    </row>
    <row r="234" spans="2:6" x14ac:dyDescent="0.25">
      <c r="B234" s="4">
        <v>42948</v>
      </c>
      <c r="C234" s="5">
        <f t="shared" si="3"/>
        <v>2017</v>
      </c>
      <c r="D234" s="6" t="s">
        <v>9</v>
      </c>
      <c r="E234" s="3">
        <v>39</v>
      </c>
      <c r="F234" s="1" t="s">
        <v>6</v>
      </c>
    </row>
    <row r="235" spans="2:6" x14ac:dyDescent="0.25">
      <c r="B235" s="4">
        <v>42948</v>
      </c>
      <c r="C235" s="5">
        <f t="shared" si="3"/>
        <v>2017</v>
      </c>
      <c r="D235" s="6" t="s">
        <v>10</v>
      </c>
      <c r="E235" s="3">
        <v>20</v>
      </c>
      <c r="F235" s="1" t="s">
        <v>8</v>
      </c>
    </row>
    <row r="236" spans="2:6" x14ac:dyDescent="0.25">
      <c r="B236" s="4">
        <v>42948</v>
      </c>
      <c r="C236" s="5">
        <f t="shared" si="3"/>
        <v>2017</v>
      </c>
      <c r="D236" s="6" t="s">
        <v>11</v>
      </c>
      <c r="E236" s="3">
        <v>50</v>
      </c>
      <c r="F236" s="1" t="s">
        <v>6</v>
      </c>
    </row>
    <row r="237" spans="2:6" x14ac:dyDescent="0.25">
      <c r="B237" s="4">
        <v>42948</v>
      </c>
      <c r="C237" s="5">
        <f t="shared" si="3"/>
        <v>2017</v>
      </c>
      <c r="D237" s="6" t="s">
        <v>12</v>
      </c>
      <c r="E237" s="3">
        <v>15</v>
      </c>
      <c r="F237" s="1" t="s">
        <v>8</v>
      </c>
    </row>
    <row r="238" spans="2:6" x14ac:dyDescent="0.25">
      <c r="B238" s="4">
        <v>42948</v>
      </c>
      <c r="C238" s="5">
        <f t="shared" si="3"/>
        <v>2017</v>
      </c>
      <c r="D238" s="6" t="s">
        <v>13</v>
      </c>
      <c r="E238" s="3">
        <v>64</v>
      </c>
      <c r="F238" s="1" t="s">
        <v>6</v>
      </c>
    </row>
    <row r="239" spans="2:6" x14ac:dyDescent="0.25">
      <c r="B239" s="4">
        <v>42948</v>
      </c>
      <c r="C239" s="5">
        <f t="shared" si="3"/>
        <v>2017</v>
      </c>
      <c r="D239" s="6" t="s">
        <v>14</v>
      </c>
      <c r="E239" s="3">
        <v>32</v>
      </c>
      <c r="F239" s="1" t="s">
        <v>8</v>
      </c>
    </row>
    <row r="240" spans="2:6" x14ac:dyDescent="0.25">
      <c r="B240" s="4">
        <v>42948</v>
      </c>
      <c r="C240" s="5">
        <f t="shared" si="3"/>
        <v>2017</v>
      </c>
      <c r="D240" s="6" t="s">
        <v>15</v>
      </c>
      <c r="E240" s="3">
        <v>104.47</v>
      </c>
      <c r="F240" s="1" t="s">
        <v>15</v>
      </c>
    </row>
    <row r="241" spans="2:6" x14ac:dyDescent="0.25">
      <c r="B241" s="4">
        <v>42948</v>
      </c>
      <c r="C241" s="5">
        <f t="shared" si="3"/>
        <v>2017</v>
      </c>
      <c r="D241" s="6" t="s">
        <v>16</v>
      </c>
      <c r="E241" s="3">
        <v>4</v>
      </c>
      <c r="F241" s="1" t="s">
        <v>16</v>
      </c>
    </row>
    <row r="242" spans="2:6" x14ac:dyDescent="0.25">
      <c r="B242" s="4">
        <v>42948</v>
      </c>
      <c r="C242" s="5">
        <f t="shared" si="3"/>
        <v>2017</v>
      </c>
      <c r="D242" s="6" t="s">
        <v>17</v>
      </c>
      <c r="E242" s="3">
        <v>5</v>
      </c>
      <c r="F242" s="1" t="s">
        <v>17</v>
      </c>
    </row>
    <row r="243" spans="2:6" x14ac:dyDescent="0.25">
      <c r="B243" s="4">
        <v>42948</v>
      </c>
      <c r="C243" s="5">
        <f t="shared" si="3"/>
        <v>2017</v>
      </c>
      <c r="D243" s="6" t="s">
        <v>18</v>
      </c>
      <c r="E243" s="7">
        <v>19.149999999999999</v>
      </c>
      <c r="F243" s="6" t="s">
        <v>18</v>
      </c>
    </row>
    <row r="244" spans="2:6" x14ac:dyDescent="0.25">
      <c r="B244" s="4">
        <v>42979</v>
      </c>
      <c r="C244" s="5">
        <f t="shared" si="3"/>
        <v>2017</v>
      </c>
      <c r="D244" s="6" t="s">
        <v>5</v>
      </c>
      <c r="E244" s="3">
        <v>57</v>
      </c>
      <c r="F244" s="1" t="s">
        <v>6</v>
      </c>
    </row>
    <row r="245" spans="2:6" x14ac:dyDescent="0.25">
      <c r="B245" s="4">
        <v>42979</v>
      </c>
      <c r="C245" s="5">
        <f t="shared" si="3"/>
        <v>2017</v>
      </c>
      <c r="D245" s="6" t="s">
        <v>7</v>
      </c>
      <c r="E245" s="3">
        <v>53</v>
      </c>
      <c r="F245" s="1" t="s">
        <v>8</v>
      </c>
    </row>
    <row r="246" spans="2:6" x14ac:dyDescent="0.25">
      <c r="B246" s="4">
        <v>42979</v>
      </c>
      <c r="C246" s="5">
        <f t="shared" si="3"/>
        <v>2017</v>
      </c>
      <c r="D246" s="6" t="s">
        <v>9</v>
      </c>
      <c r="E246" s="3">
        <v>28</v>
      </c>
      <c r="F246" s="1" t="s">
        <v>6</v>
      </c>
    </row>
    <row r="247" spans="2:6" x14ac:dyDescent="0.25">
      <c r="B247" s="4">
        <v>42979</v>
      </c>
      <c r="C247" s="5">
        <f t="shared" si="3"/>
        <v>2017</v>
      </c>
      <c r="D247" s="6" t="s">
        <v>10</v>
      </c>
      <c r="E247" s="3">
        <v>17</v>
      </c>
      <c r="F247" s="1" t="s">
        <v>8</v>
      </c>
    </row>
    <row r="248" spans="2:6" x14ac:dyDescent="0.25">
      <c r="B248" s="4">
        <v>42979</v>
      </c>
      <c r="C248" s="5">
        <f t="shared" si="3"/>
        <v>2017</v>
      </c>
      <c r="D248" s="6" t="s">
        <v>11</v>
      </c>
      <c r="E248" s="3">
        <v>42</v>
      </c>
      <c r="F248" s="1" t="s">
        <v>6</v>
      </c>
    </row>
    <row r="249" spans="2:6" x14ac:dyDescent="0.25">
      <c r="B249" s="4">
        <v>42979</v>
      </c>
      <c r="C249" s="5">
        <f t="shared" si="3"/>
        <v>2017</v>
      </c>
      <c r="D249" s="6" t="s">
        <v>12</v>
      </c>
      <c r="E249" s="3">
        <v>14</v>
      </c>
      <c r="F249" s="1" t="s">
        <v>8</v>
      </c>
    </row>
    <row r="250" spans="2:6" x14ac:dyDescent="0.25">
      <c r="B250" s="4">
        <v>42979</v>
      </c>
      <c r="C250" s="5">
        <f t="shared" si="3"/>
        <v>2017</v>
      </c>
      <c r="D250" s="6" t="s">
        <v>13</v>
      </c>
      <c r="E250" s="3">
        <v>57</v>
      </c>
      <c r="F250" s="1" t="s">
        <v>6</v>
      </c>
    </row>
    <row r="251" spans="2:6" x14ac:dyDescent="0.25">
      <c r="B251" s="4">
        <v>42979</v>
      </c>
      <c r="C251" s="5">
        <f t="shared" si="3"/>
        <v>2017</v>
      </c>
      <c r="D251" s="6" t="s">
        <v>14</v>
      </c>
      <c r="E251" s="3">
        <v>32</v>
      </c>
      <c r="F251" s="1" t="s">
        <v>8</v>
      </c>
    </row>
    <row r="252" spans="2:6" x14ac:dyDescent="0.25">
      <c r="B252" s="4">
        <v>42979</v>
      </c>
      <c r="C252" s="5">
        <f t="shared" si="3"/>
        <v>2017</v>
      </c>
      <c r="D252" s="6" t="s">
        <v>15</v>
      </c>
      <c r="E252" s="3">
        <v>96</v>
      </c>
      <c r="F252" s="1" t="s">
        <v>15</v>
      </c>
    </row>
    <row r="253" spans="2:6" x14ac:dyDescent="0.25">
      <c r="B253" s="4">
        <v>42979</v>
      </c>
      <c r="C253" s="5">
        <f t="shared" si="3"/>
        <v>2017</v>
      </c>
      <c r="D253" s="6" t="s">
        <v>16</v>
      </c>
      <c r="E253" s="3">
        <v>4</v>
      </c>
      <c r="F253" s="1" t="s">
        <v>16</v>
      </c>
    </row>
    <row r="254" spans="2:6" x14ac:dyDescent="0.25">
      <c r="B254" s="4">
        <v>42979</v>
      </c>
      <c r="C254" s="5">
        <f t="shared" si="3"/>
        <v>2017</v>
      </c>
      <c r="D254" s="6" t="s">
        <v>17</v>
      </c>
      <c r="E254" s="3">
        <v>5</v>
      </c>
      <c r="F254" s="1" t="s">
        <v>17</v>
      </c>
    </row>
    <row r="255" spans="2:6" x14ac:dyDescent="0.25">
      <c r="B255" s="4">
        <v>42979</v>
      </c>
      <c r="C255" s="5">
        <f t="shared" si="3"/>
        <v>2017</v>
      </c>
      <c r="D255" s="6" t="s">
        <v>18</v>
      </c>
      <c r="E255" s="7">
        <v>16</v>
      </c>
      <c r="F255" s="6" t="s">
        <v>18</v>
      </c>
    </row>
    <row r="256" spans="2:6" x14ac:dyDescent="0.25">
      <c r="B256" s="4">
        <v>43009</v>
      </c>
      <c r="C256" s="5">
        <f t="shared" si="3"/>
        <v>2017</v>
      </c>
      <c r="D256" s="6" t="s">
        <v>5</v>
      </c>
      <c r="E256" s="3">
        <v>72</v>
      </c>
      <c r="F256" s="1" t="s">
        <v>6</v>
      </c>
    </row>
    <row r="257" spans="2:6" x14ac:dyDescent="0.25">
      <c r="B257" s="4">
        <v>43009</v>
      </c>
      <c r="C257" s="5">
        <f t="shared" si="3"/>
        <v>2017</v>
      </c>
      <c r="D257" s="6" t="s">
        <v>7</v>
      </c>
      <c r="E257" s="3">
        <v>58</v>
      </c>
      <c r="F257" s="1" t="s">
        <v>8</v>
      </c>
    </row>
    <row r="258" spans="2:6" x14ac:dyDescent="0.25">
      <c r="B258" s="4">
        <v>43009</v>
      </c>
      <c r="C258" s="5">
        <f t="shared" si="3"/>
        <v>2017</v>
      </c>
      <c r="D258" s="6" t="s">
        <v>9</v>
      </c>
      <c r="E258" s="3">
        <v>39</v>
      </c>
      <c r="F258" s="1" t="s">
        <v>6</v>
      </c>
    </row>
    <row r="259" spans="2:6" x14ac:dyDescent="0.25">
      <c r="B259" s="4">
        <v>43009</v>
      </c>
      <c r="C259" s="5">
        <f t="shared" si="3"/>
        <v>2017</v>
      </c>
      <c r="D259" s="6" t="s">
        <v>10</v>
      </c>
      <c r="E259" s="3">
        <v>13</v>
      </c>
      <c r="F259" s="1" t="s">
        <v>8</v>
      </c>
    </row>
    <row r="260" spans="2:6" x14ac:dyDescent="0.25">
      <c r="B260" s="4">
        <v>43009</v>
      </c>
      <c r="C260" s="5">
        <f t="shared" si="3"/>
        <v>2017</v>
      </c>
      <c r="D260" s="6" t="s">
        <v>11</v>
      </c>
      <c r="E260" s="3">
        <v>39</v>
      </c>
      <c r="F260" s="1" t="s">
        <v>6</v>
      </c>
    </row>
    <row r="261" spans="2:6" x14ac:dyDescent="0.25">
      <c r="B261" s="4">
        <v>43009</v>
      </c>
      <c r="C261" s="5">
        <f t="shared" ref="C261:C324" si="4">YEAR(B261)</f>
        <v>2017</v>
      </c>
      <c r="D261" s="6" t="s">
        <v>12</v>
      </c>
      <c r="E261" s="3">
        <v>14</v>
      </c>
      <c r="F261" s="1" t="s">
        <v>8</v>
      </c>
    </row>
    <row r="262" spans="2:6" x14ac:dyDescent="0.25">
      <c r="B262" s="4">
        <v>43009</v>
      </c>
      <c r="C262" s="5">
        <f t="shared" si="4"/>
        <v>2017</v>
      </c>
      <c r="D262" s="6" t="s">
        <v>13</v>
      </c>
      <c r="E262" s="3">
        <v>56</v>
      </c>
      <c r="F262" s="1" t="s">
        <v>6</v>
      </c>
    </row>
    <row r="263" spans="2:6" x14ac:dyDescent="0.25">
      <c r="B263" s="4">
        <v>43009</v>
      </c>
      <c r="C263" s="5">
        <f t="shared" si="4"/>
        <v>2017</v>
      </c>
      <c r="D263" s="6" t="s">
        <v>14</v>
      </c>
      <c r="E263" s="3">
        <v>32</v>
      </c>
      <c r="F263" s="1" t="s">
        <v>8</v>
      </c>
    </row>
    <row r="264" spans="2:6" x14ac:dyDescent="0.25">
      <c r="B264" s="4">
        <v>43009</v>
      </c>
      <c r="C264" s="5">
        <f t="shared" si="4"/>
        <v>2017</v>
      </c>
      <c r="D264" s="6" t="s">
        <v>15</v>
      </c>
      <c r="E264" s="3">
        <v>106.59</v>
      </c>
      <c r="F264" s="1" t="s">
        <v>15</v>
      </c>
    </row>
    <row r="265" spans="2:6" x14ac:dyDescent="0.25">
      <c r="B265" s="4">
        <v>43009</v>
      </c>
      <c r="C265" s="5">
        <f t="shared" si="4"/>
        <v>2017</v>
      </c>
      <c r="D265" s="6" t="s">
        <v>16</v>
      </c>
      <c r="E265" s="3">
        <v>4</v>
      </c>
      <c r="F265" s="1" t="s">
        <v>16</v>
      </c>
    </row>
    <row r="266" spans="2:6" x14ac:dyDescent="0.25">
      <c r="B266" s="4">
        <v>43009</v>
      </c>
      <c r="C266" s="5">
        <f t="shared" si="4"/>
        <v>2017</v>
      </c>
      <c r="D266" s="6" t="s">
        <v>17</v>
      </c>
      <c r="E266" s="3">
        <v>6</v>
      </c>
      <c r="F266" s="1" t="s">
        <v>17</v>
      </c>
    </row>
    <row r="267" spans="2:6" x14ac:dyDescent="0.25">
      <c r="B267" s="4">
        <v>43009</v>
      </c>
      <c r="C267" s="5">
        <f t="shared" si="4"/>
        <v>2017</v>
      </c>
      <c r="D267" s="6" t="s">
        <v>18</v>
      </c>
      <c r="E267" s="7">
        <v>17.600000000000001</v>
      </c>
      <c r="F267" s="6" t="s">
        <v>18</v>
      </c>
    </row>
    <row r="268" spans="2:6" x14ac:dyDescent="0.25">
      <c r="B268" s="4">
        <v>43040</v>
      </c>
      <c r="C268" s="5">
        <f t="shared" si="4"/>
        <v>2017</v>
      </c>
      <c r="D268" s="6" t="s">
        <v>5</v>
      </c>
      <c r="E268" s="3">
        <v>64</v>
      </c>
      <c r="F268" s="1" t="s">
        <v>6</v>
      </c>
    </row>
    <row r="269" spans="2:6" x14ac:dyDescent="0.25">
      <c r="B269" s="4">
        <v>43040</v>
      </c>
      <c r="C269" s="5">
        <f t="shared" si="4"/>
        <v>2017</v>
      </c>
      <c r="D269" s="6" t="s">
        <v>7</v>
      </c>
      <c r="E269" s="3">
        <v>55</v>
      </c>
      <c r="F269" s="1" t="s">
        <v>8</v>
      </c>
    </row>
    <row r="270" spans="2:6" x14ac:dyDescent="0.25">
      <c r="B270" s="4">
        <v>43040</v>
      </c>
      <c r="C270" s="5">
        <f t="shared" si="4"/>
        <v>2017</v>
      </c>
      <c r="D270" s="6" t="s">
        <v>9</v>
      </c>
      <c r="E270" s="3">
        <v>28</v>
      </c>
      <c r="F270" s="1" t="s">
        <v>6</v>
      </c>
    </row>
    <row r="271" spans="2:6" x14ac:dyDescent="0.25">
      <c r="B271" s="4">
        <v>43040</v>
      </c>
      <c r="C271" s="5">
        <f t="shared" si="4"/>
        <v>2017</v>
      </c>
      <c r="D271" s="6" t="s">
        <v>10</v>
      </c>
      <c r="E271" s="3">
        <v>16</v>
      </c>
      <c r="F271" s="1" t="s">
        <v>8</v>
      </c>
    </row>
    <row r="272" spans="2:6" x14ac:dyDescent="0.25">
      <c r="B272" s="4">
        <v>43040</v>
      </c>
      <c r="C272" s="5">
        <f t="shared" si="4"/>
        <v>2017</v>
      </c>
      <c r="D272" s="6" t="s">
        <v>11</v>
      </c>
      <c r="E272" s="3">
        <v>40</v>
      </c>
      <c r="F272" s="1" t="s">
        <v>6</v>
      </c>
    </row>
    <row r="273" spans="2:6" x14ac:dyDescent="0.25">
      <c r="B273" s="4">
        <v>43040</v>
      </c>
      <c r="C273" s="5">
        <f t="shared" si="4"/>
        <v>2017</v>
      </c>
      <c r="D273" s="6" t="s">
        <v>12</v>
      </c>
      <c r="E273" s="3">
        <v>11</v>
      </c>
      <c r="F273" s="1" t="s">
        <v>8</v>
      </c>
    </row>
    <row r="274" spans="2:6" x14ac:dyDescent="0.25">
      <c r="B274" s="4">
        <v>43040</v>
      </c>
      <c r="C274" s="5">
        <f t="shared" si="4"/>
        <v>2017</v>
      </c>
      <c r="D274" s="6" t="s">
        <v>13</v>
      </c>
      <c r="E274" s="3">
        <v>63</v>
      </c>
      <c r="F274" s="1" t="s">
        <v>6</v>
      </c>
    </row>
    <row r="275" spans="2:6" x14ac:dyDescent="0.25">
      <c r="B275" s="4">
        <v>43040</v>
      </c>
      <c r="C275" s="5">
        <f t="shared" si="4"/>
        <v>2017</v>
      </c>
      <c r="D275" s="6" t="s">
        <v>14</v>
      </c>
      <c r="E275" s="3">
        <v>34</v>
      </c>
      <c r="F275" s="1" t="s">
        <v>8</v>
      </c>
    </row>
    <row r="276" spans="2:6" x14ac:dyDescent="0.25">
      <c r="B276" s="4">
        <v>43040</v>
      </c>
      <c r="C276" s="5">
        <f t="shared" si="4"/>
        <v>2017</v>
      </c>
      <c r="D276" s="6" t="s">
        <v>15</v>
      </c>
      <c r="E276" s="3">
        <v>99.52</v>
      </c>
      <c r="F276" s="1" t="s">
        <v>15</v>
      </c>
    </row>
    <row r="277" spans="2:6" x14ac:dyDescent="0.25">
      <c r="B277" s="4">
        <v>43040</v>
      </c>
      <c r="C277" s="5">
        <f t="shared" si="4"/>
        <v>2017</v>
      </c>
      <c r="D277" s="6" t="s">
        <v>16</v>
      </c>
      <c r="E277" s="3">
        <v>4</v>
      </c>
      <c r="F277" s="1" t="s">
        <v>16</v>
      </c>
    </row>
    <row r="278" spans="2:6" x14ac:dyDescent="0.25">
      <c r="B278" s="4">
        <v>43040</v>
      </c>
      <c r="C278" s="5">
        <f t="shared" si="4"/>
        <v>2017</v>
      </c>
      <c r="D278" s="6" t="s">
        <v>17</v>
      </c>
      <c r="E278" s="3">
        <v>5</v>
      </c>
      <c r="F278" s="1" t="s">
        <v>17</v>
      </c>
    </row>
    <row r="279" spans="2:6" x14ac:dyDescent="0.25">
      <c r="B279" s="4">
        <v>43040</v>
      </c>
      <c r="C279" s="5">
        <f t="shared" si="4"/>
        <v>2017</v>
      </c>
      <c r="D279" s="6" t="s">
        <v>18</v>
      </c>
      <c r="E279" s="7">
        <v>16.98</v>
      </c>
      <c r="F279" s="6" t="s">
        <v>18</v>
      </c>
    </row>
    <row r="280" spans="2:6" x14ac:dyDescent="0.25">
      <c r="B280" s="4">
        <v>43070</v>
      </c>
      <c r="C280" s="5">
        <f t="shared" si="4"/>
        <v>2017</v>
      </c>
      <c r="D280" s="6" t="s">
        <v>5</v>
      </c>
      <c r="E280" s="3">
        <v>69</v>
      </c>
      <c r="F280" s="1" t="s">
        <v>6</v>
      </c>
    </row>
    <row r="281" spans="2:6" x14ac:dyDescent="0.25">
      <c r="B281" s="4">
        <v>43070</v>
      </c>
      <c r="C281" s="5">
        <f t="shared" si="4"/>
        <v>2017</v>
      </c>
      <c r="D281" s="6" t="s">
        <v>7</v>
      </c>
      <c r="E281" s="3">
        <v>48</v>
      </c>
      <c r="F281" s="1" t="s">
        <v>8</v>
      </c>
    </row>
    <row r="282" spans="2:6" x14ac:dyDescent="0.25">
      <c r="B282" s="4">
        <v>43070</v>
      </c>
      <c r="C282" s="5">
        <f t="shared" si="4"/>
        <v>2017</v>
      </c>
      <c r="D282" s="6" t="s">
        <v>9</v>
      </c>
      <c r="E282" s="3">
        <v>36</v>
      </c>
      <c r="F282" s="1" t="s">
        <v>6</v>
      </c>
    </row>
    <row r="283" spans="2:6" x14ac:dyDescent="0.25">
      <c r="B283" s="4">
        <v>43070</v>
      </c>
      <c r="C283" s="5">
        <f t="shared" si="4"/>
        <v>2017</v>
      </c>
      <c r="D283" s="6" t="s">
        <v>10</v>
      </c>
      <c r="E283" s="3">
        <v>19</v>
      </c>
      <c r="F283" s="1" t="s">
        <v>8</v>
      </c>
    </row>
    <row r="284" spans="2:6" x14ac:dyDescent="0.25">
      <c r="B284" s="4">
        <v>43070</v>
      </c>
      <c r="C284" s="5">
        <f t="shared" si="4"/>
        <v>2017</v>
      </c>
      <c r="D284" s="6" t="s">
        <v>11</v>
      </c>
      <c r="E284" s="3">
        <v>50</v>
      </c>
      <c r="F284" s="1" t="s">
        <v>6</v>
      </c>
    </row>
    <row r="285" spans="2:6" x14ac:dyDescent="0.25">
      <c r="B285" s="4">
        <v>43070</v>
      </c>
      <c r="C285" s="5">
        <f t="shared" si="4"/>
        <v>2017</v>
      </c>
      <c r="D285" s="6" t="s">
        <v>12</v>
      </c>
      <c r="E285" s="3">
        <v>13</v>
      </c>
      <c r="F285" s="1" t="s">
        <v>8</v>
      </c>
    </row>
    <row r="286" spans="2:6" x14ac:dyDescent="0.25">
      <c r="B286" s="4">
        <v>43070</v>
      </c>
      <c r="C286" s="5">
        <f t="shared" si="4"/>
        <v>2017</v>
      </c>
      <c r="D286" s="6" t="s">
        <v>13</v>
      </c>
      <c r="E286" s="3">
        <v>60</v>
      </c>
      <c r="F286" s="1" t="s">
        <v>6</v>
      </c>
    </row>
    <row r="287" spans="2:6" x14ac:dyDescent="0.25">
      <c r="B287" s="4">
        <v>43070</v>
      </c>
      <c r="C287" s="5">
        <f t="shared" si="4"/>
        <v>2017</v>
      </c>
      <c r="D287" s="6" t="s">
        <v>14</v>
      </c>
      <c r="E287" s="3">
        <v>31</v>
      </c>
      <c r="F287" s="1" t="s">
        <v>8</v>
      </c>
    </row>
    <row r="288" spans="2:6" x14ac:dyDescent="0.25">
      <c r="B288" s="4">
        <v>43070</v>
      </c>
      <c r="C288" s="5">
        <f t="shared" si="4"/>
        <v>2017</v>
      </c>
      <c r="D288" s="6" t="s">
        <v>15</v>
      </c>
      <c r="E288" s="3">
        <v>101.06</v>
      </c>
      <c r="F288" s="1" t="s">
        <v>15</v>
      </c>
    </row>
    <row r="289" spans="2:6" x14ac:dyDescent="0.25">
      <c r="B289" s="4">
        <v>43070</v>
      </c>
      <c r="C289" s="5">
        <f t="shared" si="4"/>
        <v>2017</v>
      </c>
      <c r="D289" s="6" t="s">
        <v>16</v>
      </c>
      <c r="E289" s="3">
        <v>3</v>
      </c>
      <c r="F289" s="1" t="s">
        <v>16</v>
      </c>
    </row>
    <row r="290" spans="2:6" x14ac:dyDescent="0.25">
      <c r="B290" s="4">
        <v>43070</v>
      </c>
      <c r="C290" s="5">
        <f t="shared" si="4"/>
        <v>2017</v>
      </c>
      <c r="D290" s="6" t="s">
        <v>17</v>
      </c>
      <c r="E290" s="3">
        <v>6</v>
      </c>
      <c r="F290" s="1" t="s">
        <v>17</v>
      </c>
    </row>
    <row r="291" spans="2:6" x14ac:dyDescent="0.25">
      <c r="B291" s="4">
        <v>43070</v>
      </c>
      <c r="C291" s="5">
        <f t="shared" si="4"/>
        <v>2017</v>
      </c>
      <c r="D291" s="6" t="s">
        <v>18</v>
      </c>
      <c r="E291" s="7">
        <v>18.54</v>
      </c>
      <c r="F291" s="6" t="s">
        <v>18</v>
      </c>
    </row>
    <row r="292" spans="2:6" x14ac:dyDescent="0.25">
      <c r="B292" s="4">
        <v>43101</v>
      </c>
      <c r="C292" s="5">
        <f t="shared" si="4"/>
        <v>2018</v>
      </c>
      <c r="D292" s="6" t="s">
        <v>5</v>
      </c>
      <c r="E292" s="3">
        <v>57</v>
      </c>
      <c r="F292" s="1" t="s">
        <v>6</v>
      </c>
    </row>
    <row r="293" spans="2:6" x14ac:dyDescent="0.25">
      <c r="B293" s="4">
        <v>43101</v>
      </c>
      <c r="C293" s="5">
        <f t="shared" si="4"/>
        <v>2018</v>
      </c>
      <c r="D293" s="6" t="s">
        <v>7</v>
      </c>
      <c r="E293" s="3">
        <v>47</v>
      </c>
      <c r="F293" s="1" t="s">
        <v>8</v>
      </c>
    </row>
    <row r="294" spans="2:6" x14ac:dyDescent="0.25">
      <c r="B294" s="4">
        <v>43101</v>
      </c>
      <c r="C294" s="5">
        <f t="shared" si="4"/>
        <v>2018</v>
      </c>
      <c r="D294" s="6" t="s">
        <v>9</v>
      </c>
      <c r="E294" s="3">
        <v>35</v>
      </c>
      <c r="F294" s="1" t="s">
        <v>6</v>
      </c>
    </row>
    <row r="295" spans="2:6" x14ac:dyDescent="0.25">
      <c r="B295" s="4">
        <v>43101</v>
      </c>
      <c r="C295" s="5">
        <f t="shared" si="4"/>
        <v>2018</v>
      </c>
      <c r="D295" s="6" t="s">
        <v>10</v>
      </c>
      <c r="E295" s="3">
        <v>17</v>
      </c>
      <c r="F295" s="1" t="s">
        <v>8</v>
      </c>
    </row>
    <row r="296" spans="2:6" x14ac:dyDescent="0.25">
      <c r="B296" s="4">
        <v>43101</v>
      </c>
      <c r="C296" s="5">
        <f t="shared" si="4"/>
        <v>2018</v>
      </c>
      <c r="D296" s="6" t="s">
        <v>11</v>
      </c>
      <c r="E296" s="3">
        <v>41</v>
      </c>
      <c r="F296" s="1" t="s">
        <v>6</v>
      </c>
    </row>
    <row r="297" spans="2:6" x14ac:dyDescent="0.25">
      <c r="B297" s="4">
        <v>43101</v>
      </c>
      <c r="C297" s="5">
        <f t="shared" si="4"/>
        <v>2018</v>
      </c>
      <c r="D297" s="6" t="s">
        <v>12</v>
      </c>
      <c r="E297" s="3">
        <v>11</v>
      </c>
      <c r="F297" s="1" t="s">
        <v>8</v>
      </c>
    </row>
    <row r="298" spans="2:6" x14ac:dyDescent="0.25">
      <c r="B298" s="4">
        <v>43101</v>
      </c>
      <c r="C298" s="5">
        <f t="shared" si="4"/>
        <v>2018</v>
      </c>
      <c r="D298" s="6" t="s">
        <v>13</v>
      </c>
      <c r="E298" s="3">
        <v>61</v>
      </c>
      <c r="F298" s="1" t="s">
        <v>6</v>
      </c>
    </row>
    <row r="299" spans="2:6" x14ac:dyDescent="0.25">
      <c r="B299" s="4">
        <v>43101</v>
      </c>
      <c r="C299" s="5">
        <f t="shared" si="4"/>
        <v>2018</v>
      </c>
      <c r="D299" s="6" t="s">
        <v>14</v>
      </c>
      <c r="E299" s="3">
        <v>35</v>
      </c>
      <c r="F299" s="1" t="s">
        <v>8</v>
      </c>
    </row>
    <row r="300" spans="2:6" x14ac:dyDescent="0.25">
      <c r="B300" s="4">
        <v>43101</v>
      </c>
      <c r="C300" s="5">
        <f t="shared" si="4"/>
        <v>2018</v>
      </c>
      <c r="D300" s="6" t="s">
        <v>15</v>
      </c>
      <c r="E300" s="3">
        <v>88.16</v>
      </c>
      <c r="F300" s="1" t="s">
        <v>15</v>
      </c>
    </row>
    <row r="301" spans="2:6" x14ac:dyDescent="0.25">
      <c r="B301" s="4">
        <v>43101</v>
      </c>
      <c r="C301" s="5">
        <f t="shared" si="4"/>
        <v>2018</v>
      </c>
      <c r="D301" s="6" t="s">
        <v>16</v>
      </c>
      <c r="E301" s="3">
        <v>3</v>
      </c>
      <c r="F301" s="1" t="s">
        <v>16</v>
      </c>
    </row>
    <row r="302" spans="2:6" x14ac:dyDescent="0.25">
      <c r="B302" s="4">
        <v>43101</v>
      </c>
      <c r="C302" s="5">
        <f t="shared" si="4"/>
        <v>2018</v>
      </c>
      <c r="D302" s="6" t="s">
        <v>17</v>
      </c>
      <c r="E302" s="3">
        <v>3</v>
      </c>
      <c r="F302" s="1" t="s">
        <v>17</v>
      </c>
    </row>
    <row r="303" spans="2:6" x14ac:dyDescent="0.25">
      <c r="B303" s="4">
        <v>43101</v>
      </c>
      <c r="C303" s="5">
        <f t="shared" si="4"/>
        <v>2018</v>
      </c>
      <c r="D303" s="6" t="s">
        <v>18</v>
      </c>
      <c r="E303" s="7">
        <v>16.8</v>
      </c>
      <c r="F303" s="6" t="s">
        <v>18</v>
      </c>
    </row>
    <row r="304" spans="2:6" x14ac:dyDescent="0.25">
      <c r="B304" s="4">
        <v>43132</v>
      </c>
      <c r="C304" s="5">
        <f t="shared" si="4"/>
        <v>2018</v>
      </c>
      <c r="D304" s="6" t="s">
        <v>5</v>
      </c>
      <c r="E304" s="3">
        <v>72</v>
      </c>
      <c r="F304" s="1" t="s">
        <v>6</v>
      </c>
    </row>
    <row r="305" spans="2:6" x14ac:dyDescent="0.25">
      <c r="B305" s="4">
        <v>43132</v>
      </c>
      <c r="C305" s="5">
        <f t="shared" si="4"/>
        <v>2018</v>
      </c>
      <c r="D305" s="6" t="s">
        <v>7</v>
      </c>
      <c r="E305" s="3">
        <v>57</v>
      </c>
      <c r="F305" s="1" t="s">
        <v>8</v>
      </c>
    </row>
    <row r="306" spans="2:6" x14ac:dyDescent="0.25">
      <c r="B306" s="4">
        <v>43132</v>
      </c>
      <c r="C306" s="5">
        <f t="shared" si="4"/>
        <v>2018</v>
      </c>
      <c r="D306" s="6" t="s">
        <v>9</v>
      </c>
      <c r="E306" s="3">
        <v>29</v>
      </c>
      <c r="F306" s="1" t="s">
        <v>6</v>
      </c>
    </row>
    <row r="307" spans="2:6" x14ac:dyDescent="0.25">
      <c r="B307" s="4">
        <v>43132</v>
      </c>
      <c r="C307" s="5">
        <f t="shared" si="4"/>
        <v>2018</v>
      </c>
      <c r="D307" s="6" t="s">
        <v>10</v>
      </c>
      <c r="E307" s="3">
        <v>16</v>
      </c>
      <c r="F307" s="1" t="s">
        <v>8</v>
      </c>
    </row>
    <row r="308" spans="2:6" x14ac:dyDescent="0.25">
      <c r="B308" s="4">
        <v>43132</v>
      </c>
      <c r="C308" s="5">
        <f t="shared" si="4"/>
        <v>2018</v>
      </c>
      <c r="D308" s="6" t="s">
        <v>11</v>
      </c>
      <c r="E308" s="3">
        <v>49</v>
      </c>
      <c r="F308" s="1" t="s">
        <v>6</v>
      </c>
    </row>
    <row r="309" spans="2:6" x14ac:dyDescent="0.25">
      <c r="B309" s="4">
        <v>43132</v>
      </c>
      <c r="C309" s="5">
        <f t="shared" si="4"/>
        <v>2018</v>
      </c>
      <c r="D309" s="6" t="s">
        <v>12</v>
      </c>
      <c r="E309" s="3">
        <v>19</v>
      </c>
      <c r="F309" s="1" t="s">
        <v>8</v>
      </c>
    </row>
    <row r="310" spans="2:6" x14ac:dyDescent="0.25">
      <c r="B310" s="4">
        <v>43132</v>
      </c>
      <c r="C310" s="5">
        <f t="shared" si="4"/>
        <v>2018</v>
      </c>
      <c r="D310" s="6" t="s">
        <v>13</v>
      </c>
      <c r="E310" s="3">
        <v>57</v>
      </c>
      <c r="F310" s="1" t="s">
        <v>6</v>
      </c>
    </row>
    <row r="311" spans="2:6" x14ac:dyDescent="0.25">
      <c r="B311" s="4">
        <v>43132</v>
      </c>
      <c r="C311" s="5">
        <f t="shared" si="4"/>
        <v>2018</v>
      </c>
      <c r="D311" s="6" t="s">
        <v>14</v>
      </c>
      <c r="E311" s="3">
        <v>35</v>
      </c>
      <c r="F311" s="1" t="s">
        <v>8</v>
      </c>
    </row>
    <row r="312" spans="2:6" x14ac:dyDescent="0.25">
      <c r="B312" s="4">
        <v>43132</v>
      </c>
      <c r="C312" s="5">
        <f t="shared" si="4"/>
        <v>2018</v>
      </c>
      <c r="D312" s="6" t="s">
        <v>15</v>
      </c>
      <c r="E312" s="3">
        <v>96.86</v>
      </c>
      <c r="F312" s="1" t="s">
        <v>15</v>
      </c>
    </row>
    <row r="313" spans="2:6" x14ac:dyDescent="0.25">
      <c r="B313" s="4">
        <v>43132</v>
      </c>
      <c r="C313" s="5">
        <f t="shared" si="4"/>
        <v>2018</v>
      </c>
      <c r="D313" s="6" t="s">
        <v>16</v>
      </c>
      <c r="E313" s="3">
        <v>4</v>
      </c>
      <c r="F313" s="1" t="s">
        <v>16</v>
      </c>
    </row>
    <row r="314" spans="2:6" x14ac:dyDescent="0.25">
      <c r="B314" s="4">
        <v>43132</v>
      </c>
      <c r="C314" s="5">
        <f t="shared" si="4"/>
        <v>2018</v>
      </c>
      <c r="D314" s="6" t="s">
        <v>17</v>
      </c>
      <c r="E314" s="3">
        <v>4</v>
      </c>
      <c r="F314" s="1" t="s">
        <v>17</v>
      </c>
    </row>
    <row r="315" spans="2:6" x14ac:dyDescent="0.25">
      <c r="B315" s="4">
        <v>43132</v>
      </c>
      <c r="C315" s="5">
        <f t="shared" si="4"/>
        <v>2018</v>
      </c>
      <c r="D315" s="6" t="s">
        <v>18</v>
      </c>
      <c r="E315" s="7">
        <v>17.899999999999999</v>
      </c>
      <c r="F315" s="6" t="s">
        <v>18</v>
      </c>
    </row>
    <row r="316" spans="2:6" x14ac:dyDescent="0.25">
      <c r="B316" s="4">
        <v>43160</v>
      </c>
      <c r="C316" s="5">
        <f t="shared" si="4"/>
        <v>2018</v>
      </c>
      <c r="D316" s="6" t="s">
        <v>5</v>
      </c>
      <c r="E316" s="3">
        <v>61</v>
      </c>
      <c r="F316" s="1" t="s">
        <v>6</v>
      </c>
    </row>
    <row r="317" spans="2:6" x14ac:dyDescent="0.25">
      <c r="B317" s="4">
        <v>43160</v>
      </c>
      <c r="C317" s="5">
        <f t="shared" si="4"/>
        <v>2018</v>
      </c>
      <c r="D317" s="6" t="s">
        <v>7</v>
      </c>
      <c r="E317" s="3">
        <v>52</v>
      </c>
      <c r="F317" s="1" t="s">
        <v>8</v>
      </c>
    </row>
    <row r="318" spans="2:6" x14ac:dyDescent="0.25">
      <c r="B318" s="4">
        <v>43160</v>
      </c>
      <c r="C318" s="5">
        <f t="shared" si="4"/>
        <v>2018</v>
      </c>
      <c r="D318" s="6" t="s">
        <v>9</v>
      </c>
      <c r="E318" s="3">
        <v>27</v>
      </c>
      <c r="F318" s="1" t="s">
        <v>6</v>
      </c>
    </row>
    <row r="319" spans="2:6" x14ac:dyDescent="0.25">
      <c r="B319" s="4">
        <v>43160</v>
      </c>
      <c r="C319" s="5">
        <f t="shared" si="4"/>
        <v>2018</v>
      </c>
      <c r="D319" s="6" t="s">
        <v>10</v>
      </c>
      <c r="E319" s="3">
        <v>13</v>
      </c>
      <c r="F319" s="1" t="s">
        <v>8</v>
      </c>
    </row>
    <row r="320" spans="2:6" x14ac:dyDescent="0.25">
      <c r="B320" s="4">
        <v>43160</v>
      </c>
      <c r="C320" s="5">
        <f t="shared" si="4"/>
        <v>2018</v>
      </c>
      <c r="D320" s="6" t="s">
        <v>11</v>
      </c>
      <c r="E320" s="3">
        <v>38</v>
      </c>
      <c r="F320" s="1" t="s">
        <v>6</v>
      </c>
    </row>
    <row r="321" spans="2:6" x14ac:dyDescent="0.25">
      <c r="B321" s="4">
        <v>43160</v>
      </c>
      <c r="C321" s="5">
        <f t="shared" si="4"/>
        <v>2018</v>
      </c>
      <c r="D321" s="6" t="s">
        <v>12</v>
      </c>
      <c r="E321" s="3">
        <v>17</v>
      </c>
      <c r="F321" s="1" t="s">
        <v>8</v>
      </c>
    </row>
    <row r="322" spans="2:6" x14ac:dyDescent="0.25">
      <c r="B322" s="4">
        <v>43160</v>
      </c>
      <c r="C322" s="5">
        <f t="shared" si="4"/>
        <v>2018</v>
      </c>
      <c r="D322" s="6" t="s">
        <v>13</v>
      </c>
      <c r="E322" s="3">
        <v>63</v>
      </c>
      <c r="F322" s="1" t="s">
        <v>6</v>
      </c>
    </row>
    <row r="323" spans="2:6" x14ac:dyDescent="0.25">
      <c r="B323" s="4">
        <v>43160</v>
      </c>
      <c r="C323" s="5">
        <f t="shared" si="4"/>
        <v>2018</v>
      </c>
      <c r="D323" s="6" t="s">
        <v>14</v>
      </c>
      <c r="E323" s="3">
        <v>31</v>
      </c>
      <c r="F323" s="1" t="s">
        <v>8</v>
      </c>
    </row>
    <row r="324" spans="2:6" x14ac:dyDescent="0.25">
      <c r="B324" s="4">
        <v>43160</v>
      </c>
      <c r="C324" s="5">
        <f t="shared" si="4"/>
        <v>2018</v>
      </c>
      <c r="D324" s="6" t="s">
        <v>15</v>
      </c>
      <c r="E324" s="3">
        <v>87.58</v>
      </c>
      <c r="F324" s="1" t="s">
        <v>15</v>
      </c>
    </row>
    <row r="325" spans="2:6" x14ac:dyDescent="0.25">
      <c r="B325" s="4">
        <v>43160</v>
      </c>
      <c r="C325" s="5">
        <f t="shared" ref="C325:C388" si="5">YEAR(B325)</f>
        <v>2018</v>
      </c>
      <c r="D325" s="6" t="s">
        <v>16</v>
      </c>
      <c r="E325" s="3">
        <v>4</v>
      </c>
      <c r="F325" s="1" t="s">
        <v>16</v>
      </c>
    </row>
    <row r="326" spans="2:6" x14ac:dyDescent="0.25">
      <c r="B326" s="4">
        <v>43160</v>
      </c>
      <c r="C326" s="5">
        <f t="shared" si="5"/>
        <v>2018</v>
      </c>
      <c r="D326" s="6" t="s">
        <v>17</v>
      </c>
      <c r="E326" s="3">
        <v>4</v>
      </c>
      <c r="F326" s="1" t="s">
        <v>17</v>
      </c>
    </row>
    <row r="327" spans="2:6" x14ac:dyDescent="0.25">
      <c r="B327" s="4">
        <v>43160</v>
      </c>
      <c r="C327" s="5">
        <f t="shared" si="5"/>
        <v>2018</v>
      </c>
      <c r="D327" s="6" t="s">
        <v>18</v>
      </c>
      <c r="E327" s="7">
        <v>16.490000000000002</v>
      </c>
      <c r="F327" s="6" t="s">
        <v>18</v>
      </c>
    </row>
    <row r="328" spans="2:6" x14ac:dyDescent="0.25">
      <c r="B328" s="4">
        <v>43191</v>
      </c>
      <c r="C328" s="5">
        <f t="shared" si="5"/>
        <v>2018</v>
      </c>
      <c r="D328" s="6" t="s">
        <v>5</v>
      </c>
      <c r="E328" s="3">
        <v>62</v>
      </c>
      <c r="F328" s="1" t="s">
        <v>6</v>
      </c>
    </row>
    <row r="329" spans="2:6" x14ac:dyDescent="0.25">
      <c r="B329" s="4">
        <v>43191</v>
      </c>
      <c r="C329" s="5">
        <f t="shared" si="5"/>
        <v>2018</v>
      </c>
      <c r="D329" s="6" t="s">
        <v>7</v>
      </c>
      <c r="E329" s="3">
        <v>48</v>
      </c>
      <c r="F329" s="1" t="s">
        <v>8</v>
      </c>
    </row>
    <row r="330" spans="2:6" x14ac:dyDescent="0.25">
      <c r="B330" s="4">
        <v>43191</v>
      </c>
      <c r="C330" s="5">
        <f t="shared" si="5"/>
        <v>2018</v>
      </c>
      <c r="D330" s="6" t="s">
        <v>9</v>
      </c>
      <c r="E330" s="3">
        <v>25</v>
      </c>
      <c r="F330" s="1" t="s">
        <v>6</v>
      </c>
    </row>
    <row r="331" spans="2:6" x14ac:dyDescent="0.25">
      <c r="B331" s="4">
        <v>43191</v>
      </c>
      <c r="C331" s="5">
        <f t="shared" si="5"/>
        <v>2018</v>
      </c>
      <c r="D331" s="6" t="s">
        <v>10</v>
      </c>
      <c r="E331" s="3">
        <v>20</v>
      </c>
      <c r="F331" s="1" t="s">
        <v>8</v>
      </c>
    </row>
    <row r="332" spans="2:6" x14ac:dyDescent="0.25">
      <c r="B332" s="4">
        <v>43191</v>
      </c>
      <c r="C332" s="5">
        <f t="shared" si="5"/>
        <v>2018</v>
      </c>
      <c r="D332" s="6" t="s">
        <v>11</v>
      </c>
      <c r="E332" s="3">
        <v>47</v>
      </c>
      <c r="F332" s="1" t="s">
        <v>6</v>
      </c>
    </row>
    <row r="333" spans="2:6" x14ac:dyDescent="0.25">
      <c r="B333" s="4">
        <v>43191</v>
      </c>
      <c r="C333" s="5">
        <f t="shared" si="5"/>
        <v>2018</v>
      </c>
      <c r="D333" s="6" t="s">
        <v>12</v>
      </c>
      <c r="E333" s="3">
        <v>11</v>
      </c>
      <c r="F333" s="1" t="s">
        <v>8</v>
      </c>
    </row>
    <row r="334" spans="2:6" x14ac:dyDescent="0.25">
      <c r="B334" s="4">
        <v>43191</v>
      </c>
      <c r="C334" s="5">
        <f t="shared" si="5"/>
        <v>2018</v>
      </c>
      <c r="D334" s="6" t="s">
        <v>13</v>
      </c>
      <c r="E334" s="3">
        <v>56</v>
      </c>
      <c r="F334" s="1" t="s">
        <v>6</v>
      </c>
    </row>
    <row r="335" spans="2:6" x14ac:dyDescent="0.25">
      <c r="B335" s="4">
        <v>43191</v>
      </c>
      <c r="C335" s="5">
        <f t="shared" si="5"/>
        <v>2018</v>
      </c>
      <c r="D335" s="6" t="s">
        <v>14</v>
      </c>
      <c r="E335" s="3">
        <v>30</v>
      </c>
      <c r="F335" s="1" t="s">
        <v>8</v>
      </c>
    </row>
    <row r="336" spans="2:6" x14ac:dyDescent="0.25">
      <c r="B336" s="4">
        <v>43191</v>
      </c>
      <c r="C336" s="5">
        <f t="shared" si="5"/>
        <v>2018</v>
      </c>
      <c r="D336" s="6" t="s">
        <v>15</v>
      </c>
      <c r="E336" s="3">
        <v>80.73</v>
      </c>
      <c r="F336" s="1" t="s">
        <v>15</v>
      </c>
    </row>
    <row r="337" spans="2:6" x14ac:dyDescent="0.25">
      <c r="B337" s="4">
        <v>43191</v>
      </c>
      <c r="C337" s="5">
        <f t="shared" si="5"/>
        <v>2018</v>
      </c>
      <c r="D337" s="6" t="s">
        <v>16</v>
      </c>
      <c r="E337" s="3">
        <v>3</v>
      </c>
      <c r="F337" s="1" t="s">
        <v>16</v>
      </c>
    </row>
    <row r="338" spans="2:6" x14ac:dyDescent="0.25">
      <c r="B338" s="4">
        <v>43191</v>
      </c>
      <c r="C338" s="5">
        <f t="shared" si="5"/>
        <v>2018</v>
      </c>
      <c r="D338" s="6" t="s">
        <v>17</v>
      </c>
      <c r="E338" s="3">
        <v>4</v>
      </c>
      <c r="F338" s="1" t="s">
        <v>17</v>
      </c>
    </row>
    <row r="339" spans="2:6" x14ac:dyDescent="0.25">
      <c r="B339" s="4">
        <v>43191</v>
      </c>
      <c r="C339" s="5">
        <f t="shared" si="5"/>
        <v>2018</v>
      </c>
      <c r="D339" s="6" t="s">
        <v>18</v>
      </c>
      <c r="E339" s="7">
        <v>16.54</v>
      </c>
      <c r="F339" s="6" t="s">
        <v>18</v>
      </c>
    </row>
    <row r="340" spans="2:6" x14ac:dyDescent="0.25">
      <c r="B340" s="4">
        <v>43221</v>
      </c>
      <c r="C340" s="5">
        <f t="shared" si="5"/>
        <v>2018</v>
      </c>
      <c r="D340" s="6" t="s">
        <v>5</v>
      </c>
      <c r="E340" s="3">
        <v>59</v>
      </c>
      <c r="F340" s="1" t="s">
        <v>6</v>
      </c>
    </row>
    <row r="341" spans="2:6" x14ac:dyDescent="0.25">
      <c r="B341" s="4">
        <v>43221</v>
      </c>
      <c r="C341" s="5">
        <f t="shared" si="5"/>
        <v>2018</v>
      </c>
      <c r="D341" s="6" t="s">
        <v>7</v>
      </c>
      <c r="E341" s="3">
        <v>58</v>
      </c>
      <c r="F341" s="1" t="s">
        <v>8</v>
      </c>
    </row>
    <row r="342" spans="2:6" x14ac:dyDescent="0.25">
      <c r="B342" s="4">
        <v>43221</v>
      </c>
      <c r="C342" s="5">
        <f t="shared" si="5"/>
        <v>2018</v>
      </c>
      <c r="D342" s="6" t="s">
        <v>9</v>
      </c>
      <c r="E342" s="3">
        <v>32</v>
      </c>
      <c r="F342" s="1" t="s">
        <v>6</v>
      </c>
    </row>
    <row r="343" spans="2:6" x14ac:dyDescent="0.25">
      <c r="B343" s="4">
        <v>43221</v>
      </c>
      <c r="C343" s="5">
        <f t="shared" si="5"/>
        <v>2018</v>
      </c>
      <c r="D343" s="6" t="s">
        <v>10</v>
      </c>
      <c r="E343" s="3">
        <v>13</v>
      </c>
      <c r="F343" s="1" t="s">
        <v>8</v>
      </c>
    </row>
    <row r="344" spans="2:6" x14ac:dyDescent="0.25">
      <c r="B344" s="4">
        <v>43221</v>
      </c>
      <c r="C344" s="5">
        <f t="shared" si="5"/>
        <v>2018</v>
      </c>
      <c r="D344" s="6" t="s">
        <v>11</v>
      </c>
      <c r="E344" s="3">
        <v>41</v>
      </c>
      <c r="F344" s="1" t="s">
        <v>6</v>
      </c>
    </row>
    <row r="345" spans="2:6" x14ac:dyDescent="0.25">
      <c r="B345" s="4">
        <v>43221</v>
      </c>
      <c r="C345" s="5">
        <f t="shared" si="5"/>
        <v>2018</v>
      </c>
      <c r="D345" s="6" t="s">
        <v>12</v>
      </c>
      <c r="E345" s="3">
        <v>13</v>
      </c>
      <c r="F345" s="1" t="s">
        <v>8</v>
      </c>
    </row>
    <row r="346" spans="2:6" x14ac:dyDescent="0.25">
      <c r="B346" s="4">
        <v>43221</v>
      </c>
      <c r="C346" s="5">
        <f t="shared" si="5"/>
        <v>2018</v>
      </c>
      <c r="D346" s="6" t="s">
        <v>13</v>
      </c>
      <c r="E346" s="3">
        <v>54</v>
      </c>
      <c r="F346" s="1" t="s">
        <v>6</v>
      </c>
    </row>
    <row r="347" spans="2:6" x14ac:dyDescent="0.25">
      <c r="B347" s="4">
        <v>43221</v>
      </c>
      <c r="C347" s="5">
        <f t="shared" si="5"/>
        <v>2018</v>
      </c>
      <c r="D347" s="6" t="s">
        <v>14</v>
      </c>
      <c r="E347" s="3">
        <v>35</v>
      </c>
      <c r="F347" s="1" t="s">
        <v>8</v>
      </c>
    </row>
    <row r="348" spans="2:6" x14ac:dyDescent="0.25">
      <c r="B348" s="4">
        <v>43221</v>
      </c>
      <c r="C348" s="5">
        <f t="shared" si="5"/>
        <v>2018</v>
      </c>
      <c r="D348" s="6" t="s">
        <v>15</v>
      </c>
      <c r="E348" s="3">
        <v>88.449999999999989</v>
      </c>
      <c r="F348" s="1" t="s">
        <v>15</v>
      </c>
    </row>
    <row r="349" spans="2:6" x14ac:dyDescent="0.25">
      <c r="B349" s="4">
        <v>43221</v>
      </c>
      <c r="C349" s="5">
        <f t="shared" si="5"/>
        <v>2018</v>
      </c>
      <c r="D349" s="6" t="s">
        <v>16</v>
      </c>
      <c r="E349" s="3">
        <v>4</v>
      </c>
      <c r="F349" s="1" t="s">
        <v>16</v>
      </c>
    </row>
    <row r="350" spans="2:6" x14ac:dyDescent="0.25">
      <c r="B350" s="4">
        <v>43221</v>
      </c>
      <c r="C350" s="5">
        <f t="shared" si="5"/>
        <v>2018</v>
      </c>
      <c r="D350" s="6" t="s">
        <v>17</v>
      </c>
      <c r="E350" s="3">
        <v>5</v>
      </c>
      <c r="F350" s="1" t="s">
        <v>17</v>
      </c>
    </row>
    <row r="351" spans="2:6" x14ac:dyDescent="0.25">
      <c r="B351" s="4">
        <v>43221</v>
      </c>
      <c r="C351" s="5">
        <f t="shared" si="5"/>
        <v>2018</v>
      </c>
      <c r="D351" s="6" t="s">
        <v>18</v>
      </c>
      <c r="E351" s="7">
        <v>16.05</v>
      </c>
      <c r="F351" s="6" t="s">
        <v>18</v>
      </c>
    </row>
    <row r="352" spans="2:6" x14ac:dyDescent="0.25">
      <c r="B352" s="4">
        <v>43252</v>
      </c>
      <c r="C352" s="5">
        <f t="shared" si="5"/>
        <v>2018</v>
      </c>
      <c r="D352" s="6" t="s">
        <v>5</v>
      </c>
      <c r="E352" s="3">
        <v>67</v>
      </c>
      <c r="F352" s="1" t="s">
        <v>6</v>
      </c>
    </row>
    <row r="353" spans="2:6" x14ac:dyDescent="0.25">
      <c r="B353" s="4">
        <v>43252</v>
      </c>
      <c r="C353" s="5">
        <f t="shared" si="5"/>
        <v>2018</v>
      </c>
      <c r="D353" s="6" t="s">
        <v>7</v>
      </c>
      <c r="E353" s="3">
        <v>56</v>
      </c>
      <c r="F353" s="1" t="s">
        <v>8</v>
      </c>
    </row>
    <row r="354" spans="2:6" x14ac:dyDescent="0.25">
      <c r="B354" s="4">
        <v>43252</v>
      </c>
      <c r="C354" s="5">
        <f t="shared" si="5"/>
        <v>2018</v>
      </c>
      <c r="D354" s="6" t="s">
        <v>9</v>
      </c>
      <c r="E354" s="3">
        <v>31</v>
      </c>
      <c r="F354" s="1" t="s">
        <v>6</v>
      </c>
    </row>
    <row r="355" spans="2:6" x14ac:dyDescent="0.25">
      <c r="B355" s="4">
        <v>43252</v>
      </c>
      <c r="C355" s="5">
        <f t="shared" si="5"/>
        <v>2018</v>
      </c>
      <c r="D355" s="6" t="s">
        <v>10</v>
      </c>
      <c r="E355" s="3">
        <v>18</v>
      </c>
      <c r="F355" s="1" t="s">
        <v>8</v>
      </c>
    </row>
    <row r="356" spans="2:6" x14ac:dyDescent="0.25">
      <c r="B356" s="4">
        <v>43252</v>
      </c>
      <c r="C356" s="5">
        <f t="shared" si="5"/>
        <v>2018</v>
      </c>
      <c r="D356" s="6" t="s">
        <v>11</v>
      </c>
      <c r="E356" s="3">
        <v>47</v>
      </c>
      <c r="F356" s="1" t="s">
        <v>6</v>
      </c>
    </row>
    <row r="357" spans="2:6" x14ac:dyDescent="0.25">
      <c r="B357" s="4">
        <v>43252</v>
      </c>
      <c r="C357" s="5">
        <f t="shared" si="5"/>
        <v>2018</v>
      </c>
      <c r="D357" s="6" t="s">
        <v>12</v>
      </c>
      <c r="E357" s="3">
        <v>17</v>
      </c>
      <c r="F357" s="1" t="s">
        <v>8</v>
      </c>
    </row>
    <row r="358" spans="2:6" x14ac:dyDescent="0.25">
      <c r="B358" s="4">
        <v>43252</v>
      </c>
      <c r="C358" s="5">
        <f t="shared" si="5"/>
        <v>2018</v>
      </c>
      <c r="D358" s="6" t="s">
        <v>13</v>
      </c>
      <c r="E358" s="3">
        <v>66</v>
      </c>
      <c r="F358" s="1" t="s">
        <v>6</v>
      </c>
    </row>
    <row r="359" spans="2:6" x14ac:dyDescent="0.25">
      <c r="B359" s="4">
        <v>43252</v>
      </c>
      <c r="C359" s="5">
        <f t="shared" si="5"/>
        <v>2018</v>
      </c>
      <c r="D359" s="6" t="s">
        <v>14</v>
      </c>
      <c r="E359" s="3">
        <v>30</v>
      </c>
      <c r="F359" s="1" t="s">
        <v>8</v>
      </c>
    </row>
    <row r="360" spans="2:6" x14ac:dyDescent="0.25">
      <c r="B360" s="4">
        <v>43252</v>
      </c>
      <c r="C360" s="5">
        <f t="shared" si="5"/>
        <v>2018</v>
      </c>
      <c r="D360" s="6" t="s">
        <v>15</v>
      </c>
      <c r="E360" s="3">
        <v>102.92</v>
      </c>
      <c r="F360" s="1" t="s">
        <v>15</v>
      </c>
    </row>
    <row r="361" spans="2:6" x14ac:dyDescent="0.25">
      <c r="B361" s="4">
        <v>43252</v>
      </c>
      <c r="C361" s="5">
        <f t="shared" si="5"/>
        <v>2018</v>
      </c>
      <c r="D361" s="6" t="s">
        <v>16</v>
      </c>
      <c r="E361" s="3">
        <v>3</v>
      </c>
      <c r="F361" s="1" t="s">
        <v>16</v>
      </c>
    </row>
    <row r="362" spans="2:6" x14ac:dyDescent="0.25">
      <c r="B362" s="4">
        <v>43252</v>
      </c>
      <c r="C362" s="5">
        <f t="shared" si="5"/>
        <v>2018</v>
      </c>
      <c r="D362" s="6" t="s">
        <v>17</v>
      </c>
      <c r="E362" s="3">
        <v>4</v>
      </c>
      <c r="F362" s="1" t="s">
        <v>17</v>
      </c>
    </row>
    <row r="363" spans="2:6" x14ac:dyDescent="0.25">
      <c r="B363" s="4">
        <v>43252</v>
      </c>
      <c r="C363" s="5">
        <f t="shared" si="5"/>
        <v>2018</v>
      </c>
      <c r="D363" s="6" t="s">
        <v>18</v>
      </c>
      <c r="E363" s="7">
        <v>18.360000000000003</v>
      </c>
      <c r="F363" s="6" t="s">
        <v>18</v>
      </c>
    </row>
    <row r="364" spans="2:6" x14ac:dyDescent="0.25">
      <c r="B364" s="4">
        <v>43282</v>
      </c>
      <c r="C364" s="5">
        <f t="shared" si="5"/>
        <v>2018</v>
      </c>
      <c r="D364" s="6" t="s">
        <v>5</v>
      </c>
      <c r="E364" s="3">
        <v>70</v>
      </c>
      <c r="F364" s="1" t="s">
        <v>6</v>
      </c>
    </row>
    <row r="365" spans="2:6" x14ac:dyDescent="0.25">
      <c r="B365" s="4">
        <v>43282</v>
      </c>
      <c r="C365" s="5">
        <f t="shared" si="5"/>
        <v>2018</v>
      </c>
      <c r="D365" s="6" t="s">
        <v>7</v>
      </c>
      <c r="E365" s="3">
        <v>52</v>
      </c>
      <c r="F365" s="1" t="s">
        <v>8</v>
      </c>
    </row>
    <row r="366" spans="2:6" x14ac:dyDescent="0.25">
      <c r="B366" s="4">
        <v>43282</v>
      </c>
      <c r="C366" s="5">
        <f t="shared" si="5"/>
        <v>2018</v>
      </c>
      <c r="D366" s="6" t="s">
        <v>9</v>
      </c>
      <c r="E366" s="3">
        <v>37</v>
      </c>
      <c r="F366" s="1" t="s">
        <v>6</v>
      </c>
    </row>
    <row r="367" spans="2:6" x14ac:dyDescent="0.25">
      <c r="B367" s="4">
        <v>43282</v>
      </c>
      <c r="C367" s="5">
        <f t="shared" si="5"/>
        <v>2018</v>
      </c>
      <c r="D367" s="6" t="s">
        <v>10</v>
      </c>
      <c r="E367" s="3">
        <v>10</v>
      </c>
      <c r="F367" s="1" t="s">
        <v>8</v>
      </c>
    </row>
    <row r="368" spans="2:6" x14ac:dyDescent="0.25">
      <c r="B368" s="4">
        <v>43282</v>
      </c>
      <c r="C368" s="5">
        <f t="shared" si="5"/>
        <v>2018</v>
      </c>
      <c r="D368" s="6" t="s">
        <v>11</v>
      </c>
      <c r="E368" s="3">
        <v>35</v>
      </c>
      <c r="F368" s="1" t="s">
        <v>6</v>
      </c>
    </row>
    <row r="369" spans="2:6" x14ac:dyDescent="0.25">
      <c r="B369" s="4">
        <v>43282</v>
      </c>
      <c r="C369" s="5">
        <f t="shared" si="5"/>
        <v>2018</v>
      </c>
      <c r="D369" s="6" t="s">
        <v>12</v>
      </c>
      <c r="E369" s="3">
        <v>18</v>
      </c>
      <c r="F369" s="1" t="s">
        <v>8</v>
      </c>
    </row>
    <row r="370" spans="2:6" x14ac:dyDescent="0.25">
      <c r="B370" s="4">
        <v>43282</v>
      </c>
      <c r="C370" s="5">
        <f t="shared" si="5"/>
        <v>2018</v>
      </c>
      <c r="D370" s="6" t="s">
        <v>13</v>
      </c>
      <c r="E370" s="3">
        <v>59</v>
      </c>
      <c r="F370" s="1" t="s">
        <v>6</v>
      </c>
    </row>
    <row r="371" spans="2:6" x14ac:dyDescent="0.25">
      <c r="B371" s="4">
        <v>43282</v>
      </c>
      <c r="C371" s="5">
        <f t="shared" si="5"/>
        <v>2018</v>
      </c>
      <c r="D371" s="6" t="s">
        <v>14</v>
      </c>
      <c r="E371" s="3">
        <v>35</v>
      </c>
      <c r="F371" s="1" t="s">
        <v>8</v>
      </c>
    </row>
    <row r="372" spans="2:6" x14ac:dyDescent="0.25">
      <c r="B372" s="4">
        <v>43282</v>
      </c>
      <c r="C372" s="5">
        <f t="shared" si="5"/>
        <v>2018</v>
      </c>
      <c r="D372" s="6" t="s">
        <v>15</v>
      </c>
      <c r="E372" s="3">
        <v>104.28</v>
      </c>
      <c r="F372" s="1" t="s">
        <v>15</v>
      </c>
    </row>
    <row r="373" spans="2:6" x14ac:dyDescent="0.25">
      <c r="B373" s="4">
        <v>43282</v>
      </c>
      <c r="C373" s="5">
        <f t="shared" si="5"/>
        <v>2018</v>
      </c>
      <c r="D373" s="6" t="s">
        <v>16</v>
      </c>
      <c r="E373" s="3">
        <v>3</v>
      </c>
      <c r="F373" s="1" t="s">
        <v>16</v>
      </c>
    </row>
    <row r="374" spans="2:6" x14ac:dyDescent="0.25">
      <c r="B374" s="4">
        <v>43282</v>
      </c>
      <c r="C374" s="5">
        <f t="shared" si="5"/>
        <v>2018</v>
      </c>
      <c r="D374" s="6" t="s">
        <v>17</v>
      </c>
      <c r="E374" s="3">
        <v>5</v>
      </c>
      <c r="F374" s="1" t="s">
        <v>17</v>
      </c>
    </row>
    <row r="375" spans="2:6" x14ac:dyDescent="0.25">
      <c r="B375" s="4">
        <v>43282</v>
      </c>
      <c r="C375" s="5">
        <f t="shared" si="5"/>
        <v>2018</v>
      </c>
      <c r="D375" s="6" t="s">
        <v>18</v>
      </c>
      <c r="E375" s="7">
        <v>17.240000000000002</v>
      </c>
      <c r="F375" s="6" t="s">
        <v>18</v>
      </c>
    </row>
    <row r="376" spans="2:6" x14ac:dyDescent="0.25">
      <c r="B376" s="4">
        <v>43313</v>
      </c>
      <c r="C376" s="5">
        <f t="shared" si="5"/>
        <v>2018</v>
      </c>
      <c r="D376" s="6" t="s">
        <v>5</v>
      </c>
      <c r="E376" s="3">
        <v>75</v>
      </c>
      <c r="F376" s="1" t="s">
        <v>6</v>
      </c>
    </row>
    <row r="377" spans="2:6" x14ac:dyDescent="0.25">
      <c r="B377" s="4">
        <v>43313</v>
      </c>
      <c r="C377" s="5">
        <f t="shared" si="5"/>
        <v>2018</v>
      </c>
      <c r="D377" s="6" t="s">
        <v>7</v>
      </c>
      <c r="E377" s="3">
        <v>47</v>
      </c>
      <c r="F377" s="1" t="s">
        <v>8</v>
      </c>
    </row>
    <row r="378" spans="2:6" x14ac:dyDescent="0.25">
      <c r="B378" s="4">
        <v>43313</v>
      </c>
      <c r="C378" s="5">
        <f t="shared" si="5"/>
        <v>2018</v>
      </c>
      <c r="D378" s="6" t="s">
        <v>9</v>
      </c>
      <c r="E378" s="3">
        <v>27</v>
      </c>
      <c r="F378" s="1" t="s">
        <v>6</v>
      </c>
    </row>
    <row r="379" spans="2:6" x14ac:dyDescent="0.25">
      <c r="B379" s="4">
        <v>43313</v>
      </c>
      <c r="C379" s="5">
        <f t="shared" si="5"/>
        <v>2018</v>
      </c>
      <c r="D379" s="6" t="s">
        <v>10</v>
      </c>
      <c r="E379" s="3">
        <v>19</v>
      </c>
      <c r="F379" s="1" t="s">
        <v>8</v>
      </c>
    </row>
    <row r="380" spans="2:6" x14ac:dyDescent="0.25">
      <c r="B380" s="4">
        <v>43313</v>
      </c>
      <c r="C380" s="5">
        <f t="shared" si="5"/>
        <v>2018</v>
      </c>
      <c r="D380" s="6" t="s">
        <v>11</v>
      </c>
      <c r="E380" s="3">
        <v>45</v>
      </c>
      <c r="F380" s="1" t="s">
        <v>6</v>
      </c>
    </row>
    <row r="381" spans="2:6" x14ac:dyDescent="0.25">
      <c r="B381" s="4">
        <v>43313</v>
      </c>
      <c r="C381" s="5">
        <f t="shared" si="5"/>
        <v>2018</v>
      </c>
      <c r="D381" s="6" t="s">
        <v>12</v>
      </c>
      <c r="E381" s="3">
        <v>11</v>
      </c>
      <c r="F381" s="1" t="s">
        <v>8</v>
      </c>
    </row>
    <row r="382" spans="2:6" x14ac:dyDescent="0.25">
      <c r="B382" s="4">
        <v>43313</v>
      </c>
      <c r="C382" s="5">
        <f t="shared" si="5"/>
        <v>2018</v>
      </c>
      <c r="D382" s="6" t="s">
        <v>13</v>
      </c>
      <c r="E382" s="3">
        <v>59</v>
      </c>
      <c r="F382" s="1" t="s">
        <v>6</v>
      </c>
    </row>
    <row r="383" spans="2:6" x14ac:dyDescent="0.25">
      <c r="B383" s="4">
        <v>43313</v>
      </c>
      <c r="C383" s="5">
        <f t="shared" si="5"/>
        <v>2018</v>
      </c>
      <c r="D383" s="6" t="s">
        <v>14</v>
      </c>
      <c r="E383" s="3">
        <v>30</v>
      </c>
      <c r="F383" s="1" t="s">
        <v>8</v>
      </c>
    </row>
    <row r="384" spans="2:6" x14ac:dyDescent="0.25">
      <c r="B384" s="4">
        <v>43313</v>
      </c>
      <c r="C384" s="5">
        <f t="shared" si="5"/>
        <v>2018</v>
      </c>
      <c r="D384" s="6" t="s">
        <v>15</v>
      </c>
      <c r="E384" s="3">
        <v>78.25</v>
      </c>
      <c r="F384" s="1" t="s">
        <v>15</v>
      </c>
    </row>
    <row r="385" spans="2:6" x14ac:dyDescent="0.25">
      <c r="B385" s="4">
        <v>43313</v>
      </c>
      <c r="C385" s="5">
        <f t="shared" si="5"/>
        <v>2018</v>
      </c>
      <c r="D385" s="6" t="s">
        <v>16</v>
      </c>
      <c r="E385" s="3">
        <v>4</v>
      </c>
      <c r="F385" s="1" t="s">
        <v>16</v>
      </c>
    </row>
    <row r="386" spans="2:6" x14ac:dyDescent="0.25">
      <c r="B386" s="4">
        <v>43313</v>
      </c>
      <c r="C386" s="5">
        <f t="shared" si="5"/>
        <v>2018</v>
      </c>
      <c r="D386" s="6" t="s">
        <v>17</v>
      </c>
      <c r="E386" s="3">
        <v>5</v>
      </c>
      <c r="F386" s="1" t="s">
        <v>17</v>
      </c>
    </row>
    <row r="387" spans="2:6" x14ac:dyDescent="0.25">
      <c r="B387" s="4">
        <v>43313</v>
      </c>
      <c r="C387" s="5">
        <f t="shared" si="5"/>
        <v>2018</v>
      </c>
      <c r="D387" s="6" t="s">
        <v>18</v>
      </c>
      <c r="E387" s="7">
        <v>17.840000000000003</v>
      </c>
      <c r="F387" s="6" t="s">
        <v>18</v>
      </c>
    </row>
    <row r="388" spans="2:6" x14ac:dyDescent="0.25">
      <c r="B388" s="4">
        <v>43344</v>
      </c>
      <c r="C388" s="5">
        <f t="shared" si="5"/>
        <v>2018</v>
      </c>
      <c r="D388" s="6" t="s">
        <v>5</v>
      </c>
      <c r="E388" s="3">
        <v>65</v>
      </c>
      <c r="F388" s="1" t="s">
        <v>6</v>
      </c>
    </row>
    <row r="389" spans="2:6" x14ac:dyDescent="0.25">
      <c r="B389" s="4">
        <v>43344</v>
      </c>
      <c r="C389" s="5">
        <f t="shared" ref="C389:C438" si="6">YEAR(B389)</f>
        <v>2018</v>
      </c>
      <c r="D389" s="6" t="s">
        <v>7</v>
      </c>
      <c r="E389" s="3">
        <v>47</v>
      </c>
      <c r="F389" s="1" t="s">
        <v>8</v>
      </c>
    </row>
    <row r="390" spans="2:6" x14ac:dyDescent="0.25">
      <c r="B390" s="4">
        <v>43344</v>
      </c>
      <c r="C390" s="5">
        <f t="shared" si="6"/>
        <v>2018</v>
      </c>
      <c r="D390" s="6" t="s">
        <v>9</v>
      </c>
      <c r="E390" s="3">
        <v>38</v>
      </c>
      <c r="F390" s="1" t="s">
        <v>6</v>
      </c>
    </row>
    <row r="391" spans="2:6" x14ac:dyDescent="0.25">
      <c r="B391" s="4">
        <v>43344</v>
      </c>
      <c r="C391" s="5">
        <f t="shared" si="6"/>
        <v>2018</v>
      </c>
      <c r="D391" s="6" t="s">
        <v>10</v>
      </c>
      <c r="E391" s="3">
        <v>13</v>
      </c>
      <c r="F391" s="1" t="s">
        <v>8</v>
      </c>
    </row>
    <row r="392" spans="2:6" x14ac:dyDescent="0.25">
      <c r="B392" s="4">
        <v>43344</v>
      </c>
      <c r="C392" s="5">
        <f t="shared" si="6"/>
        <v>2018</v>
      </c>
      <c r="D392" s="6" t="s">
        <v>11</v>
      </c>
      <c r="E392" s="3">
        <v>39</v>
      </c>
      <c r="F392" s="1" t="s">
        <v>6</v>
      </c>
    </row>
    <row r="393" spans="2:6" x14ac:dyDescent="0.25">
      <c r="B393" s="4">
        <v>43344</v>
      </c>
      <c r="C393" s="5">
        <f t="shared" si="6"/>
        <v>2018</v>
      </c>
      <c r="D393" s="6" t="s">
        <v>12</v>
      </c>
      <c r="E393" s="3">
        <v>11</v>
      </c>
      <c r="F393" s="1" t="s">
        <v>8</v>
      </c>
    </row>
    <row r="394" spans="2:6" x14ac:dyDescent="0.25">
      <c r="B394" s="4">
        <v>43344</v>
      </c>
      <c r="C394" s="5">
        <f t="shared" si="6"/>
        <v>2018</v>
      </c>
      <c r="D394" s="6" t="s">
        <v>13</v>
      </c>
      <c r="E394" s="3">
        <v>58</v>
      </c>
      <c r="F394" s="1" t="s">
        <v>6</v>
      </c>
    </row>
    <row r="395" spans="2:6" x14ac:dyDescent="0.25">
      <c r="B395" s="4">
        <v>43344</v>
      </c>
      <c r="C395" s="5">
        <f t="shared" si="6"/>
        <v>2018</v>
      </c>
      <c r="D395" s="6" t="s">
        <v>14</v>
      </c>
      <c r="E395" s="3">
        <v>32</v>
      </c>
      <c r="F395" s="1" t="s">
        <v>8</v>
      </c>
    </row>
    <row r="396" spans="2:6" x14ac:dyDescent="0.25">
      <c r="B396" s="4">
        <v>43344</v>
      </c>
      <c r="C396" s="5">
        <f t="shared" si="6"/>
        <v>2018</v>
      </c>
      <c r="D396" s="6" t="s">
        <v>15</v>
      </c>
      <c r="E396" s="3">
        <v>78.78</v>
      </c>
      <c r="F396" s="1" t="s">
        <v>15</v>
      </c>
    </row>
    <row r="397" spans="2:6" x14ac:dyDescent="0.25">
      <c r="B397" s="4">
        <v>43344</v>
      </c>
      <c r="C397" s="5">
        <f t="shared" si="6"/>
        <v>2018</v>
      </c>
      <c r="D397" s="6" t="s">
        <v>16</v>
      </c>
      <c r="E397" s="3">
        <v>3</v>
      </c>
      <c r="F397" s="1" t="s">
        <v>16</v>
      </c>
    </row>
    <row r="398" spans="2:6" x14ac:dyDescent="0.25">
      <c r="B398" s="4">
        <v>43344</v>
      </c>
      <c r="C398" s="5">
        <f t="shared" si="6"/>
        <v>2018</v>
      </c>
      <c r="D398" s="6" t="s">
        <v>17</v>
      </c>
      <c r="E398" s="3">
        <v>4</v>
      </c>
      <c r="F398" s="1" t="s">
        <v>17</v>
      </c>
    </row>
    <row r="399" spans="2:6" x14ac:dyDescent="0.25">
      <c r="B399" s="4">
        <v>43344</v>
      </c>
      <c r="C399" s="5">
        <f t="shared" si="6"/>
        <v>2018</v>
      </c>
      <c r="D399" s="6" t="s">
        <v>18</v>
      </c>
      <c r="E399" s="7">
        <v>17.170000000000002</v>
      </c>
      <c r="F399" s="6" t="s">
        <v>18</v>
      </c>
    </row>
    <row r="400" spans="2:6" x14ac:dyDescent="0.25">
      <c r="B400" s="4">
        <v>43374</v>
      </c>
      <c r="C400" s="5">
        <f t="shared" si="6"/>
        <v>2018</v>
      </c>
      <c r="D400" s="6" t="s">
        <v>5</v>
      </c>
      <c r="E400" s="3">
        <v>72</v>
      </c>
      <c r="F400" s="1" t="s">
        <v>6</v>
      </c>
    </row>
    <row r="401" spans="2:6" x14ac:dyDescent="0.25">
      <c r="B401" s="4">
        <v>43374</v>
      </c>
      <c r="C401" s="5">
        <f t="shared" si="6"/>
        <v>2018</v>
      </c>
      <c r="D401" s="6" t="s">
        <v>7</v>
      </c>
      <c r="E401" s="3">
        <v>51</v>
      </c>
      <c r="F401" s="1" t="s">
        <v>8</v>
      </c>
    </row>
    <row r="402" spans="2:6" x14ac:dyDescent="0.25">
      <c r="B402" s="4">
        <v>43374</v>
      </c>
      <c r="C402" s="5">
        <f t="shared" si="6"/>
        <v>2018</v>
      </c>
      <c r="D402" s="6" t="s">
        <v>9</v>
      </c>
      <c r="E402" s="3">
        <v>34</v>
      </c>
      <c r="F402" s="1" t="s">
        <v>6</v>
      </c>
    </row>
    <row r="403" spans="2:6" x14ac:dyDescent="0.25">
      <c r="B403" s="4">
        <v>43374</v>
      </c>
      <c r="C403" s="5">
        <f t="shared" si="6"/>
        <v>2018</v>
      </c>
      <c r="D403" s="6" t="s">
        <v>10</v>
      </c>
      <c r="E403" s="3">
        <v>16</v>
      </c>
      <c r="F403" s="1" t="s">
        <v>8</v>
      </c>
    </row>
    <row r="404" spans="2:6" x14ac:dyDescent="0.25">
      <c r="B404" s="4">
        <v>43374</v>
      </c>
      <c r="C404" s="5">
        <f t="shared" si="6"/>
        <v>2018</v>
      </c>
      <c r="D404" s="6" t="s">
        <v>11</v>
      </c>
      <c r="E404" s="3">
        <v>39</v>
      </c>
      <c r="F404" s="1" t="s">
        <v>6</v>
      </c>
    </row>
    <row r="405" spans="2:6" x14ac:dyDescent="0.25">
      <c r="B405" s="4">
        <v>43374</v>
      </c>
      <c r="C405" s="5">
        <f t="shared" si="6"/>
        <v>2018</v>
      </c>
      <c r="D405" s="6" t="s">
        <v>12</v>
      </c>
      <c r="E405" s="3">
        <v>10</v>
      </c>
      <c r="F405" s="1" t="s">
        <v>8</v>
      </c>
    </row>
    <row r="406" spans="2:6" x14ac:dyDescent="0.25">
      <c r="B406" s="4">
        <v>43374</v>
      </c>
      <c r="C406" s="5">
        <f t="shared" si="6"/>
        <v>2018</v>
      </c>
      <c r="D406" s="6" t="s">
        <v>13</v>
      </c>
      <c r="E406" s="3">
        <v>64</v>
      </c>
      <c r="F406" s="1" t="s">
        <v>6</v>
      </c>
    </row>
    <row r="407" spans="2:6" x14ac:dyDescent="0.25">
      <c r="B407" s="4">
        <v>43374</v>
      </c>
      <c r="C407" s="5">
        <f t="shared" si="6"/>
        <v>2018</v>
      </c>
      <c r="D407" s="6" t="s">
        <v>14</v>
      </c>
      <c r="E407" s="3">
        <v>35</v>
      </c>
      <c r="F407" s="1" t="s">
        <v>8</v>
      </c>
    </row>
    <row r="408" spans="2:6" x14ac:dyDescent="0.25">
      <c r="B408" s="4">
        <v>43374</v>
      </c>
      <c r="C408" s="5">
        <f t="shared" si="6"/>
        <v>2018</v>
      </c>
      <c r="D408" s="6" t="s">
        <v>15</v>
      </c>
      <c r="E408" s="3">
        <v>83.460000000000008</v>
      </c>
      <c r="F408" s="1" t="s">
        <v>15</v>
      </c>
    </row>
    <row r="409" spans="2:6" x14ac:dyDescent="0.25">
      <c r="B409" s="4">
        <v>43374</v>
      </c>
      <c r="C409" s="5">
        <f t="shared" si="6"/>
        <v>2018</v>
      </c>
      <c r="D409" s="6" t="s">
        <v>16</v>
      </c>
      <c r="E409" s="3">
        <v>3</v>
      </c>
      <c r="F409" s="1" t="s">
        <v>16</v>
      </c>
    </row>
    <row r="410" spans="2:6" x14ac:dyDescent="0.25">
      <c r="B410" s="4">
        <v>43374</v>
      </c>
      <c r="C410" s="5">
        <f t="shared" si="6"/>
        <v>2018</v>
      </c>
      <c r="D410" s="6" t="s">
        <v>17</v>
      </c>
      <c r="E410" s="3">
        <v>5</v>
      </c>
      <c r="F410" s="1" t="s">
        <v>17</v>
      </c>
    </row>
    <row r="411" spans="2:6" x14ac:dyDescent="0.25">
      <c r="B411" s="4">
        <v>43374</v>
      </c>
      <c r="C411" s="5">
        <f t="shared" si="6"/>
        <v>2018</v>
      </c>
      <c r="D411" s="6" t="s">
        <v>18</v>
      </c>
      <c r="E411" s="7">
        <v>18.05</v>
      </c>
      <c r="F411" s="6" t="s">
        <v>18</v>
      </c>
    </row>
    <row r="412" spans="2:6" x14ac:dyDescent="0.25">
      <c r="B412" s="4">
        <v>43405</v>
      </c>
      <c r="C412" s="5">
        <f t="shared" si="6"/>
        <v>2018</v>
      </c>
      <c r="D412" s="6" t="s">
        <v>5</v>
      </c>
      <c r="E412" s="3">
        <v>64</v>
      </c>
      <c r="F412" s="1" t="s">
        <v>6</v>
      </c>
    </row>
    <row r="413" spans="2:6" x14ac:dyDescent="0.25">
      <c r="B413" s="4">
        <v>43405</v>
      </c>
      <c r="C413" s="5">
        <f t="shared" si="6"/>
        <v>2018</v>
      </c>
      <c r="D413" s="6" t="s">
        <v>7</v>
      </c>
      <c r="E413" s="3">
        <v>52</v>
      </c>
      <c r="F413" s="1" t="s">
        <v>8</v>
      </c>
    </row>
    <row r="414" spans="2:6" x14ac:dyDescent="0.25">
      <c r="B414" s="4">
        <v>43405</v>
      </c>
      <c r="C414" s="5">
        <f t="shared" si="6"/>
        <v>2018</v>
      </c>
      <c r="D414" s="6" t="s">
        <v>9</v>
      </c>
      <c r="E414" s="3">
        <v>37</v>
      </c>
      <c r="F414" s="1" t="s">
        <v>6</v>
      </c>
    </row>
    <row r="415" spans="2:6" x14ac:dyDescent="0.25">
      <c r="B415" s="4">
        <v>43405</v>
      </c>
      <c r="C415" s="5">
        <f t="shared" si="6"/>
        <v>2018</v>
      </c>
      <c r="D415" s="6" t="s">
        <v>10</v>
      </c>
      <c r="E415" s="3">
        <v>15</v>
      </c>
      <c r="F415" s="1" t="s">
        <v>8</v>
      </c>
    </row>
    <row r="416" spans="2:6" x14ac:dyDescent="0.25">
      <c r="B416" s="4">
        <v>43405</v>
      </c>
      <c r="C416" s="5">
        <f t="shared" si="6"/>
        <v>2018</v>
      </c>
      <c r="D416" s="6" t="s">
        <v>11</v>
      </c>
      <c r="E416" s="3">
        <v>50</v>
      </c>
      <c r="F416" s="1" t="s">
        <v>6</v>
      </c>
    </row>
    <row r="417" spans="2:6" x14ac:dyDescent="0.25">
      <c r="B417" s="4">
        <v>43405</v>
      </c>
      <c r="C417" s="5">
        <f t="shared" si="6"/>
        <v>2018</v>
      </c>
      <c r="D417" s="6" t="s">
        <v>12</v>
      </c>
      <c r="E417" s="3">
        <v>14</v>
      </c>
      <c r="F417" s="1" t="s">
        <v>8</v>
      </c>
    </row>
    <row r="418" spans="2:6" x14ac:dyDescent="0.25">
      <c r="B418" s="4">
        <v>43405</v>
      </c>
      <c r="C418" s="5">
        <f t="shared" si="6"/>
        <v>2018</v>
      </c>
      <c r="D418" s="6" t="s">
        <v>13</v>
      </c>
      <c r="E418" s="3">
        <v>58</v>
      </c>
      <c r="F418" s="1" t="s">
        <v>6</v>
      </c>
    </row>
    <row r="419" spans="2:6" x14ac:dyDescent="0.25">
      <c r="B419" s="4">
        <v>43405</v>
      </c>
      <c r="C419" s="5">
        <f t="shared" si="6"/>
        <v>2018</v>
      </c>
      <c r="D419" s="6" t="s">
        <v>14</v>
      </c>
      <c r="E419" s="3">
        <v>33</v>
      </c>
      <c r="F419" s="1" t="s">
        <v>8</v>
      </c>
    </row>
    <row r="420" spans="2:6" x14ac:dyDescent="0.25">
      <c r="B420" s="4">
        <v>43405</v>
      </c>
      <c r="C420" s="5">
        <f t="shared" si="6"/>
        <v>2018</v>
      </c>
      <c r="D420" s="6" t="s">
        <v>15</v>
      </c>
      <c r="E420" s="3">
        <v>87.210000000000008</v>
      </c>
      <c r="F420" s="1" t="s">
        <v>15</v>
      </c>
    </row>
    <row r="421" spans="2:6" x14ac:dyDescent="0.25">
      <c r="B421" s="4">
        <v>43405</v>
      </c>
      <c r="C421" s="5">
        <f t="shared" si="6"/>
        <v>2018</v>
      </c>
      <c r="D421" s="6" t="s">
        <v>16</v>
      </c>
      <c r="E421" s="3">
        <v>3</v>
      </c>
      <c r="F421" s="1" t="s">
        <v>16</v>
      </c>
    </row>
    <row r="422" spans="2:6" x14ac:dyDescent="0.25">
      <c r="B422" s="4">
        <v>43405</v>
      </c>
      <c r="C422" s="5">
        <f t="shared" si="6"/>
        <v>2018</v>
      </c>
      <c r="D422" s="6" t="s">
        <v>17</v>
      </c>
      <c r="E422" s="3">
        <v>5</v>
      </c>
      <c r="F422" s="1" t="s">
        <v>17</v>
      </c>
    </row>
    <row r="423" spans="2:6" x14ac:dyDescent="0.25">
      <c r="B423" s="4">
        <v>43405</v>
      </c>
      <c r="C423" s="5">
        <f t="shared" si="6"/>
        <v>2018</v>
      </c>
      <c r="D423" s="6" t="s">
        <v>18</v>
      </c>
      <c r="E423" s="7">
        <v>18.010000000000002</v>
      </c>
      <c r="F423" s="6" t="s">
        <v>18</v>
      </c>
    </row>
    <row r="424" spans="2:6" x14ac:dyDescent="0.25">
      <c r="B424" s="4">
        <v>43435</v>
      </c>
      <c r="C424" s="5">
        <f t="shared" si="6"/>
        <v>2018</v>
      </c>
      <c r="D424" s="6" t="s">
        <v>5</v>
      </c>
      <c r="E424" s="3">
        <v>66</v>
      </c>
      <c r="F424" s="1" t="s">
        <v>6</v>
      </c>
    </row>
    <row r="425" spans="2:6" x14ac:dyDescent="0.25">
      <c r="B425" s="4">
        <v>43435</v>
      </c>
      <c r="C425" s="5">
        <f t="shared" si="6"/>
        <v>2018</v>
      </c>
      <c r="D425" s="6" t="s">
        <v>7</v>
      </c>
      <c r="E425" s="3">
        <v>56</v>
      </c>
      <c r="F425" s="1" t="s">
        <v>8</v>
      </c>
    </row>
    <row r="426" spans="2:6" x14ac:dyDescent="0.25">
      <c r="B426" s="4">
        <v>43435</v>
      </c>
      <c r="C426" s="5">
        <f t="shared" si="6"/>
        <v>2018</v>
      </c>
      <c r="D426" s="6" t="s">
        <v>9</v>
      </c>
      <c r="E426" s="3">
        <v>38</v>
      </c>
      <c r="F426" s="1" t="s">
        <v>6</v>
      </c>
    </row>
    <row r="427" spans="2:6" x14ac:dyDescent="0.25">
      <c r="B427" s="4">
        <v>43435</v>
      </c>
      <c r="C427" s="5">
        <f t="shared" si="6"/>
        <v>2018</v>
      </c>
      <c r="D427" s="6" t="s">
        <v>10</v>
      </c>
      <c r="E427" s="3">
        <v>13</v>
      </c>
      <c r="F427" s="1" t="s">
        <v>8</v>
      </c>
    </row>
    <row r="428" spans="2:6" x14ac:dyDescent="0.25">
      <c r="B428" s="4">
        <v>43435</v>
      </c>
      <c r="C428" s="5">
        <f t="shared" si="6"/>
        <v>2018</v>
      </c>
      <c r="D428" s="6" t="s">
        <v>11</v>
      </c>
      <c r="E428" s="3">
        <v>41</v>
      </c>
      <c r="F428" s="1" t="s">
        <v>6</v>
      </c>
    </row>
    <row r="429" spans="2:6" x14ac:dyDescent="0.25">
      <c r="B429" s="4">
        <v>43435</v>
      </c>
      <c r="C429" s="5">
        <f t="shared" si="6"/>
        <v>2018</v>
      </c>
      <c r="D429" s="6" t="s">
        <v>12</v>
      </c>
      <c r="E429" s="3">
        <v>18</v>
      </c>
      <c r="F429" s="1" t="s">
        <v>8</v>
      </c>
    </row>
    <row r="430" spans="2:6" x14ac:dyDescent="0.25">
      <c r="B430" s="4">
        <v>43435</v>
      </c>
      <c r="C430" s="5">
        <f t="shared" si="6"/>
        <v>2018</v>
      </c>
      <c r="D430" s="6" t="s">
        <v>13</v>
      </c>
      <c r="E430" s="3">
        <v>65</v>
      </c>
      <c r="F430" s="1" t="s">
        <v>6</v>
      </c>
    </row>
    <row r="431" spans="2:6" x14ac:dyDescent="0.25">
      <c r="B431" s="4">
        <v>43435</v>
      </c>
      <c r="C431" s="5">
        <f t="shared" si="6"/>
        <v>2018</v>
      </c>
      <c r="D431" s="6" t="s">
        <v>14</v>
      </c>
      <c r="E431" s="3">
        <v>30</v>
      </c>
      <c r="F431" s="1" t="s">
        <v>8</v>
      </c>
    </row>
    <row r="432" spans="2:6" x14ac:dyDescent="0.25">
      <c r="B432" s="4">
        <v>43435</v>
      </c>
      <c r="C432" s="5">
        <f t="shared" si="6"/>
        <v>2018</v>
      </c>
      <c r="D432" s="6" t="s">
        <v>15</v>
      </c>
      <c r="E432" s="3">
        <v>91.56</v>
      </c>
      <c r="F432" s="1" t="s">
        <v>15</v>
      </c>
    </row>
    <row r="433" spans="2:6" x14ac:dyDescent="0.25">
      <c r="B433" s="4">
        <v>43435</v>
      </c>
      <c r="C433" s="5">
        <f t="shared" si="6"/>
        <v>2018</v>
      </c>
      <c r="D433" s="6" t="s">
        <v>16</v>
      </c>
      <c r="E433" s="3">
        <v>4</v>
      </c>
      <c r="F433" s="1" t="s">
        <v>16</v>
      </c>
    </row>
    <row r="434" spans="2:6" x14ac:dyDescent="0.25">
      <c r="B434" s="4">
        <v>43435</v>
      </c>
      <c r="C434" s="5">
        <f t="shared" si="6"/>
        <v>2018</v>
      </c>
      <c r="D434" s="6" t="s">
        <v>17</v>
      </c>
      <c r="E434" s="3">
        <v>4</v>
      </c>
      <c r="F434" s="1" t="s">
        <v>17</v>
      </c>
    </row>
    <row r="435" spans="2:6" x14ac:dyDescent="0.25">
      <c r="B435" s="4">
        <v>43435</v>
      </c>
      <c r="C435" s="5">
        <f t="shared" si="6"/>
        <v>2018</v>
      </c>
      <c r="D435" s="6" t="s">
        <v>18</v>
      </c>
      <c r="E435" s="7">
        <v>18.130000000000003</v>
      </c>
      <c r="F435" s="6" t="s">
        <v>18</v>
      </c>
    </row>
    <row r="436" spans="2:6" x14ac:dyDescent="0.25">
      <c r="B436" s="4">
        <v>42705</v>
      </c>
      <c r="C436" s="5">
        <f t="shared" si="6"/>
        <v>2016</v>
      </c>
      <c r="D436" s="1" t="s">
        <v>19</v>
      </c>
      <c r="E436" s="1">
        <v>524</v>
      </c>
      <c r="F436" s="1" t="s">
        <v>6</v>
      </c>
    </row>
    <row r="437" spans="2:6" x14ac:dyDescent="0.25">
      <c r="B437" s="4">
        <v>43070</v>
      </c>
      <c r="C437" s="5">
        <f t="shared" si="6"/>
        <v>2017</v>
      </c>
      <c r="D437" s="1" t="s">
        <v>19</v>
      </c>
      <c r="E437" s="1">
        <v>550</v>
      </c>
      <c r="F437" s="1" t="s">
        <v>6</v>
      </c>
    </row>
    <row r="438" spans="2:6" x14ac:dyDescent="0.25">
      <c r="B438" s="4">
        <v>43435</v>
      </c>
      <c r="C438" s="5">
        <f t="shared" si="6"/>
        <v>2018</v>
      </c>
      <c r="D438" s="1" t="s">
        <v>19</v>
      </c>
      <c r="E438" s="1">
        <v>628</v>
      </c>
      <c r="F438" s="1" t="s">
        <v>6</v>
      </c>
    </row>
  </sheetData>
  <autoFilter ref="B3:F438" xr:uid="{00000000-0009-0000-0000-000003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2B34-2931-4684-8627-60C93B715FEE}">
  <sheetPr>
    <tabColor theme="9" tint="0.59999389629810485"/>
  </sheetPr>
  <dimension ref="C3:N22"/>
  <sheetViews>
    <sheetView showGridLines="0" topLeftCell="D2" workbookViewId="0">
      <selection activeCell="H22" sqref="H22"/>
    </sheetView>
  </sheetViews>
  <sheetFormatPr baseColWidth="10" defaultRowHeight="15" x14ac:dyDescent="0.25"/>
  <cols>
    <col min="3" max="3" width="21.7109375" customWidth="1"/>
  </cols>
  <sheetData>
    <row r="3" spans="3:12" x14ac:dyDescent="0.25">
      <c r="G3" s="82" t="s">
        <v>185</v>
      </c>
      <c r="H3" s="82"/>
      <c r="I3" s="82"/>
      <c r="J3" s="82"/>
      <c r="K3" s="82"/>
    </row>
    <row r="4" spans="3:12" ht="15.75" thickBot="1" x14ac:dyDescent="0.3">
      <c r="D4" s="50">
        <v>2016</v>
      </c>
      <c r="E4" s="50">
        <v>2017</v>
      </c>
      <c r="F4" s="50">
        <v>2018</v>
      </c>
      <c r="G4" s="50">
        <v>2019</v>
      </c>
      <c r="H4" s="50">
        <v>2020</v>
      </c>
      <c r="I4" s="50">
        <v>2021</v>
      </c>
      <c r="J4" s="50">
        <v>2022</v>
      </c>
      <c r="K4" s="50">
        <v>2023</v>
      </c>
    </row>
    <row r="5" spans="3:12" x14ac:dyDescent="0.25">
      <c r="C5" t="s">
        <v>220</v>
      </c>
      <c r="D5" s="14"/>
      <c r="E5" s="78">
        <f>D8</f>
        <v>615.79999999999995</v>
      </c>
      <c r="F5" s="14">
        <f>E8</f>
        <v>610.4</v>
      </c>
      <c r="G5" s="14">
        <f>F8</f>
        <v>605</v>
      </c>
      <c r="H5" s="14">
        <f t="shared" ref="H5:K5" si="0">G8</f>
        <v>565.17884560503455</v>
      </c>
      <c r="I5" s="14">
        <f t="shared" si="0"/>
        <v>521.77378731452222</v>
      </c>
      <c r="J5" s="14">
        <f t="shared" si="0"/>
        <v>474.4622737778638</v>
      </c>
      <c r="K5" s="14">
        <f t="shared" si="0"/>
        <v>422.89272402290612</v>
      </c>
    </row>
    <row r="6" spans="3:12" x14ac:dyDescent="0.25">
      <c r="C6" t="s">
        <v>219</v>
      </c>
      <c r="D6" s="14"/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</row>
    <row r="7" spans="3:12" x14ac:dyDescent="0.25">
      <c r="C7" t="s">
        <v>218</v>
      </c>
      <c r="D7" s="14"/>
      <c r="E7" s="78">
        <f>E8-E5</f>
        <v>-5.3999999999999773</v>
      </c>
      <c r="F7" s="78">
        <f>F8-F5</f>
        <v>-5.3999999999999773</v>
      </c>
      <c r="G7" s="14">
        <f>D21</f>
        <v>-39.82115439496544</v>
      </c>
      <c r="H7" s="14">
        <f t="shared" ref="H7:K7" si="1">E21</f>
        <v>-43.405058290512329</v>
      </c>
      <c r="I7" s="14">
        <f t="shared" si="1"/>
        <v>-47.311513536658438</v>
      </c>
      <c r="J7" s="14">
        <f t="shared" si="1"/>
        <v>-51.569549754957698</v>
      </c>
      <c r="K7" s="14">
        <f t="shared" si="1"/>
        <v>-56.210809232903884</v>
      </c>
    </row>
    <row r="8" spans="3:12" x14ac:dyDescent="0.25">
      <c r="C8" t="s">
        <v>217</v>
      </c>
      <c r="D8" s="14">
        <f>Balance!D12</f>
        <v>615.79999999999995</v>
      </c>
      <c r="E8" s="14">
        <f>Balance!E12</f>
        <v>610.4</v>
      </c>
      <c r="F8" s="14">
        <f>Balance!F12</f>
        <v>605</v>
      </c>
      <c r="G8" s="14">
        <f>SUM(G5:G7)</f>
        <v>565.17884560503455</v>
      </c>
      <c r="H8" s="14">
        <f t="shared" ref="H8:K8" si="2">SUM(H5:H7)</f>
        <v>521.77378731452222</v>
      </c>
      <c r="I8" s="14">
        <f t="shared" si="2"/>
        <v>474.4622737778638</v>
      </c>
      <c r="J8" s="14">
        <f t="shared" si="2"/>
        <v>422.89272402290612</v>
      </c>
      <c r="K8" s="14">
        <f t="shared" si="2"/>
        <v>366.68191479000222</v>
      </c>
      <c r="L8" t="s">
        <v>205</v>
      </c>
    </row>
    <row r="9" spans="3:12" x14ac:dyDescent="0.25">
      <c r="G9" s="75"/>
    </row>
    <row r="11" spans="3:12" x14ac:dyDescent="0.25">
      <c r="C11" t="s">
        <v>216</v>
      </c>
      <c r="E11" s="17"/>
      <c r="F11" s="17"/>
      <c r="G11" s="77"/>
      <c r="H11" s="77"/>
      <c r="I11" s="77"/>
      <c r="J11" s="77"/>
      <c r="K11" s="77"/>
    </row>
    <row r="12" spans="3:12" x14ac:dyDescent="0.25">
      <c r="C12" t="s">
        <v>215</v>
      </c>
      <c r="D12">
        <v>10</v>
      </c>
      <c r="E12" s="17"/>
      <c r="F12" s="17"/>
      <c r="G12" s="77"/>
      <c r="H12" s="77"/>
      <c r="I12" s="77"/>
      <c r="J12" s="77"/>
      <c r="K12" s="77"/>
    </row>
    <row r="13" spans="3:12" x14ac:dyDescent="0.25">
      <c r="C13" t="s">
        <v>214</v>
      </c>
      <c r="D13" s="52">
        <v>0.09</v>
      </c>
    </row>
    <row r="14" spans="3:12" x14ac:dyDescent="0.25">
      <c r="C14" t="s">
        <v>211</v>
      </c>
      <c r="D14" s="76">
        <f>PMT(D13,D12,F8,,0)</f>
        <v>-94.271154394965436</v>
      </c>
    </row>
    <row r="16" spans="3:12" x14ac:dyDescent="0.25">
      <c r="C16" t="s">
        <v>213</v>
      </c>
    </row>
    <row r="18" spans="3:14" x14ac:dyDescent="0.25">
      <c r="C18" t="s">
        <v>212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</row>
    <row r="19" spans="3:14" x14ac:dyDescent="0.25">
      <c r="C19" t="s">
        <v>211</v>
      </c>
      <c r="D19" s="76">
        <f>$D$14</f>
        <v>-94.271154394965436</v>
      </c>
      <c r="E19" s="76">
        <f t="shared" ref="E19:M19" si="3">$D$14</f>
        <v>-94.271154394965436</v>
      </c>
      <c r="F19" s="76">
        <f t="shared" si="3"/>
        <v>-94.271154394965436</v>
      </c>
      <c r="G19" s="76">
        <f t="shared" si="3"/>
        <v>-94.271154394965436</v>
      </c>
      <c r="H19" s="76">
        <f t="shared" si="3"/>
        <v>-94.271154394965436</v>
      </c>
      <c r="I19" s="76">
        <f t="shared" si="3"/>
        <v>-94.271154394965436</v>
      </c>
      <c r="J19" s="76">
        <f t="shared" si="3"/>
        <v>-94.271154394965436</v>
      </c>
      <c r="K19" s="76">
        <f t="shared" si="3"/>
        <v>-94.271154394965436</v>
      </c>
      <c r="L19" s="76">
        <f t="shared" si="3"/>
        <v>-94.271154394965436</v>
      </c>
      <c r="M19" s="76">
        <f t="shared" si="3"/>
        <v>-94.271154394965436</v>
      </c>
    </row>
    <row r="20" spans="3:14" x14ac:dyDescent="0.25">
      <c r="C20" t="s">
        <v>210</v>
      </c>
      <c r="D20" s="76">
        <f>D13*-F8</f>
        <v>-54.449999999999996</v>
      </c>
      <c r="E20" s="76">
        <f>-$D$13*D22</f>
        <v>-50.866096104453106</v>
      </c>
      <c r="F20" s="76">
        <f t="shared" ref="F20:M20" si="4">-$D$13*E22</f>
        <v>-46.959640858306997</v>
      </c>
      <c r="G20" s="76">
        <f t="shared" si="4"/>
        <v>-42.701604640007737</v>
      </c>
      <c r="H20" s="76">
        <f t="shared" si="4"/>
        <v>-38.060345162061552</v>
      </c>
      <c r="I20" s="76">
        <f t="shared" si="4"/>
        <v>-33.0013723311002</v>
      </c>
      <c r="J20" s="76">
        <f t="shared" si="4"/>
        <v>-27.487091945352326</v>
      </c>
      <c r="K20" s="76">
        <f t="shared" si="4"/>
        <v>-21.476526324887146</v>
      </c>
      <c r="L20" s="76">
        <f t="shared" si="4"/>
        <v>-14.925009798580101</v>
      </c>
      <c r="M20" s="76">
        <f t="shared" si="4"/>
        <v>-7.7838567849054208</v>
      </c>
      <c r="N20" t="s">
        <v>205</v>
      </c>
    </row>
    <row r="21" spans="3:14" x14ac:dyDescent="0.25">
      <c r="C21" t="s">
        <v>104</v>
      </c>
      <c r="D21" s="76">
        <f>D19+-D20</f>
        <v>-39.82115439496544</v>
      </c>
      <c r="E21" s="76">
        <f>E19+-E20</f>
        <v>-43.405058290512329</v>
      </c>
      <c r="F21" s="76">
        <f t="shared" ref="F21:M21" si="5">F19+-F20</f>
        <v>-47.311513536658438</v>
      </c>
      <c r="G21" s="76">
        <f t="shared" si="5"/>
        <v>-51.569549754957698</v>
      </c>
      <c r="H21" s="76">
        <f t="shared" si="5"/>
        <v>-56.210809232903884</v>
      </c>
      <c r="I21" s="76">
        <f t="shared" si="5"/>
        <v>-61.269782063865236</v>
      </c>
      <c r="J21" s="76">
        <f t="shared" si="5"/>
        <v>-66.784062449613117</v>
      </c>
      <c r="K21" s="76">
        <f t="shared" si="5"/>
        <v>-72.794628070078289</v>
      </c>
      <c r="L21" s="76">
        <f t="shared" si="5"/>
        <v>-79.346144596385329</v>
      </c>
      <c r="M21" s="76">
        <f t="shared" si="5"/>
        <v>-86.487297610060011</v>
      </c>
    </row>
    <row r="22" spans="3:14" x14ac:dyDescent="0.25">
      <c r="C22" t="s">
        <v>209</v>
      </c>
      <c r="D22" s="75">
        <f>F8+D21</f>
        <v>565.17884560503455</v>
      </c>
      <c r="E22" s="75">
        <f>E21+D22</f>
        <v>521.77378731452222</v>
      </c>
      <c r="F22" s="75">
        <f t="shared" ref="F22:M22" si="6">F21+E22</f>
        <v>474.4622737778638</v>
      </c>
      <c r="G22" s="75">
        <f t="shared" si="6"/>
        <v>422.89272402290612</v>
      </c>
      <c r="H22" s="75">
        <f t="shared" si="6"/>
        <v>366.68191479000222</v>
      </c>
      <c r="I22" s="75">
        <f t="shared" si="6"/>
        <v>305.41213272613697</v>
      </c>
      <c r="J22" s="75">
        <f t="shared" si="6"/>
        <v>238.62807027652386</v>
      </c>
      <c r="K22" s="75">
        <f t="shared" si="6"/>
        <v>165.83344220644557</v>
      </c>
      <c r="L22" s="75">
        <f t="shared" si="6"/>
        <v>86.487297610060239</v>
      </c>
      <c r="M22" s="75">
        <f t="shared" si="6"/>
        <v>2.2737367544323206E-13</v>
      </c>
      <c r="N22" t="s">
        <v>208</v>
      </c>
    </row>
  </sheetData>
  <mergeCells count="1">
    <mergeCell ref="G3: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7C56-B9EE-479B-8F71-D0084E13345D}">
  <sheetPr>
    <tabColor theme="9" tint="0.59999389629810485"/>
  </sheetPr>
  <dimension ref="B2:K12"/>
  <sheetViews>
    <sheetView showGridLines="0" topLeftCell="C1" workbookViewId="0">
      <selection activeCell="F8" sqref="F8"/>
    </sheetView>
  </sheetViews>
  <sheetFormatPr baseColWidth="10" defaultRowHeight="15" x14ac:dyDescent="0.25"/>
  <cols>
    <col min="2" max="2" width="52.85546875" bestFit="1" customWidth="1"/>
  </cols>
  <sheetData>
    <row r="2" spans="2:11" x14ac:dyDescent="0.25">
      <c r="F2" s="82" t="s">
        <v>185</v>
      </c>
      <c r="G2" s="82"/>
      <c r="H2" s="82"/>
      <c r="I2" s="82"/>
      <c r="J2" s="82"/>
    </row>
    <row r="3" spans="2:11" ht="15.75" thickBot="1" x14ac:dyDescent="0.3">
      <c r="B3" s="79" t="s">
        <v>228</v>
      </c>
      <c r="C3" s="50">
        <v>2016</v>
      </c>
      <c r="D3" s="50">
        <v>2017</v>
      </c>
      <c r="E3" s="50">
        <v>2018</v>
      </c>
      <c r="F3" s="50">
        <v>2019</v>
      </c>
      <c r="G3" s="50">
        <v>2020</v>
      </c>
      <c r="H3" s="50">
        <v>2021</v>
      </c>
      <c r="I3" s="50">
        <v>2022</v>
      </c>
      <c r="J3" s="50">
        <v>2023</v>
      </c>
    </row>
    <row r="4" spans="2:11" x14ac:dyDescent="0.25">
      <c r="B4" t="s">
        <v>227</v>
      </c>
      <c r="C4" s="14"/>
      <c r="D4" s="14">
        <f>Balance!D15</f>
        <v>167.50000000000003</v>
      </c>
      <c r="E4" s="14">
        <f>D8</f>
        <v>196.7</v>
      </c>
      <c r="F4" s="14">
        <f>E8</f>
        <v>485.3</v>
      </c>
      <c r="G4" s="14">
        <f t="shared" ref="G4:J4" si="0">F8</f>
        <v>689.31234259288544</v>
      </c>
      <c r="H4" s="14">
        <f t="shared" si="0"/>
        <v>901.62944291642384</v>
      </c>
      <c r="I4" s="14">
        <f t="shared" si="0"/>
        <v>1122.5875000957517</v>
      </c>
      <c r="J4" s="14">
        <f t="shared" si="0"/>
        <v>1352.5404150832494</v>
      </c>
    </row>
    <row r="5" spans="2:11" x14ac:dyDescent="0.25">
      <c r="B5" t="s">
        <v>226</v>
      </c>
      <c r="C5" s="14"/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</row>
    <row r="6" spans="2:11" x14ac:dyDescent="0.25">
      <c r="B6" t="s">
        <v>225</v>
      </c>
      <c r="C6" s="14"/>
      <c r="D6" s="14">
        <f>'Estado de resultados'!E14</f>
        <v>36.680000000000092</v>
      </c>
      <c r="E6" s="14">
        <f>'Estado de resultados'!F14</f>
        <v>303.18</v>
      </c>
      <c r="F6" s="14">
        <f>'Estado de resultados'!I14</f>
        <v>340.02057098814237</v>
      </c>
      <c r="G6" s="14">
        <f>'Estado de resultados'!J14</f>
        <v>353.86183387256392</v>
      </c>
      <c r="H6" s="14">
        <f>'Estado de resultados'!K14</f>
        <v>368.26342863221294</v>
      </c>
      <c r="I6" s="14">
        <f>'Estado de resultados'!L14</f>
        <v>383.25485831249614</v>
      </c>
      <c r="J6" s="14">
        <f>'Estado de resultados'!M14</f>
        <v>398.86764562979829</v>
      </c>
    </row>
    <row r="7" spans="2:11" x14ac:dyDescent="0.25">
      <c r="B7" t="s">
        <v>86</v>
      </c>
      <c r="C7" s="14"/>
      <c r="D7" s="14">
        <f>IF(D6&gt;0,-D6*D11,0)</f>
        <v>-14.672000000000038</v>
      </c>
      <c r="E7" s="14">
        <f>IF(E6&gt;0,-E6*E11,0)</f>
        <v>-121.27200000000001</v>
      </c>
      <c r="F7" s="14">
        <f t="shared" ref="F7:J7" si="1">IF(F6&gt;0,-F6*F11,0)</f>
        <v>-136.00822839525696</v>
      </c>
      <c r="G7" s="14">
        <f t="shared" si="1"/>
        <v>-141.54473354902558</v>
      </c>
      <c r="H7" s="14">
        <f t="shared" si="1"/>
        <v>-147.30537145288517</v>
      </c>
      <c r="I7" s="14">
        <f t="shared" si="1"/>
        <v>-153.30194332499846</v>
      </c>
      <c r="J7" s="14">
        <f t="shared" si="1"/>
        <v>-159.54705825191934</v>
      </c>
      <c r="K7" t="s">
        <v>205</v>
      </c>
    </row>
    <row r="8" spans="2:11" x14ac:dyDescent="0.25">
      <c r="B8" t="s">
        <v>224</v>
      </c>
      <c r="C8" s="14">
        <f>D4</f>
        <v>167.50000000000003</v>
      </c>
      <c r="D8" s="14">
        <f>Balance!E15</f>
        <v>196.7</v>
      </c>
      <c r="E8" s="14">
        <f>Balance!F15</f>
        <v>485.3</v>
      </c>
      <c r="F8" s="14">
        <f>SUM(F4:F7)</f>
        <v>689.31234259288544</v>
      </c>
      <c r="G8" s="14">
        <f t="shared" ref="G8:J8" si="2">SUM(G4:G7)</f>
        <v>901.62944291642384</v>
      </c>
      <c r="H8" s="14">
        <f t="shared" si="2"/>
        <v>1122.5875000957517</v>
      </c>
      <c r="I8" s="14">
        <f t="shared" si="2"/>
        <v>1352.5404150832494</v>
      </c>
      <c r="J8" s="14">
        <f t="shared" si="2"/>
        <v>1591.8610024611285</v>
      </c>
      <c r="K8" t="s">
        <v>223</v>
      </c>
    </row>
    <row r="9" spans="2:11" x14ac:dyDescent="0.25">
      <c r="C9" s="75"/>
      <c r="D9" s="75"/>
      <c r="E9" s="75"/>
    </row>
    <row r="10" spans="2:11" x14ac:dyDescent="0.25">
      <c r="D10" s="17"/>
      <c r="E10" s="17"/>
      <c r="F10" s="77"/>
      <c r="G10" s="77"/>
      <c r="H10" s="77"/>
      <c r="I10" s="77"/>
      <c r="J10" s="77"/>
    </row>
    <row r="11" spans="2:11" x14ac:dyDescent="0.25">
      <c r="B11" t="s">
        <v>222</v>
      </c>
      <c r="C11" s="52">
        <v>0.4</v>
      </c>
      <c r="D11" s="52">
        <v>0.4</v>
      </c>
      <c r="E11" s="52">
        <v>0.4</v>
      </c>
      <c r="F11" s="52">
        <v>0.4</v>
      </c>
      <c r="G11" s="52">
        <v>0.4</v>
      </c>
      <c r="H11" s="52">
        <v>0.4</v>
      </c>
      <c r="I11" s="52">
        <v>0.4</v>
      </c>
      <c r="J11" s="52">
        <v>0.4</v>
      </c>
    </row>
    <row r="12" spans="2:11" x14ac:dyDescent="0.25">
      <c r="B12" t="s">
        <v>221</v>
      </c>
    </row>
  </sheetData>
  <mergeCells count="1"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zoomScale="60" zoomScaleNormal="60" workbookViewId="0">
      <selection activeCell="D15" sqref="D15:D16"/>
    </sheetView>
  </sheetViews>
  <sheetFormatPr baseColWidth="10" defaultColWidth="9.140625" defaultRowHeight="12" x14ac:dyDescent="0.2"/>
  <cols>
    <col min="1" max="1" width="26.42578125" style="19" bestFit="1" customWidth="1"/>
    <col min="2" max="16384" width="9.140625" style="19"/>
  </cols>
  <sheetData>
    <row r="1" spans="1:5" ht="12.75" thickBot="1" x14ac:dyDescent="0.25">
      <c r="A1" s="18" t="s">
        <v>34</v>
      </c>
      <c r="B1" s="13">
        <v>2016</v>
      </c>
    </row>
    <row r="2" spans="1:5" x14ac:dyDescent="0.2">
      <c r="A2" s="19" t="s">
        <v>35</v>
      </c>
      <c r="B2" s="20">
        <v>44.609000000000002</v>
      </c>
    </row>
    <row r="3" spans="1:5" x14ac:dyDescent="0.2">
      <c r="A3" s="19" t="s">
        <v>36</v>
      </c>
      <c r="B3" s="20">
        <v>33.097000000000001</v>
      </c>
    </row>
    <row r="4" spans="1:5" x14ac:dyDescent="0.2">
      <c r="A4" s="19" t="s">
        <v>37</v>
      </c>
      <c r="B4" s="20">
        <v>31.658000000000001</v>
      </c>
    </row>
    <row r="5" spans="1:5" x14ac:dyDescent="0.2">
      <c r="A5" s="19" t="s">
        <v>38</v>
      </c>
      <c r="B5" s="20">
        <v>20.146000000000004</v>
      </c>
    </row>
    <row r="6" spans="1:5" x14ac:dyDescent="0.2">
      <c r="A6" s="19" t="s">
        <v>39</v>
      </c>
      <c r="B6" s="20">
        <v>14.39</v>
      </c>
    </row>
    <row r="7" spans="1:5" x14ac:dyDescent="0.2">
      <c r="A7" s="21" t="s">
        <v>40</v>
      </c>
      <c r="B7" s="22">
        <v>143.9</v>
      </c>
    </row>
    <row r="8" spans="1:5" x14ac:dyDescent="0.2">
      <c r="A8" s="23"/>
      <c r="B8" s="24"/>
      <c r="E8" s="19" t="s">
        <v>41</v>
      </c>
    </row>
    <row r="9" spans="1:5" x14ac:dyDescent="0.2">
      <c r="A9" s="19" t="s">
        <v>42</v>
      </c>
      <c r="B9" s="20">
        <v>29.749999999999996</v>
      </c>
    </row>
    <row r="10" spans="1:5" x14ac:dyDescent="0.2">
      <c r="A10" s="19" t="s">
        <v>43</v>
      </c>
      <c r="B10" s="20">
        <v>18.7</v>
      </c>
    </row>
    <row r="11" spans="1:5" x14ac:dyDescent="0.2">
      <c r="A11" s="19" t="s">
        <v>44</v>
      </c>
      <c r="B11" s="20">
        <v>16.149999999999999</v>
      </c>
    </row>
    <row r="12" spans="1:5" x14ac:dyDescent="0.2">
      <c r="A12" s="19" t="s">
        <v>45</v>
      </c>
      <c r="B12" s="20">
        <v>11.05</v>
      </c>
    </row>
    <row r="13" spans="1:5" x14ac:dyDescent="0.2">
      <c r="A13" s="19" t="s">
        <v>46</v>
      </c>
      <c r="B13" s="20">
        <v>9.35</v>
      </c>
    </row>
    <row r="14" spans="1:5" x14ac:dyDescent="0.2">
      <c r="A14" s="21" t="s">
        <v>47</v>
      </c>
      <c r="B14" s="22">
        <v>84.999999999999986</v>
      </c>
    </row>
    <row r="16" spans="1:5" x14ac:dyDescent="0.2">
      <c r="A16" s="19" t="s">
        <v>48</v>
      </c>
      <c r="B16" s="20">
        <v>346.47500000000002</v>
      </c>
    </row>
    <row r="17" spans="1:2" x14ac:dyDescent="0.2">
      <c r="A17" s="19" t="s">
        <v>49</v>
      </c>
      <c r="B17" s="20">
        <v>139.52500000000001</v>
      </c>
    </row>
    <row r="18" spans="1:2" x14ac:dyDescent="0.2">
      <c r="A18" s="19" t="s">
        <v>50</v>
      </c>
      <c r="B18" s="20">
        <v>125.575</v>
      </c>
    </row>
    <row r="19" spans="1:2" x14ac:dyDescent="0.2">
      <c r="A19" s="19" t="s">
        <v>51</v>
      </c>
      <c r="B19" s="20">
        <v>20.925000000000001</v>
      </c>
    </row>
    <row r="20" spans="1:2" x14ac:dyDescent="0.2">
      <c r="A20" s="21" t="s">
        <v>52</v>
      </c>
      <c r="B20" s="22">
        <v>632.5</v>
      </c>
    </row>
    <row r="22" spans="1:2" x14ac:dyDescent="0.2">
      <c r="A22" s="19" t="s">
        <v>53</v>
      </c>
      <c r="B22" s="25">
        <v>16.12</v>
      </c>
    </row>
    <row r="23" spans="1:2" x14ac:dyDescent="0.2">
      <c r="A23" s="19" t="s">
        <v>54</v>
      </c>
      <c r="B23" s="25">
        <v>6.2</v>
      </c>
    </row>
    <row r="24" spans="1:2" x14ac:dyDescent="0.2">
      <c r="A24" s="19" t="s">
        <v>55</v>
      </c>
      <c r="B24" s="25">
        <v>2.4800000000000004</v>
      </c>
    </row>
    <row r="25" spans="1:2" x14ac:dyDescent="0.2">
      <c r="A25" s="21" t="s">
        <v>56</v>
      </c>
      <c r="B25" s="21">
        <v>24.8</v>
      </c>
    </row>
    <row r="27" spans="1:2" x14ac:dyDescent="0.2">
      <c r="A27" s="19" t="s">
        <v>57</v>
      </c>
      <c r="B27" s="19">
        <v>45.9</v>
      </c>
    </row>
    <row r="28" spans="1:2" x14ac:dyDescent="0.2">
      <c r="A28" s="21" t="s">
        <v>57</v>
      </c>
      <c r="B28" s="21">
        <v>45.9</v>
      </c>
    </row>
    <row r="29" spans="1:2" x14ac:dyDescent="0.2">
      <c r="A29" s="23"/>
      <c r="B29" s="23"/>
    </row>
    <row r="30" spans="1:2" ht="12.75" thickBot="1" x14ac:dyDescent="0.25">
      <c r="A30" s="26" t="s">
        <v>58</v>
      </c>
      <c r="B30" s="27">
        <v>932.09999999999991</v>
      </c>
    </row>
    <row r="32" spans="1:2" x14ac:dyDescent="0.2">
      <c r="A32" s="19" t="s">
        <v>59</v>
      </c>
      <c r="B32" s="20">
        <v>17</v>
      </c>
    </row>
    <row r="33" spans="1:2" x14ac:dyDescent="0.2">
      <c r="A33" s="19" t="s">
        <v>60</v>
      </c>
      <c r="B33" s="20">
        <v>17</v>
      </c>
    </row>
    <row r="34" spans="1:2" x14ac:dyDescent="0.2">
      <c r="A34" s="19" t="s">
        <v>61</v>
      </c>
      <c r="B34" s="20">
        <v>14.96</v>
      </c>
    </row>
    <row r="35" spans="1:2" x14ac:dyDescent="0.2">
      <c r="A35" s="19" t="s">
        <v>62</v>
      </c>
      <c r="B35" s="20">
        <v>10.199999999999999</v>
      </c>
    </row>
    <row r="36" spans="1:2" x14ac:dyDescent="0.2">
      <c r="A36" s="19" t="s">
        <v>63</v>
      </c>
      <c r="B36" s="20">
        <v>8.84</v>
      </c>
    </row>
    <row r="37" spans="1:2" x14ac:dyDescent="0.2">
      <c r="A37" s="21" t="s">
        <v>64</v>
      </c>
      <c r="B37" s="22">
        <v>68</v>
      </c>
    </row>
    <row r="38" spans="1:2" x14ac:dyDescent="0.2">
      <c r="A38" s="23"/>
      <c r="B38" s="24"/>
    </row>
    <row r="39" spans="1:2" x14ac:dyDescent="0.2">
      <c r="A39" s="19" t="s">
        <v>65</v>
      </c>
      <c r="B39" s="20">
        <v>22.424999999999997</v>
      </c>
    </row>
    <row r="40" spans="1:2" x14ac:dyDescent="0.2">
      <c r="A40" s="19" t="s">
        <v>66</v>
      </c>
      <c r="B40" s="20">
        <v>6.8250000000000002</v>
      </c>
    </row>
    <row r="41" spans="1:2" x14ac:dyDescent="0.2">
      <c r="A41" s="19" t="s">
        <v>67</v>
      </c>
      <c r="B41" s="20">
        <v>3.25</v>
      </c>
    </row>
    <row r="42" spans="1:2" x14ac:dyDescent="0.2">
      <c r="A42" s="21" t="s">
        <v>68</v>
      </c>
      <c r="B42" s="21">
        <v>32.5</v>
      </c>
    </row>
    <row r="44" spans="1:2" x14ac:dyDescent="0.2">
      <c r="A44" s="19" t="s">
        <v>69</v>
      </c>
      <c r="B44" s="19">
        <v>615.79999999999995</v>
      </c>
    </row>
    <row r="45" spans="1:2" x14ac:dyDescent="0.2">
      <c r="A45" s="21" t="s">
        <v>70</v>
      </c>
      <c r="B45" s="21">
        <v>615.79999999999995</v>
      </c>
    </row>
    <row r="47" spans="1:2" x14ac:dyDescent="0.2">
      <c r="A47" s="19" t="s">
        <v>71</v>
      </c>
      <c r="B47" s="19">
        <v>48.3</v>
      </c>
    </row>
    <row r="48" spans="1:2" x14ac:dyDescent="0.2">
      <c r="A48" s="21" t="s">
        <v>71</v>
      </c>
      <c r="B48" s="21">
        <v>48.3</v>
      </c>
    </row>
    <row r="50" spans="1:2" x14ac:dyDescent="0.2">
      <c r="A50" s="19" t="s">
        <v>72</v>
      </c>
      <c r="B50" s="20">
        <v>132.32500000000002</v>
      </c>
    </row>
    <row r="51" spans="1:2" x14ac:dyDescent="0.2">
      <c r="A51" s="19" t="s">
        <v>73</v>
      </c>
      <c r="B51" s="20">
        <v>18.425000000000001</v>
      </c>
    </row>
    <row r="52" spans="1:2" x14ac:dyDescent="0.2">
      <c r="A52" s="19" t="s">
        <v>74</v>
      </c>
      <c r="B52" s="20">
        <v>16.75</v>
      </c>
    </row>
    <row r="53" spans="1:2" x14ac:dyDescent="0.2">
      <c r="A53" s="21" t="s">
        <v>75</v>
      </c>
      <c r="B53" s="21">
        <v>167.50000000000003</v>
      </c>
    </row>
    <row r="55" spans="1:2" ht="12.75" thickBot="1" x14ac:dyDescent="0.25">
      <c r="A55" s="26" t="s">
        <v>76</v>
      </c>
      <c r="B55" s="26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workbookViewId="0">
      <selection activeCell="B1" sqref="B1"/>
    </sheetView>
  </sheetViews>
  <sheetFormatPr baseColWidth="10" defaultColWidth="9.140625" defaultRowHeight="12" x14ac:dyDescent="0.2"/>
  <cols>
    <col min="1" max="1" width="26.42578125" style="19" bestFit="1" customWidth="1"/>
    <col min="2" max="16384" width="9.140625" style="19"/>
  </cols>
  <sheetData>
    <row r="1" spans="1:2" ht="12.75" thickBot="1" x14ac:dyDescent="0.25">
      <c r="A1" s="18" t="s">
        <v>34</v>
      </c>
      <c r="B1" s="13">
        <v>2017</v>
      </c>
    </row>
    <row r="2" spans="1:2" x14ac:dyDescent="0.2">
      <c r="A2" s="19" t="s">
        <v>35</v>
      </c>
      <c r="B2" s="20">
        <v>40.248000000000005</v>
      </c>
    </row>
    <row r="3" spans="1:2" x14ac:dyDescent="0.2">
      <c r="A3" s="19" t="s">
        <v>37</v>
      </c>
      <c r="B3" s="20">
        <v>34.056000000000004</v>
      </c>
    </row>
    <row r="4" spans="1:2" x14ac:dyDescent="0.2">
      <c r="A4" s="19" t="s">
        <v>36</v>
      </c>
      <c r="B4" s="20">
        <v>29.412000000000003</v>
      </c>
    </row>
    <row r="5" spans="1:2" x14ac:dyDescent="0.2">
      <c r="A5" s="19" t="s">
        <v>38</v>
      </c>
      <c r="B5" s="20">
        <v>27.864000000000001</v>
      </c>
    </row>
    <row r="6" spans="1:2" x14ac:dyDescent="0.2">
      <c r="A6" s="19" t="s">
        <v>39</v>
      </c>
      <c r="B6" s="20">
        <v>23.220000000000002</v>
      </c>
    </row>
    <row r="7" spans="1:2" x14ac:dyDescent="0.2">
      <c r="A7" s="21" t="s">
        <v>40</v>
      </c>
      <c r="B7" s="22">
        <v>154.80000000000001</v>
      </c>
    </row>
    <row r="9" spans="1:2" x14ac:dyDescent="0.2">
      <c r="A9" s="19" t="s">
        <v>42</v>
      </c>
      <c r="B9" s="20">
        <v>24.840000000000003</v>
      </c>
    </row>
    <row r="10" spans="1:2" x14ac:dyDescent="0.2">
      <c r="A10" s="19" t="s">
        <v>43</v>
      </c>
      <c r="B10" s="20">
        <v>20.239999999999998</v>
      </c>
    </row>
    <row r="11" spans="1:2" x14ac:dyDescent="0.2">
      <c r="A11" s="19" t="s">
        <v>44</v>
      </c>
      <c r="B11" s="20">
        <v>17.48</v>
      </c>
    </row>
    <row r="12" spans="1:2" x14ac:dyDescent="0.2">
      <c r="A12" s="19" t="s">
        <v>46</v>
      </c>
      <c r="B12" s="20">
        <v>17.48</v>
      </c>
    </row>
    <row r="13" spans="1:2" x14ac:dyDescent="0.2">
      <c r="A13" s="19" t="s">
        <v>45</v>
      </c>
      <c r="B13" s="20">
        <v>11.96</v>
      </c>
    </row>
    <row r="14" spans="1:2" x14ac:dyDescent="0.2">
      <c r="A14" s="21" t="s">
        <v>47</v>
      </c>
      <c r="B14" s="22">
        <v>92.000000000000014</v>
      </c>
    </row>
    <row r="16" spans="1:2" x14ac:dyDescent="0.2">
      <c r="A16" s="19" t="s">
        <v>48</v>
      </c>
      <c r="B16" s="20">
        <v>346.47500000000002</v>
      </c>
    </row>
    <row r="17" spans="1:2" x14ac:dyDescent="0.2">
      <c r="A17" s="19" t="s">
        <v>49</v>
      </c>
      <c r="B17" s="20">
        <v>139.52500000000001</v>
      </c>
    </row>
    <row r="18" spans="1:2" x14ac:dyDescent="0.2">
      <c r="A18" s="19" t="s">
        <v>50</v>
      </c>
      <c r="B18" s="20">
        <v>125.575</v>
      </c>
    </row>
    <row r="19" spans="1:2" x14ac:dyDescent="0.2">
      <c r="A19" s="19" t="s">
        <v>51</v>
      </c>
      <c r="B19" s="20">
        <v>20.925000000000001</v>
      </c>
    </row>
    <row r="20" spans="1:2" x14ac:dyDescent="0.2">
      <c r="A20" s="21" t="s">
        <v>52</v>
      </c>
      <c r="B20" s="22">
        <v>632.5</v>
      </c>
    </row>
    <row r="22" spans="1:2" x14ac:dyDescent="0.2">
      <c r="A22" s="19" t="s">
        <v>53</v>
      </c>
      <c r="B22" s="25">
        <v>13.298</v>
      </c>
    </row>
    <row r="23" spans="1:2" x14ac:dyDescent="0.2">
      <c r="A23" s="19" t="s">
        <v>54</v>
      </c>
      <c r="B23" s="25">
        <v>5.45</v>
      </c>
    </row>
    <row r="24" spans="1:2" x14ac:dyDescent="0.2">
      <c r="A24" s="19" t="s">
        <v>55</v>
      </c>
      <c r="B24" s="25">
        <v>3.0520000000000005</v>
      </c>
    </row>
    <row r="25" spans="1:2" x14ac:dyDescent="0.2">
      <c r="A25" s="21" t="s">
        <v>56</v>
      </c>
      <c r="B25" s="21">
        <v>21.8</v>
      </c>
    </row>
    <row r="27" spans="1:2" x14ac:dyDescent="0.2">
      <c r="A27" s="19" t="s">
        <v>57</v>
      </c>
      <c r="B27" s="19">
        <v>46.9</v>
      </c>
    </row>
    <row r="28" spans="1:2" x14ac:dyDescent="0.2">
      <c r="A28" s="21" t="s">
        <v>57</v>
      </c>
      <c r="B28" s="21">
        <v>46.9</v>
      </c>
    </row>
    <row r="29" spans="1:2" x14ac:dyDescent="0.2">
      <c r="A29" s="23"/>
      <c r="B29" s="23"/>
    </row>
    <row r="30" spans="1:2" ht="12.75" thickBot="1" x14ac:dyDescent="0.25">
      <c r="A30" s="26" t="s">
        <v>58</v>
      </c>
      <c r="B30" s="28">
        <v>947.99999999999989</v>
      </c>
    </row>
    <row r="32" spans="1:2" x14ac:dyDescent="0.2">
      <c r="A32" s="19" t="s">
        <v>59</v>
      </c>
      <c r="B32" s="20">
        <v>19.981000000000002</v>
      </c>
    </row>
    <row r="33" spans="1:2" x14ac:dyDescent="0.2">
      <c r="A33" s="19" t="s">
        <v>63</v>
      </c>
      <c r="B33" s="20">
        <v>15.847000000000001</v>
      </c>
    </row>
    <row r="34" spans="1:2" x14ac:dyDescent="0.2">
      <c r="A34" s="19" t="s">
        <v>60</v>
      </c>
      <c r="B34" s="20">
        <v>14.469000000000001</v>
      </c>
    </row>
    <row r="35" spans="1:2" x14ac:dyDescent="0.2">
      <c r="A35" s="19" t="s">
        <v>62</v>
      </c>
      <c r="B35" s="20">
        <v>10.335000000000001</v>
      </c>
    </row>
    <row r="36" spans="1:2" x14ac:dyDescent="0.2">
      <c r="A36" s="19" t="s">
        <v>61</v>
      </c>
      <c r="B36" s="20">
        <v>8.2680000000000007</v>
      </c>
    </row>
    <row r="37" spans="1:2" x14ac:dyDescent="0.2">
      <c r="A37" s="21" t="s">
        <v>64</v>
      </c>
      <c r="B37" s="22">
        <v>68.900000000000006</v>
      </c>
    </row>
    <row r="39" spans="1:2" x14ac:dyDescent="0.2">
      <c r="A39" s="19" t="s">
        <v>65</v>
      </c>
      <c r="B39" s="20">
        <v>17.506999999999998</v>
      </c>
    </row>
    <row r="40" spans="1:2" x14ac:dyDescent="0.2">
      <c r="A40" s="19" t="s">
        <v>66</v>
      </c>
      <c r="B40" s="20">
        <v>6.601</v>
      </c>
    </row>
    <row r="41" spans="1:2" x14ac:dyDescent="0.2">
      <c r="A41" s="19" t="s">
        <v>67</v>
      </c>
      <c r="B41" s="20">
        <v>4.5919999999999996</v>
      </c>
    </row>
    <row r="42" spans="1:2" x14ac:dyDescent="0.2">
      <c r="A42" s="21" t="s">
        <v>68</v>
      </c>
      <c r="B42" s="21">
        <v>28.699999999999996</v>
      </c>
    </row>
    <row r="44" spans="1:2" x14ac:dyDescent="0.2">
      <c r="A44" s="19" t="s">
        <v>69</v>
      </c>
      <c r="B44" s="19">
        <v>610.4</v>
      </c>
    </row>
    <row r="45" spans="1:2" x14ac:dyDescent="0.2">
      <c r="A45" s="21" t="s">
        <v>70</v>
      </c>
      <c r="B45" s="21">
        <v>610.4</v>
      </c>
    </row>
    <row r="47" spans="1:2" x14ac:dyDescent="0.2">
      <c r="A47" s="19" t="s">
        <v>71</v>
      </c>
      <c r="B47" s="19">
        <v>43.3</v>
      </c>
    </row>
    <row r="48" spans="1:2" x14ac:dyDescent="0.2">
      <c r="A48" s="21" t="s">
        <v>71</v>
      </c>
      <c r="B48" s="21">
        <v>43.3</v>
      </c>
    </row>
    <row r="50" spans="1:2" x14ac:dyDescent="0.2">
      <c r="A50" s="19" t="s">
        <v>72</v>
      </c>
      <c r="B50" s="20">
        <v>161.52499999999998</v>
      </c>
    </row>
    <row r="51" spans="1:2" x14ac:dyDescent="0.2">
      <c r="A51" s="19" t="s">
        <v>73</v>
      </c>
      <c r="B51" s="20">
        <v>18.425000000000001</v>
      </c>
    </row>
    <row r="52" spans="1:2" x14ac:dyDescent="0.2">
      <c r="A52" s="19" t="s">
        <v>74</v>
      </c>
      <c r="B52" s="20">
        <v>16.75</v>
      </c>
    </row>
    <row r="53" spans="1:2" x14ac:dyDescent="0.2">
      <c r="A53" s="21" t="s">
        <v>75</v>
      </c>
      <c r="B53" s="21">
        <v>196.7</v>
      </c>
    </row>
    <row r="55" spans="1:2" ht="12.75" thickBot="1" x14ac:dyDescent="0.25">
      <c r="A55" s="26" t="s">
        <v>76</v>
      </c>
      <c r="B55" s="28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topLeftCell="A4" workbookViewId="0">
      <selection activeCell="B1" sqref="B1"/>
    </sheetView>
  </sheetViews>
  <sheetFormatPr baseColWidth="10" defaultColWidth="9.140625" defaultRowHeight="12" x14ac:dyDescent="0.2"/>
  <cols>
    <col min="1" max="1" width="26.42578125" style="19" bestFit="1" customWidth="1"/>
    <col min="2" max="16384" width="9.140625" style="19"/>
  </cols>
  <sheetData>
    <row r="1" spans="1:2" ht="12.75" thickBot="1" x14ac:dyDescent="0.25">
      <c r="A1" s="18" t="s">
        <v>34</v>
      </c>
      <c r="B1" s="13">
        <v>2018</v>
      </c>
    </row>
    <row r="2" spans="1:2" x14ac:dyDescent="0.2">
      <c r="A2" s="19" t="s">
        <v>35</v>
      </c>
      <c r="B2" s="20">
        <v>44.018000000000008</v>
      </c>
    </row>
    <row r="3" spans="1:2" x14ac:dyDescent="0.2">
      <c r="A3" s="19" t="s">
        <v>37</v>
      </c>
      <c r="B3" s="20">
        <v>40.631999999999998</v>
      </c>
    </row>
    <row r="4" spans="1:2" x14ac:dyDescent="0.2">
      <c r="A4" s="19" t="s">
        <v>36</v>
      </c>
      <c r="B4" s="20">
        <v>32.167000000000002</v>
      </c>
    </row>
    <row r="5" spans="1:2" x14ac:dyDescent="0.2">
      <c r="A5" s="19" t="s">
        <v>38</v>
      </c>
      <c r="B5" s="20">
        <v>27.088000000000001</v>
      </c>
    </row>
    <row r="6" spans="1:2" x14ac:dyDescent="0.2">
      <c r="A6" s="19" t="s">
        <v>39</v>
      </c>
      <c r="B6" s="20">
        <v>25.395</v>
      </c>
    </row>
    <row r="7" spans="1:2" x14ac:dyDescent="0.2">
      <c r="A7" s="21" t="s">
        <v>40</v>
      </c>
      <c r="B7" s="22">
        <v>169.3</v>
      </c>
    </row>
    <row r="9" spans="1:2" x14ac:dyDescent="0.2">
      <c r="A9" s="19" t="s">
        <v>42</v>
      </c>
      <c r="B9" s="20">
        <v>26.4</v>
      </c>
    </row>
    <row r="10" spans="1:2" x14ac:dyDescent="0.2">
      <c r="A10" s="19" t="s">
        <v>43</v>
      </c>
      <c r="B10" s="20">
        <v>25.3</v>
      </c>
    </row>
    <row r="11" spans="1:2" x14ac:dyDescent="0.2">
      <c r="A11" s="19" t="s">
        <v>44</v>
      </c>
      <c r="B11" s="20">
        <v>20.9</v>
      </c>
    </row>
    <row r="12" spans="1:2" x14ac:dyDescent="0.2">
      <c r="A12" s="19" t="s">
        <v>46</v>
      </c>
      <c r="B12" s="20">
        <v>20.9</v>
      </c>
    </row>
    <row r="13" spans="1:2" x14ac:dyDescent="0.2">
      <c r="A13" s="19" t="s">
        <v>45</v>
      </c>
      <c r="B13" s="20">
        <v>16.5</v>
      </c>
    </row>
    <row r="14" spans="1:2" x14ac:dyDescent="0.2">
      <c r="A14" s="21" t="s">
        <v>47</v>
      </c>
      <c r="B14" s="22">
        <v>110</v>
      </c>
    </row>
    <row r="16" spans="1:2" x14ac:dyDescent="0.2">
      <c r="A16" s="19" t="s">
        <v>48</v>
      </c>
      <c r="B16" s="20">
        <v>350.51</v>
      </c>
    </row>
    <row r="17" spans="1:2" x14ac:dyDescent="0.2">
      <c r="A17" s="19" t="s">
        <v>49</v>
      </c>
      <c r="B17" s="20">
        <v>146.71</v>
      </c>
    </row>
    <row r="18" spans="1:2" x14ac:dyDescent="0.2">
      <c r="A18" s="19" t="s">
        <v>50</v>
      </c>
      <c r="B18" s="20">
        <v>133.73500000000001</v>
      </c>
    </row>
    <row r="19" spans="1:2" x14ac:dyDescent="0.2">
      <c r="A19" s="19" t="s">
        <v>51</v>
      </c>
      <c r="B19" s="20">
        <v>28.545000000000002</v>
      </c>
    </row>
    <row r="20" spans="1:2" x14ac:dyDescent="0.2">
      <c r="A20" s="21" t="s">
        <v>52</v>
      </c>
      <c r="B20" s="22">
        <v>659.5</v>
      </c>
    </row>
    <row r="22" spans="1:2" x14ac:dyDescent="0.2">
      <c r="A22" s="19" t="s">
        <v>53</v>
      </c>
      <c r="B22" s="25">
        <v>125.39999999999999</v>
      </c>
    </row>
    <row r="23" spans="1:2" x14ac:dyDescent="0.2">
      <c r="A23" s="19" t="s">
        <v>54</v>
      </c>
      <c r="B23" s="25">
        <v>59.400000000000006</v>
      </c>
    </row>
    <row r="24" spans="1:2" x14ac:dyDescent="0.2">
      <c r="A24" s="19" t="s">
        <v>55</v>
      </c>
      <c r="B24" s="25">
        <v>35.200000000000003</v>
      </c>
    </row>
    <row r="25" spans="1:2" x14ac:dyDescent="0.2">
      <c r="A25" s="21" t="s">
        <v>56</v>
      </c>
      <c r="B25" s="29">
        <v>220</v>
      </c>
    </row>
    <row r="27" spans="1:2" x14ac:dyDescent="0.2">
      <c r="A27" s="19" t="s">
        <v>57</v>
      </c>
      <c r="B27" s="25">
        <v>68</v>
      </c>
    </row>
    <row r="28" spans="1:2" x14ac:dyDescent="0.2">
      <c r="A28" s="21" t="s">
        <v>57</v>
      </c>
      <c r="B28" s="29">
        <v>68</v>
      </c>
    </row>
    <row r="29" spans="1:2" x14ac:dyDescent="0.2">
      <c r="A29" s="23"/>
      <c r="B29" s="23"/>
    </row>
    <row r="30" spans="1:2" ht="12.75" thickBot="1" x14ac:dyDescent="0.25">
      <c r="A30" s="26" t="s">
        <v>58</v>
      </c>
      <c r="B30" s="28">
        <v>1226.8</v>
      </c>
    </row>
    <row r="32" spans="1:2" x14ac:dyDescent="0.2">
      <c r="A32" s="19" t="s">
        <v>59</v>
      </c>
      <c r="B32" s="20">
        <v>19.981000000000002</v>
      </c>
    </row>
    <row r="33" spans="1:2" x14ac:dyDescent="0.2">
      <c r="A33" s="19" t="s">
        <v>63</v>
      </c>
      <c r="B33" s="20">
        <v>15.847000000000001</v>
      </c>
    </row>
    <row r="34" spans="1:2" x14ac:dyDescent="0.2">
      <c r="A34" s="19" t="s">
        <v>60</v>
      </c>
      <c r="B34" s="20">
        <v>14.469000000000001</v>
      </c>
    </row>
    <row r="35" spans="1:2" x14ac:dyDescent="0.2">
      <c r="A35" s="19" t="s">
        <v>62</v>
      </c>
      <c r="B35" s="20">
        <v>10.335000000000001</v>
      </c>
    </row>
    <row r="36" spans="1:2" x14ac:dyDescent="0.2">
      <c r="A36" s="19" t="s">
        <v>61</v>
      </c>
      <c r="B36" s="20">
        <v>8.2680000000000007</v>
      </c>
    </row>
    <row r="37" spans="1:2" x14ac:dyDescent="0.2">
      <c r="A37" s="21" t="s">
        <v>64</v>
      </c>
      <c r="B37" s="22">
        <v>68.900000000000006</v>
      </c>
    </row>
    <row r="39" spans="1:2" x14ac:dyDescent="0.2">
      <c r="A39" s="19" t="s">
        <v>65</v>
      </c>
      <c r="B39" s="20">
        <v>17.506999999999998</v>
      </c>
    </row>
    <row r="40" spans="1:2" x14ac:dyDescent="0.2">
      <c r="A40" s="19" t="s">
        <v>66</v>
      </c>
      <c r="B40" s="20">
        <v>6.601</v>
      </c>
    </row>
    <row r="41" spans="1:2" x14ac:dyDescent="0.2">
      <c r="A41" s="19" t="s">
        <v>67</v>
      </c>
      <c r="B41" s="20">
        <v>4.5919999999999996</v>
      </c>
    </row>
    <row r="42" spans="1:2" x14ac:dyDescent="0.2">
      <c r="A42" s="21" t="s">
        <v>68</v>
      </c>
      <c r="B42" s="21">
        <v>28.699999999999996</v>
      </c>
    </row>
    <row r="44" spans="1:2" x14ac:dyDescent="0.2">
      <c r="A44" s="19" t="s">
        <v>69</v>
      </c>
      <c r="B44" s="25">
        <v>605</v>
      </c>
    </row>
    <row r="45" spans="1:2" x14ac:dyDescent="0.2">
      <c r="A45" s="21" t="s">
        <v>70</v>
      </c>
      <c r="B45" s="29">
        <v>605</v>
      </c>
    </row>
    <row r="47" spans="1:2" x14ac:dyDescent="0.2">
      <c r="A47" s="19" t="s">
        <v>71</v>
      </c>
      <c r="B47" s="19">
        <v>38.9</v>
      </c>
    </row>
    <row r="48" spans="1:2" x14ac:dyDescent="0.2">
      <c r="A48" s="21" t="s">
        <v>71</v>
      </c>
      <c r="B48" s="21">
        <v>38.9</v>
      </c>
    </row>
    <row r="50" spans="1:2" x14ac:dyDescent="0.2">
      <c r="A50" s="19" t="s">
        <v>72</v>
      </c>
      <c r="B50" s="20">
        <v>450.125</v>
      </c>
    </row>
    <row r="51" spans="1:2" x14ac:dyDescent="0.2">
      <c r="A51" s="19" t="s">
        <v>73</v>
      </c>
      <c r="B51" s="20">
        <v>18.425000000000001</v>
      </c>
    </row>
    <row r="52" spans="1:2" x14ac:dyDescent="0.2">
      <c r="A52" s="19" t="s">
        <v>74</v>
      </c>
      <c r="B52" s="20">
        <v>16.75</v>
      </c>
    </row>
    <row r="53" spans="1:2" x14ac:dyDescent="0.2">
      <c r="A53" s="21" t="s">
        <v>75</v>
      </c>
      <c r="B53" s="21">
        <v>485.3</v>
      </c>
    </row>
    <row r="55" spans="1:2" ht="12.75" thickBot="1" x14ac:dyDescent="0.25">
      <c r="A55" s="26" t="s">
        <v>76</v>
      </c>
      <c r="B55" s="28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23"/>
  <sheetViews>
    <sheetView showGridLines="0" topLeftCell="C1" zoomScale="70" zoomScaleNormal="70" workbookViewId="0">
      <selection activeCell="G12" sqref="G12"/>
    </sheetView>
  </sheetViews>
  <sheetFormatPr baseColWidth="10" defaultRowHeight="15" x14ac:dyDescent="0.25"/>
  <cols>
    <col min="2" max="2" width="25.140625" bestFit="1" customWidth="1"/>
    <col min="3" max="3" width="18" bestFit="1" customWidth="1"/>
    <col min="4" max="4" width="11.85546875" bestFit="1" customWidth="1"/>
  </cols>
  <sheetData>
    <row r="1" spans="2:12" x14ac:dyDescent="0.25">
      <c r="B1" t="s">
        <v>134</v>
      </c>
    </row>
    <row r="2" spans="2:12" x14ac:dyDescent="0.25">
      <c r="G2" s="82" t="s">
        <v>185</v>
      </c>
      <c r="H2" s="82"/>
      <c r="I2" s="82"/>
      <c r="J2" s="82"/>
      <c r="K2" s="82"/>
    </row>
    <row r="3" spans="2:12" ht="15.75" thickBot="1" x14ac:dyDescent="0.3">
      <c r="C3" s="13"/>
      <c r="D3" s="13">
        <v>2016</v>
      </c>
      <c r="E3" s="13">
        <v>2017</v>
      </c>
      <c r="F3" s="13">
        <v>2018</v>
      </c>
      <c r="G3" s="50">
        <v>2019</v>
      </c>
      <c r="H3" s="50">
        <v>2020</v>
      </c>
      <c r="I3" s="50">
        <v>2021</v>
      </c>
      <c r="J3" s="50">
        <v>2022</v>
      </c>
      <c r="K3" s="50">
        <v>2023</v>
      </c>
    </row>
    <row r="4" spans="2:12" x14ac:dyDescent="0.25">
      <c r="B4" t="s">
        <v>106</v>
      </c>
      <c r="C4" t="str">
        <f>+'Balance 2016'!A7</f>
        <v>Trade Receivables</v>
      </c>
      <c r="D4">
        <f>INDEX('Balance 2016'!$A:$B,MATCH(Balance!$C4,'Balance 2016'!$A:$A,0),MATCH(Balance!D$3,'Balance 2016'!$1:$1,0))</f>
        <v>143.9</v>
      </c>
      <c r="E4">
        <f>INDEX('Balance 2017'!$A:$B,MATCH(Balance!$C4,'Balance 2017'!$A:$A,0),MATCH(Balance!E$3,'Balance 2017'!$1:$1,0))</f>
        <v>154.80000000000001</v>
      </c>
      <c r="F4">
        <f>INDEX('Balance 2018'!$A:$B,MATCH(Balance!$C4,'Balance 2018'!$A:$A,0),MATCH(Balance!F$3,'Balance 2018'!$1:$1,0))</f>
        <v>169.3</v>
      </c>
      <c r="G4" s="67">
        <f>(G19*'Estado de resultados'!I4)/360</f>
        <v>163.67257936433663</v>
      </c>
      <c r="H4" s="67">
        <f>(H19*'Estado de resultados'!J4)/360</f>
        <v>168.58275674526672</v>
      </c>
      <c r="I4" s="67">
        <f>(I19*'Estado de resultados'!K4)/360</f>
        <v>173.64023944762474</v>
      </c>
      <c r="J4" s="67">
        <f>(J19*'Estado de resultados'!L4)/360</f>
        <v>178.8494466310535</v>
      </c>
      <c r="K4" s="67">
        <f>(K19*'Estado de resultados'!M4)/360</f>
        <v>184.21493002998508</v>
      </c>
      <c r="L4" t="s">
        <v>186</v>
      </c>
    </row>
    <row r="5" spans="2:12" x14ac:dyDescent="0.25">
      <c r="B5" t="s">
        <v>107</v>
      </c>
      <c r="C5" t="str">
        <f>+'Balance 2018'!A14</f>
        <v>Inventory</v>
      </c>
      <c r="D5">
        <f>INDEX('Balance 2016'!$A:$B,MATCH(Balance!$C5,'Balance 2016'!$A:$A,0),MATCH(Balance!D$3,'Balance 2016'!$1:$1,0))</f>
        <v>84.999999999999986</v>
      </c>
      <c r="E5">
        <f>INDEX('Balance 2017'!$A:$B,MATCH(Balance!$C5,'Balance 2017'!$A:$A,0),MATCH(Balance!E$3,'Balance 2017'!$1:$1,0))</f>
        <v>92.000000000000014</v>
      </c>
      <c r="F5">
        <f>INDEX('Balance 2018'!$A:$B,MATCH(Balance!$C5,'Balance 2018'!$A:$A,0),MATCH(Balance!F$3,'Balance 2018'!$1:$1,0))</f>
        <v>110</v>
      </c>
      <c r="G5" s="67">
        <f>(G21*'Estado de resultados'!I5)/360</f>
        <v>97.534303643238303</v>
      </c>
      <c r="H5" s="67">
        <f>(H21*'Estado de resultados'!J5)/360</f>
        <v>100.46033275253548</v>
      </c>
      <c r="I5" s="67">
        <f>(I21*'Estado de resultados'!K5)/360</f>
        <v>103.47414273511156</v>
      </c>
      <c r="J5" s="67">
        <f>(J21*'Estado de resultados'!L5)/360</f>
        <v>106.57836701716488</v>
      </c>
      <c r="K5" s="67">
        <f>(K21*'Estado de resultados'!M5)/360</f>
        <v>109.77571802767983</v>
      </c>
      <c r="L5" t="s">
        <v>187</v>
      </c>
    </row>
    <row r="6" spans="2:12" x14ac:dyDescent="0.25">
      <c r="B6" t="s">
        <v>108</v>
      </c>
      <c r="C6" t="str">
        <f>+'Balance 2018'!A20</f>
        <v>PP&amp;E</v>
      </c>
      <c r="D6">
        <f>INDEX('Balance 2016'!$A:$B,MATCH(Balance!$C6,'Balance 2016'!$A:$A,0),MATCH(Balance!D$3,'Balance 2016'!$1:$1,0))</f>
        <v>632.5</v>
      </c>
      <c r="E6">
        <f>INDEX('Balance 2017'!$A:$B,MATCH(Balance!$C6,'Balance 2017'!$A:$A,0),MATCH(Balance!E$3,'Balance 2017'!$1:$1,0))</f>
        <v>632.5</v>
      </c>
      <c r="F6">
        <f>INDEX('Balance 2018'!$A:$B,MATCH(Balance!$C6,'Balance 2018'!$A:$A,0),MATCH(Balance!F$3,'Balance 2018'!$1:$1,0))</f>
        <v>659.5</v>
      </c>
      <c r="G6" s="68">
        <f>'activos fijos'!G8</f>
        <v>673.57628458498027</v>
      </c>
      <c r="H6" s="68">
        <f>'activos fijos'!H8</f>
        <v>687.95301160774272</v>
      </c>
      <c r="I6" s="68">
        <f>'activos fijos'!I8</f>
        <v>702.6365936736787</v>
      </c>
      <c r="J6" s="68">
        <f>'activos fijos'!J8</f>
        <v>717.63358025801801</v>
      </c>
      <c r="K6" s="68">
        <f>'activos fijos'!K8</f>
        <v>732.95066062716148</v>
      </c>
      <c r="L6" t="s">
        <v>229</v>
      </c>
    </row>
    <row r="7" spans="2:12" x14ac:dyDescent="0.25">
      <c r="B7" t="s">
        <v>96</v>
      </c>
      <c r="C7" t="str">
        <f>+'Balance 2018'!A25</f>
        <v>Cash</v>
      </c>
      <c r="D7">
        <f>INDEX('Balance 2016'!$A:$B,MATCH(Balance!$C7,'Balance 2016'!$A:$A,0),MATCH(Balance!D$3,'Balance 2016'!$1:$1,0))</f>
        <v>24.8</v>
      </c>
      <c r="E7">
        <f>INDEX('Balance 2017'!$A:$B,MATCH(Balance!$C7,'Balance 2017'!$A:$A,0),MATCH(Balance!E$3,'Balance 2017'!$1:$1,0))</f>
        <v>21.8</v>
      </c>
      <c r="F7">
        <f>INDEX('Balance 2018'!$A:$B,MATCH(Balance!$C7,'Balance 2018'!$A:$A,0),MATCH(Balance!F$3,'Balance 2018'!$1:$1,0))</f>
        <v>220</v>
      </c>
      <c r="G7" s="68">
        <f>F7+'Cash Flow'!G17</f>
        <v>407.88391499964462</v>
      </c>
      <c r="H7" s="68">
        <f>G7+'Cash Flow'!H17</f>
        <v>556.36730035150924</v>
      </c>
      <c r="I7" s="68">
        <f>H7+'Cash Flow'!I17</f>
        <v>709.0967743800918</v>
      </c>
      <c r="J7" s="68">
        <f>I7+'Cash Flow'!J17</f>
        <v>866.06266085369714</v>
      </c>
      <c r="K7" s="68">
        <f>J7+'Cash Flow'!K17</f>
        <v>1027.2422516896956</v>
      </c>
      <c r="L7" t="s">
        <v>230</v>
      </c>
    </row>
    <row r="8" spans="2:12" x14ac:dyDescent="0.25">
      <c r="B8" t="s">
        <v>97</v>
      </c>
      <c r="C8" t="str">
        <f>+'Balance 2018'!A28</f>
        <v>Other assets</v>
      </c>
      <c r="D8">
        <f>INDEX('Balance 2016'!$A:$B,MATCH(Balance!$C8,'Balance 2016'!$A:$A,0),MATCH(Balance!D$3,'Balance 2016'!$1:$1,0))</f>
        <v>45.9</v>
      </c>
      <c r="E8">
        <f>INDEX('Balance 2017'!$A:$B,MATCH(Balance!$C8,'Balance 2017'!$A:$A,0),MATCH(Balance!E$3,'Balance 2017'!$1:$1,0))</f>
        <v>46.9</v>
      </c>
      <c r="F8">
        <f>INDEX('Balance 2018'!$A:$B,MATCH(Balance!$C8,'Balance 2018'!$A:$A,0),MATCH(Balance!F$3,'Balance 2018'!$1:$1,0))</f>
        <v>68</v>
      </c>
      <c r="G8" s="67">
        <f>(G22*'Estado de resultados'!I4)</f>
        <v>56.146588971892989</v>
      </c>
      <c r="H8" s="67">
        <f>(H22*'Estado de resultados'!J4)</f>
        <v>57.830986641049783</v>
      </c>
      <c r="I8" s="67">
        <f>(I22*'Estado de resultados'!K4)</f>
        <v>59.565916240281283</v>
      </c>
      <c r="J8" s="67">
        <f>(J22*'Estado de resultados'!L4)</f>
        <v>61.352893727489722</v>
      </c>
      <c r="K8" s="67">
        <f>(K22*'Estado de resultados'!M4)</f>
        <v>63.193480539314415</v>
      </c>
      <c r="L8" t="s">
        <v>188</v>
      </c>
    </row>
    <row r="9" spans="2:12" x14ac:dyDescent="0.25">
      <c r="B9" t="s">
        <v>98</v>
      </c>
      <c r="C9" s="11" t="str">
        <f>+'Balance 2018'!A30</f>
        <v>Assets</v>
      </c>
      <c r="D9" s="11">
        <f>SUM(D4:D8)</f>
        <v>932.09999999999991</v>
      </c>
      <c r="E9" s="11">
        <f>SUM(E4:E8)</f>
        <v>947.99999999999989</v>
      </c>
      <c r="F9" s="11">
        <f>SUM(F4:F8)</f>
        <v>1226.8</v>
      </c>
      <c r="G9" s="11">
        <f t="shared" ref="G9:K9" si="0">SUM(G4:G8)</f>
        <v>1398.8136715640926</v>
      </c>
      <c r="H9" s="11">
        <f t="shared" si="0"/>
        <v>1571.1943880981041</v>
      </c>
      <c r="I9" s="11">
        <f t="shared" si="0"/>
        <v>1748.413666476788</v>
      </c>
      <c r="J9" s="11">
        <f t="shared" si="0"/>
        <v>1930.4769484874234</v>
      </c>
      <c r="K9" s="11">
        <f t="shared" si="0"/>
        <v>2117.3770409138365</v>
      </c>
      <c r="L9" t="s">
        <v>127</v>
      </c>
    </row>
    <row r="10" spans="2:12" x14ac:dyDescent="0.25">
      <c r="B10" t="s">
        <v>99</v>
      </c>
      <c r="C10" t="str">
        <f>+'Balance 2018'!A37</f>
        <v>Trade Payables</v>
      </c>
      <c r="D10">
        <f>INDEX('Balance 2016'!$A:$B,MATCH(Balance!$C10,'Balance 2016'!$A:$A,0),MATCH(Balance!D$3,'Balance 2016'!$1:$1,0))</f>
        <v>68</v>
      </c>
      <c r="E10">
        <f>INDEX('Balance 2017'!$A:$B,MATCH(Balance!$C10,'Balance 2017'!$A:$A,0),MATCH(Balance!E$3,'Balance 2017'!$1:$1,0))</f>
        <v>68.900000000000006</v>
      </c>
      <c r="F10">
        <f>INDEX('Balance 2018'!$A:$B,MATCH(Balance!$C10,'Balance 2018'!$A:$A,0),MATCH(Balance!F$3,'Balance 2018'!$1:$1,0))</f>
        <v>68.900000000000006</v>
      </c>
      <c r="G10" s="67">
        <f>(G20*'Estado de resultados'!I5)/360</f>
        <v>69.868814266268799</v>
      </c>
      <c r="H10" s="67">
        <f>(H20*'Estado de resultados'!J5)/360</f>
        <v>71.964878694256868</v>
      </c>
      <c r="I10" s="67">
        <f>(I20*'Estado de resultados'!K5)/360</f>
        <v>74.123825055084566</v>
      </c>
      <c r="J10" s="67">
        <f>(J20*'Estado de resultados'!L5)/360</f>
        <v>76.347539806737103</v>
      </c>
      <c r="K10" s="67">
        <f>(K20*'Estado de resultados'!M5)/360</f>
        <v>78.63796600093923</v>
      </c>
      <c r="L10" t="s">
        <v>189</v>
      </c>
    </row>
    <row r="11" spans="2:12" x14ac:dyDescent="0.25">
      <c r="B11" t="s">
        <v>100</v>
      </c>
      <c r="C11" t="str">
        <f>+'Balance 2018'!A42</f>
        <v>Provisions</v>
      </c>
      <c r="D11">
        <f>INDEX('Balance 2016'!$A:$B,MATCH(Balance!$C11,'Balance 2016'!$A:$A,0),MATCH(Balance!D$3,'Balance 2016'!$1:$1,0))</f>
        <v>32.5</v>
      </c>
      <c r="E11">
        <f>INDEX('Balance 2017'!$A:$B,MATCH(Balance!$C11,'Balance 2017'!$A:$A,0),MATCH(Balance!E$3,'Balance 2017'!$1:$1,0))</f>
        <v>28.699999999999996</v>
      </c>
      <c r="F11">
        <f>INDEX('Balance 2018'!$A:$B,MATCH(Balance!$C11,'Balance 2018'!$A:$A,0),MATCH(Balance!F$3,'Balance 2018'!$1:$1,0))</f>
        <v>28.699999999999996</v>
      </c>
      <c r="G11">
        <v>29</v>
      </c>
      <c r="H11">
        <v>29</v>
      </c>
      <c r="I11">
        <v>29</v>
      </c>
      <c r="J11">
        <v>29</v>
      </c>
      <c r="K11">
        <v>29</v>
      </c>
      <c r="L11" t="s">
        <v>190</v>
      </c>
    </row>
    <row r="12" spans="2:12" x14ac:dyDescent="0.25">
      <c r="B12" t="s">
        <v>101</v>
      </c>
      <c r="C12" t="str">
        <f>+'Balance 2018'!A45</f>
        <v>Financial Liabilities</v>
      </c>
      <c r="D12">
        <f>INDEX('Balance 2016'!$A:$B,MATCH(Balance!$C12,'Balance 2016'!$A:$A,0),MATCH(Balance!D$3,'Balance 2016'!$1:$1,0))</f>
        <v>615.79999999999995</v>
      </c>
      <c r="E12">
        <f>INDEX('Balance 2017'!$A:$B,MATCH(Balance!$C12,'Balance 2017'!$A:$A,0),MATCH(Balance!E$3,'Balance 2017'!$1:$1,0))</f>
        <v>610.4</v>
      </c>
      <c r="F12">
        <f>INDEX('Balance 2018'!$A:$B,MATCH(Balance!$C12,'Balance 2018'!$A:$A,0),MATCH(Balance!F$3,'Balance 2018'!$1:$1,0))</f>
        <v>605</v>
      </c>
      <c r="G12" s="68">
        <f>'pasivos financieros'!G8</f>
        <v>565.17884560503455</v>
      </c>
      <c r="H12" s="68">
        <f>'pasivos financieros'!H8</f>
        <v>521.77378731452222</v>
      </c>
      <c r="I12" s="68">
        <f>'pasivos financieros'!I8</f>
        <v>474.4622737778638</v>
      </c>
      <c r="J12" s="68">
        <f>'pasivos financieros'!J8</f>
        <v>422.89272402290612</v>
      </c>
      <c r="K12" s="68">
        <f>'pasivos financieros'!K8</f>
        <v>366.68191479000222</v>
      </c>
      <c r="L12" t="s">
        <v>231</v>
      </c>
    </row>
    <row r="13" spans="2:12" x14ac:dyDescent="0.25">
      <c r="B13" t="s">
        <v>102</v>
      </c>
      <c r="C13" t="str">
        <f>+'Balance 2018'!A48</f>
        <v>Other liabilities</v>
      </c>
      <c r="D13">
        <f>INDEX('Balance 2016'!$A:$B,MATCH(Balance!$C13,'Balance 2016'!$A:$A,0),MATCH(Balance!D$3,'Balance 2016'!$1:$1,0))</f>
        <v>48.3</v>
      </c>
      <c r="E13">
        <f>INDEX('Balance 2017'!$A:$B,MATCH(Balance!$C13,'Balance 2017'!$A:$A,0),MATCH(Balance!E$3,'Balance 2017'!$1:$1,0))</f>
        <v>43.3</v>
      </c>
      <c r="F13">
        <f>INDEX('Balance 2018'!$A:$B,MATCH(Balance!$C13,'Balance 2018'!$A:$A,0),MATCH(Balance!F$3,'Balance 2018'!$1:$1,0))</f>
        <v>38.9</v>
      </c>
      <c r="G13" s="67">
        <f>(G23*'Estado de resultados'!I4)</f>
        <v>45.75366909990403</v>
      </c>
      <c r="H13" s="67">
        <f>(H23*'Estado de resultados'!J4)</f>
        <v>47.12627917290115</v>
      </c>
      <c r="I13" s="67">
        <f>(I23*'Estado de resultados'!K4)</f>
        <v>48.540067548088189</v>
      </c>
      <c r="J13" s="67">
        <f>(J23*'Estado de resultados'!L4)</f>
        <v>49.996269574530835</v>
      </c>
      <c r="K13" s="67">
        <f>(K23*'Estado de resultados'!M4)</f>
        <v>51.496157661766766</v>
      </c>
      <c r="L13" t="s">
        <v>191</v>
      </c>
    </row>
    <row r="14" spans="2:12" x14ac:dyDescent="0.25">
      <c r="B14" t="s">
        <v>103</v>
      </c>
      <c r="C14" s="11" t="s">
        <v>77</v>
      </c>
      <c r="D14" s="11">
        <f>SUM(D10:D13)</f>
        <v>764.59999999999991</v>
      </c>
      <c r="E14" s="11">
        <f>SUM(E10:E13)</f>
        <v>751.3</v>
      </c>
      <c r="F14" s="11">
        <f>SUM(F10:F13)</f>
        <v>741.5</v>
      </c>
      <c r="G14" s="11">
        <f t="shared" ref="G14:K14" si="1">SUM(G10:G13)</f>
        <v>709.80132897120745</v>
      </c>
      <c r="H14" s="11">
        <f t="shared" si="1"/>
        <v>669.86494518168024</v>
      </c>
      <c r="I14" s="11">
        <f t="shared" si="1"/>
        <v>626.12616638103646</v>
      </c>
      <c r="J14" s="11">
        <f t="shared" si="1"/>
        <v>578.23653340417411</v>
      </c>
      <c r="K14" s="11">
        <f t="shared" si="1"/>
        <v>525.8160384527082</v>
      </c>
      <c r="L14" t="s">
        <v>127</v>
      </c>
    </row>
    <row r="15" spans="2:12" x14ac:dyDescent="0.25">
      <c r="B15" t="s">
        <v>104</v>
      </c>
      <c r="C15" s="11" t="str">
        <f>+'Balance 2018'!A53</f>
        <v>Equity</v>
      </c>
      <c r="D15">
        <f>INDEX('Balance 2016'!$A:$B,MATCH(Balance!$C15,'Balance 2016'!$A:$A,0),MATCH(Balance!D$3,'Balance 2016'!$1:$1,0))</f>
        <v>167.50000000000003</v>
      </c>
      <c r="E15">
        <f>INDEX('Balance 2017'!$A:$B,MATCH(Balance!$C15,'Balance 2017'!$A:$A,0),MATCH(Balance!E$3,'Balance 2017'!$1:$1,0))</f>
        <v>196.7</v>
      </c>
      <c r="F15">
        <f>INDEX('Balance 2018'!$A:$B,MATCH(Balance!$C15,'Balance 2018'!$A:$A,0),MATCH(Balance!F$3,'Balance 2018'!$1:$1,0))</f>
        <v>485.3</v>
      </c>
      <c r="G15" s="68">
        <f>'variaciones en equity'!F8</f>
        <v>689.31234259288544</v>
      </c>
      <c r="H15" s="68">
        <f>'variaciones en equity'!G8</f>
        <v>901.62944291642384</v>
      </c>
      <c r="I15" s="68">
        <f>'variaciones en equity'!H8</f>
        <v>1122.5875000957517</v>
      </c>
      <c r="J15" s="68">
        <f>'variaciones en equity'!I8</f>
        <v>1352.5404150832494</v>
      </c>
      <c r="K15" s="68">
        <f>'variaciones en equity'!J8</f>
        <v>1591.8610024611285</v>
      </c>
      <c r="L15" t="s">
        <v>232</v>
      </c>
    </row>
    <row r="16" spans="2:12" x14ac:dyDescent="0.25">
      <c r="B16" t="s">
        <v>105</v>
      </c>
      <c r="C16" s="11" t="str">
        <f>+'Balance 2018'!A55</f>
        <v>Liabilities &amp; Equity</v>
      </c>
      <c r="D16" s="11">
        <f>SUM(D14:D15)</f>
        <v>932.09999999999991</v>
      </c>
      <c r="E16" s="11">
        <f>SUM(E14:E15)</f>
        <v>948</v>
      </c>
      <c r="F16" s="11">
        <f>SUM(F14:F15)</f>
        <v>1226.8</v>
      </c>
      <c r="G16" s="11">
        <f t="shared" ref="G16:K16" si="2">SUM(G14:G15)</f>
        <v>1399.1136715640928</v>
      </c>
      <c r="H16" s="11">
        <f t="shared" si="2"/>
        <v>1571.4943880981041</v>
      </c>
      <c r="I16" s="11">
        <f t="shared" si="2"/>
        <v>1748.7136664767881</v>
      </c>
      <c r="J16" s="11">
        <f t="shared" si="2"/>
        <v>1930.7769484874234</v>
      </c>
      <c r="K16" s="11">
        <f t="shared" si="2"/>
        <v>2117.6770409138367</v>
      </c>
      <c r="L16" t="s">
        <v>127</v>
      </c>
    </row>
    <row r="17" spans="2:12" x14ac:dyDescent="0.25">
      <c r="D17" s="39"/>
      <c r="E17" s="39"/>
      <c r="F17" s="39"/>
    </row>
    <row r="18" spans="2:12" x14ac:dyDescent="0.25">
      <c r="C18" s="69" t="s">
        <v>192</v>
      </c>
      <c r="D18" s="70"/>
      <c r="E18" s="70"/>
      <c r="F18" s="70"/>
      <c r="G18" s="70"/>
      <c r="H18" s="70"/>
      <c r="I18" s="70"/>
      <c r="J18" s="70"/>
      <c r="K18" s="70"/>
      <c r="L18" t="s">
        <v>193</v>
      </c>
    </row>
    <row r="19" spans="2:12" x14ac:dyDescent="0.25">
      <c r="B19" s="41" t="s">
        <v>194</v>
      </c>
      <c r="C19" s="71" t="s">
        <v>142</v>
      </c>
      <c r="D19" s="72">
        <f>(D4/'Estado de resultados'!D4)*360</f>
        <v>17.728952772073921</v>
      </c>
      <c r="E19" s="72">
        <f>(E4/'Estado de resultados'!E4)*360</f>
        <v>18.675603217158177</v>
      </c>
      <c r="F19" s="72">
        <f>(F4/'Estado de resultados'!F4)*360</f>
        <v>20.048684210526318</v>
      </c>
      <c r="G19" s="72">
        <f>+AVERAGE($D$19:$F$19)</f>
        <v>18.817746733252804</v>
      </c>
      <c r="H19" s="72">
        <f t="shared" ref="H19:K19" si="3">+AVERAGE($D$19:$F$19)</f>
        <v>18.817746733252804</v>
      </c>
      <c r="I19" s="72">
        <f t="shared" si="3"/>
        <v>18.817746733252804</v>
      </c>
      <c r="J19" s="72">
        <f t="shared" si="3"/>
        <v>18.817746733252804</v>
      </c>
      <c r="K19" s="72">
        <f t="shared" si="3"/>
        <v>18.817746733252804</v>
      </c>
      <c r="L19" t="s">
        <v>195</v>
      </c>
    </row>
    <row r="20" spans="2:12" x14ac:dyDescent="0.25">
      <c r="B20" s="41" t="s">
        <v>196</v>
      </c>
      <c r="C20" s="71" t="s">
        <v>136</v>
      </c>
      <c r="D20" s="72">
        <f>(D10/'Estado de resultados'!D5)*360</f>
        <v>17.473233404710921</v>
      </c>
      <c r="E20" s="72">
        <f>(E10/'Estado de resultados'!E5)*360</f>
        <v>17.934924078091107</v>
      </c>
      <c r="F20" s="72">
        <f>(F10/'Estado de resultados'!F5)*360</f>
        <v>18.144842721287493</v>
      </c>
      <c r="G20" s="72">
        <f>AVERAGE($D$20:$F$20)</f>
        <v>17.851000068029837</v>
      </c>
      <c r="H20" s="72">
        <f t="shared" ref="H20:K20" si="4">AVERAGE($D$20:$F$20)</f>
        <v>17.851000068029837</v>
      </c>
      <c r="I20" s="72">
        <f t="shared" si="4"/>
        <v>17.851000068029837</v>
      </c>
      <c r="J20" s="72">
        <f t="shared" si="4"/>
        <v>17.851000068029837</v>
      </c>
      <c r="K20" s="72">
        <f t="shared" si="4"/>
        <v>17.851000068029837</v>
      </c>
      <c r="L20" t="s">
        <v>195</v>
      </c>
    </row>
    <row r="21" spans="2:12" x14ac:dyDescent="0.25">
      <c r="B21" s="41" t="s">
        <v>197</v>
      </c>
      <c r="C21" s="71" t="s">
        <v>139</v>
      </c>
      <c r="D21" s="72">
        <f>(D5/'Estado de resultados'!D5)*360</f>
        <v>21.841541755888645</v>
      </c>
      <c r="E21" s="72">
        <f>(E5/'Estado de resultados'!E5)*360</f>
        <v>23.94793926247289</v>
      </c>
      <c r="F21" s="72">
        <f>(F5/'Estado de resultados'!F5)*360</f>
        <v>28.96854425749817</v>
      </c>
      <c r="G21" s="72">
        <f>AVERAGE($D$21:$F$21)</f>
        <v>24.919341758619904</v>
      </c>
      <c r="H21" s="72">
        <f t="shared" ref="H21:K21" si="5">AVERAGE($D$21:$F$21)</f>
        <v>24.919341758619904</v>
      </c>
      <c r="I21" s="72">
        <f t="shared" si="5"/>
        <v>24.919341758619904</v>
      </c>
      <c r="J21" s="72">
        <f t="shared" si="5"/>
        <v>24.919341758619904</v>
      </c>
      <c r="K21" s="72">
        <f t="shared" si="5"/>
        <v>24.919341758619904</v>
      </c>
      <c r="L21" t="s">
        <v>195</v>
      </c>
    </row>
    <row r="22" spans="2:12" x14ac:dyDescent="0.25">
      <c r="B22" s="41" t="s">
        <v>198</v>
      </c>
      <c r="C22" s="71" t="s">
        <v>199</v>
      </c>
      <c r="D22" s="73">
        <f>(D8/'Estado de resultados'!D4)</f>
        <v>1.5708418891170431E-2</v>
      </c>
      <c r="E22" s="73">
        <f>(E8/'Estado de resultados'!E4)</f>
        <v>1.5717158176943698E-2</v>
      </c>
      <c r="F22" s="73">
        <f>(F8/'Estado de resultados'!F4)</f>
        <v>2.2368421052631579E-2</v>
      </c>
      <c r="G22" s="73">
        <f>AVERAGE($D$22:$F$22)</f>
        <v>1.7931332706915236E-2</v>
      </c>
      <c r="H22" s="73">
        <f t="shared" ref="H22:K22" si="6">AVERAGE($D$22:$F$22)</f>
        <v>1.7931332706915236E-2</v>
      </c>
      <c r="I22" s="73">
        <f t="shared" si="6"/>
        <v>1.7931332706915236E-2</v>
      </c>
      <c r="J22" s="73">
        <f t="shared" si="6"/>
        <v>1.7931332706915236E-2</v>
      </c>
      <c r="K22" s="73">
        <f t="shared" si="6"/>
        <v>1.7931332706915236E-2</v>
      </c>
      <c r="L22" t="s">
        <v>195</v>
      </c>
    </row>
    <row r="23" spans="2:12" x14ac:dyDescent="0.25">
      <c r="B23" s="41" t="s">
        <v>200</v>
      </c>
      <c r="C23" s="71" t="s">
        <v>201</v>
      </c>
      <c r="D23" s="73">
        <f>D13/'Estado de resultados'!D4</f>
        <v>1.6529774127310062E-2</v>
      </c>
      <c r="E23" s="73">
        <f>E13/'Estado de resultados'!E4</f>
        <v>1.4510723860589811E-2</v>
      </c>
      <c r="F23" s="73">
        <f>F13/'Estado de resultados'!F4</f>
        <v>1.2796052631578948E-2</v>
      </c>
      <c r="G23" s="73">
        <f>AVERAGE($D$23:$F$23)</f>
        <v>1.4612183539826273E-2</v>
      </c>
      <c r="H23" s="73">
        <f t="shared" ref="H23:K23" si="7">AVERAGE($D$23:$F$23)</f>
        <v>1.4612183539826273E-2</v>
      </c>
      <c r="I23" s="73">
        <f t="shared" si="7"/>
        <v>1.4612183539826273E-2</v>
      </c>
      <c r="J23" s="73">
        <f t="shared" si="7"/>
        <v>1.4612183539826273E-2</v>
      </c>
      <c r="K23" s="73">
        <f t="shared" si="7"/>
        <v>1.4612183539826273E-2</v>
      </c>
      <c r="L23" t="s">
        <v>195</v>
      </c>
    </row>
  </sheetData>
  <mergeCells count="1">
    <mergeCell ref="G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showGridLines="0" zoomScale="60" zoomScaleNormal="60" workbookViewId="0">
      <selection activeCell="I4" sqref="I4"/>
    </sheetView>
  </sheetViews>
  <sheetFormatPr baseColWidth="10" defaultRowHeight="15" x14ac:dyDescent="0.25"/>
  <cols>
    <col min="2" max="2" width="24.28515625" bestFit="1" customWidth="1"/>
    <col min="3" max="3" width="15.42578125" bestFit="1" customWidth="1"/>
    <col min="4" max="4" width="12" customWidth="1"/>
    <col min="6" max="6" width="11.5703125" customWidth="1"/>
    <col min="8" max="8" width="12" bestFit="1" customWidth="1"/>
    <col min="9" max="13" width="12.5703125" bestFit="1" customWidth="1"/>
  </cols>
  <sheetData>
    <row r="1" spans="2:13" x14ac:dyDescent="0.25">
      <c r="B1" t="s">
        <v>180</v>
      </c>
      <c r="C1" t="s">
        <v>177</v>
      </c>
    </row>
    <row r="2" spans="2:13" x14ac:dyDescent="0.25">
      <c r="B2" t="s">
        <v>132</v>
      </c>
      <c r="I2" s="83" t="s">
        <v>184</v>
      </c>
      <c r="J2" s="83"/>
      <c r="K2" s="83"/>
      <c r="L2" s="83"/>
      <c r="M2" s="83"/>
    </row>
    <row r="3" spans="2:13" ht="15.75" thickBot="1" x14ac:dyDescent="0.3">
      <c r="B3" s="8"/>
      <c r="C3" s="9"/>
      <c r="D3" s="13">
        <v>2016</v>
      </c>
      <c r="E3" s="13">
        <v>2017</v>
      </c>
      <c r="F3" s="13">
        <v>2018</v>
      </c>
      <c r="G3" s="15" t="s">
        <v>32</v>
      </c>
      <c r="H3" s="15" t="s">
        <v>33</v>
      </c>
      <c r="I3" s="51">
        <v>2019</v>
      </c>
      <c r="J3" s="51">
        <v>2020</v>
      </c>
      <c r="K3" s="51">
        <v>2021</v>
      </c>
      <c r="L3" s="51">
        <v>2022</v>
      </c>
      <c r="M3" s="51">
        <v>2023</v>
      </c>
    </row>
    <row r="4" spans="2:13" x14ac:dyDescent="0.25">
      <c r="B4" s="8" t="s">
        <v>20</v>
      </c>
      <c r="C4" s="10" t="s">
        <v>6</v>
      </c>
      <c r="D4" s="14">
        <f>+SUMIFS(Base!$E:$E,Base!$F:$F,'Estado de resultados'!$C4,Base!$C:$C,'Estado de resultados'!D$3)</f>
        <v>2922</v>
      </c>
      <c r="E4" s="14">
        <f>+SUMIFS(Base!$E:$E,Base!$F:$F,'Estado de resultados'!$C4,Base!$C:$C,'Estado de resultados'!E$3)</f>
        <v>2984</v>
      </c>
      <c r="F4" s="14">
        <f>+SUMIFS(Base!$E:$E,Base!$F:$F,'Estado de resultados'!$C4,Base!$C:$C,'Estado de resultados'!F$3)</f>
        <v>3040</v>
      </c>
      <c r="G4" s="16">
        <f>E4/D4-1</f>
        <v>2.1218343600273748E-2</v>
      </c>
      <c r="H4" s="16">
        <f>F4/E4-1</f>
        <v>1.8766756032171594E-2</v>
      </c>
      <c r="I4" s="60">
        <f>F4*(1+I18)</f>
        <v>3131.2000000000003</v>
      </c>
      <c r="J4" s="60">
        <f>I4*(1+J18)</f>
        <v>3225.1360000000004</v>
      </c>
      <c r="K4" s="60">
        <f>J4*(1+K18)</f>
        <v>3321.8900800000006</v>
      </c>
      <c r="L4" s="60">
        <f>K4*(1+L18)</f>
        <v>3421.5467824000007</v>
      </c>
      <c r="M4" s="60">
        <f>L4*(1+M18)</f>
        <v>3524.1931858720009</v>
      </c>
    </row>
    <row r="5" spans="2:13" ht="15.75" thickBot="1" x14ac:dyDescent="0.3">
      <c r="B5" s="8" t="s">
        <v>21</v>
      </c>
      <c r="C5" s="10" t="s">
        <v>8</v>
      </c>
      <c r="D5" s="14">
        <f>+SUMIFS(Base!$E:$E,Base!$F:$F,'Estado de resultados'!$C5,Base!$C:$C,'Estado de resultados'!D$3)</f>
        <v>1401</v>
      </c>
      <c r="E5" s="14">
        <f>+SUMIFS(Base!$E:$E,Base!$F:$F,'Estado de resultados'!$C5,Base!$C:$C,'Estado de resultados'!E$3)</f>
        <v>1383</v>
      </c>
      <c r="F5" s="14">
        <f>+SUMIFS(Base!$E:$E,Base!$F:$F,'Estado de resultados'!$C5,Base!$C:$C,'Estado de resultados'!F$3)</f>
        <v>1367</v>
      </c>
      <c r="G5" s="16">
        <f t="shared" ref="G5:G14" si="0">E5/D5-1</f>
        <v>-1.2847965738758016E-2</v>
      </c>
      <c r="H5" s="16">
        <f t="shared" ref="H5:H14" si="1">F5/E5-1</f>
        <v>-1.156905278380338E-2</v>
      </c>
      <c r="I5" s="61">
        <f>I4*I24</f>
        <v>1409.0400000000002</v>
      </c>
      <c r="J5" s="61">
        <f>J4*J24</f>
        <v>1451.3112000000003</v>
      </c>
      <c r="K5" s="61">
        <f>K4*K24</f>
        <v>1494.8505360000004</v>
      </c>
      <c r="L5" s="61">
        <f>L4*L24</f>
        <v>1539.6960520800003</v>
      </c>
      <c r="M5" s="61">
        <f>M4*M24</f>
        <v>1585.8869336424004</v>
      </c>
    </row>
    <row r="6" spans="2:13" x14ac:dyDescent="0.25">
      <c r="B6" s="8" t="s">
        <v>22</v>
      </c>
      <c r="C6" s="11" t="s">
        <v>23</v>
      </c>
      <c r="D6" s="11">
        <f>D4-D5</f>
        <v>1521</v>
      </c>
      <c r="E6" s="11">
        <f>E4-E5</f>
        <v>1601</v>
      </c>
      <c r="F6" s="11">
        <f>F4-F5</f>
        <v>1673</v>
      </c>
      <c r="G6" s="16">
        <f t="shared" si="0"/>
        <v>5.2596975673898649E-2</v>
      </c>
      <c r="H6" s="16">
        <f t="shared" si="1"/>
        <v>4.4971892567145622E-2</v>
      </c>
      <c r="I6" s="62">
        <f>I4-I5</f>
        <v>1722.16</v>
      </c>
      <c r="J6" s="62">
        <f>J4-J5</f>
        <v>1773.8248000000001</v>
      </c>
      <c r="K6" s="62">
        <f>K4-K5</f>
        <v>1827.0395440000002</v>
      </c>
      <c r="L6" s="62">
        <f>L4-L5</f>
        <v>1881.8507303200004</v>
      </c>
      <c r="M6" s="62">
        <f>M4-M5</f>
        <v>1938.3062522296004</v>
      </c>
    </row>
    <row r="7" spans="2:13" x14ac:dyDescent="0.25">
      <c r="B7" s="8" t="s">
        <v>24</v>
      </c>
      <c r="C7" s="10" t="s">
        <v>15</v>
      </c>
      <c r="D7" s="14">
        <f>+SUMIFS(Base!$E:$E,Base!$F:$F,'Estado de resultados'!$C7,Base!$C:$C,'Estado de resultados'!D$3)</f>
        <v>1212.1799999999998</v>
      </c>
      <c r="E7" s="14">
        <f>+SUMIFS(Base!$E:$E,Base!$F:$F,'Estado de resultados'!$C7,Base!$C:$C,'Estado de resultados'!E$3)</f>
        <v>1245.3399999999999</v>
      </c>
      <c r="F7" s="14">
        <f>+SUMIFS(Base!$E:$E,Base!$F:$F,'Estado de resultados'!$C7,Base!$C:$C,'Estado de resultados'!F$3)</f>
        <v>1068.24</v>
      </c>
      <c r="G7" s="16">
        <f t="shared" si="0"/>
        <v>2.7355673249847445E-2</v>
      </c>
      <c r="H7" s="16">
        <f t="shared" si="1"/>
        <v>-0.14221015947452098</v>
      </c>
      <c r="I7" s="63">
        <f>+I4*I29</f>
        <v>1100.2872</v>
      </c>
      <c r="J7" s="63">
        <f>+J4*J29</f>
        <v>1133.2958160000001</v>
      </c>
      <c r="K7" s="63">
        <f>+K4*K29</f>
        <v>1167.2946904800001</v>
      </c>
      <c r="L7" s="63">
        <f>+L4*L29</f>
        <v>1202.3135311944002</v>
      </c>
      <c r="M7" s="63">
        <f>+M4*M29</f>
        <v>1238.3829371302322</v>
      </c>
    </row>
    <row r="8" spans="2:13" x14ac:dyDescent="0.25">
      <c r="B8" s="8" t="s">
        <v>25</v>
      </c>
      <c r="C8" s="11" t="s">
        <v>25</v>
      </c>
      <c r="D8" s="11">
        <f>D6-D7</f>
        <v>308.82000000000016</v>
      </c>
      <c r="E8" s="11">
        <f>E6-E7</f>
        <v>355.66000000000008</v>
      </c>
      <c r="F8" s="11">
        <f>F6-F7</f>
        <v>604.76</v>
      </c>
      <c r="G8" s="16">
        <f t="shared" si="0"/>
        <v>0.15167411437083045</v>
      </c>
      <c r="H8" s="16">
        <f t="shared" si="1"/>
        <v>0.70038801102176196</v>
      </c>
      <c r="I8" s="64">
        <f>I6-I7</f>
        <v>621.8728000000001</v>
      </c>
      <c r="J8" s="64">
        <f>J6-J7</f>
        <v>640.52898400000004</v>
      </c>
      <c r="K8" s="64">
        <f>K6-K7</f>
        <v>659.74485352000011</v>
      </c>
      <c r="L8" s="64">
        <f>L6-L7</f>
        <v>679.53719912560018</v>
      </c>
      <c r="M8" s="64">
        <f>M6-M7</f>
        <v>699.92331509936821</v>
      </c>
    </row>
    <row r="9" spans="2:13" x14ac:dyDescent="0.25">
      <c r="B9" s="8" t="s">
        <v>133</v>
      </c>
      <c r="C9" s="10" t="s">
        <v>16</v>
      </c>
      <c r="D9" s="14">
        <f>+SUMIFS(Base!$E:$E,Base!$F:$F,'Estado de resultados'!$C9,Base!$C:$C,'Estado de resultados'!D$3)</f>
        <v>31</v>
      </c>
      <c r="E9" s="14">
        <f>+SUMIFS(Base!$E:$E,Base!$F:$F,'Estado de resultados'!$C9,Base!$C:$C,'Estado de resultados'!E$3)</f>
        <v>44</v>
      </c>
      <c r="F9" s="14">
        <f>+SUMIFS(Base!$E:$E,Base!$F:$F,'Estado de resultados'!$C9,Base!$C:$C,'Estado de resultados'!F$3)</f>
        <v>41</v>
      </c>
      <c r="G9" s="16">
        <f t="shared" si="0"/>
        <v>0.41935483870967749</v>
      </c>
      <c r="H9" s="16">
        <f t="shared" si="1"/>
        <v>-6.8181818181818232E-2</v>
      </c>
      <c r="I9" s="80">
        <f>'activos fijos'!G6</f>
        <v>44.314229249011859</v>
      </c>
      <c r="J9" s="80">
        <f>'activos fijos'!H6</f>
        <v>45.260066553140966</v>
      </c>
      <c r="K9" s="80">
        <f>'activos fijos'!I6</f>
        <v>46.22609168905781</v>
      </c>
      <c r="L9" s="80">
        <f>'activos fijos'!J6</f>
        <v>47.212735543290663</v>
      </c>
      <c r="M9" s="80">
        <f>'activos fijos'!K6</f>
        <v>48.22043819915536</v>
      </c>
    </row>
    <row r="10" spans="2:13" x14ac:dyDescent="0.25">
      <c r="B10" s="8" t="s">
        <v>26</v>
      </c>
      <c r="C10" s="11" t="s">
        <v>26</v>
      </c>
      <c r="D10" s="11">
        <f>D8-D9</f>
        <v>277.82000000000016</v>
      </c>
      <c r="E10" s="11">
        <f>E8-E9</f>
        <v>311.66000000000008</v>
      </c>
      <c r="F10" s="11">
        <f>F8-F9</f>
        <v>563.76</v>
      </c>
      <c r="G10" s="16">
        <f t="shared" si="0"/>
        <v>0.12180548556619364</v>
      </c>
      <c r="H10" s="16">
        <f t="shared" si="1"/>
        <v>0.80889430789963379</v>
      </c>
      <c r="I10" s="64">
        <f>I8-I9</f>
        <v>577.55857075098822</v>
      </c>
      <c r="J10" s="64">
        <f>J8-J9</f>
        <v>595.26891744685906</v>
      </c>
      <c r="K10" s="64">
        <f>K8-K9</f>
        <v>613.51876183094225</v>
      </c>
      <c r="L10" s="64">
        <f>L8-L9</f>
        <v>632.32446358230948</v>
      </c>
      <c r="M10" s="64">
        <f>M8-M9</f>
        <v>651.7028769002128</v>
      </c>
    </row>
    <row r="11" spans="2:13" x14ac:dyDescent="0.25">
      <c r="B11" s="8" t="s">
        <v>27</v>
      </c>
      <c r="C11" s="10" t="s">
        <v>17</v>
      </c>
      <c r="D11" s="14">
        <f>+SUMIFS(Base!$E:$E,Base!$F:$F,'Estado de resultados'!$C11,Base!$C:$C,'Estado de resultados'!D$3)</f>
        <v>56</v>
      </c>
      <c r="E11" s="14">
        <f>+SUMIFS(Base!$E:$E,Base!$F:$F,'Estado de resultados'!$C11,Base!$C:$C,'Estado de resultados'!E$3)</f>
        <v>65</v>
      </c>
      <c r="F11" s="14">
        <f>+SUMIFS(Base!$E:$E,Base!$F:$F,'Estado de resultados'!$C11,Base!$C:$C,'Estado de resultados'!F$3)</f>
        <v>52</v>
      </c>
      <c r="G11" s="16">
        <f t="shared" si="0"/>
        <v>0.16071428571428581</v>
      </c>
      <c r="H11" s="16">
        <f t="shared" si="1"/>
        <v>-0.19999999999999996</v>
      </c>
      <c r="I11" s="81">
        <f>'pasivos financieros'!D20</f>
        <v>-54.449999999999996</v>
      </c>
      <c r="J11" s="81">
        <f>'pasivos financieros'!E20</f>
        <v>-50.866096104453106</v>
      </c>
      <c r="K11" s="81">
        <f>'pasivos financieros'!F20</f>
        <v>-46.959640858306997</v>
      </c>
      <c r="L11" s="81">
        <f>'pasivos financieros'!G20</f>
        <v>-42.701604640007737</v>
      </c>
      <c r="M11" s="81">
        <f>'pasivos financieros'!H20</f>
        <v>-38.060345162061552</v>
      </c>
    </row>
    <row r="12" spans="2:13" x14ac:dyDescent="0.25">
      <c r="B12" s="8" t="s">
        <v>28</v>
      </c>
      <c r="C12" s="11" t="s">
        <v>28</v>
      </c>
      <c r="D12" s="11">
        <f>D10-D11</f>
        <v>221.82000000000016</v>
      </c>
      <c r="E12" s="11">
        <f>E10-E11</f>
        <v>246.66000000000008</v>
      </c>
      <c r="F12" s="11">
        <f>F10-F11</f>
        <v>511.76</v>
      </c>
      <c r="G12" s="16">
        <f t="shared" si="0"/>
        <v>0.11198268866648586</v>
      </c>
      <c r="H12" s="16">
        <f t="shared" si="1"/>
        <v>1.0747587772642495</v>
      </c>
      <c r="I12" s="64">
        <f>SUM(I10:I11)</f>
        <v>523.10857075098818</v>
      </c>
      <c r="J12" s="64">
        <f t="shared" ref="J12:M12" si="2">SUM(J10:J11)</f>
        <v>544.40282134240601</v>
      </c>
      <c r="K12" s="64">
        <f t="shared" si="2"/>
        <v>566.55912097263524</v>
      </c>
      <c r="L12" s="64">
        <f t="shared" si="2"/>
        <v>589.62285894230172</v>
      </c>
      <c r="M12" s="64">
        <f t="shared" si="2"/>
        <v>613.64253173815121</v>
      </c>
    </row>
    <row r="13" spans="2:13" x14ac:dyDescent="0.25">
      <c r="B13" s="8" t="s">
        <v>29</v>
      </c>
      <c r="C13" s="10" t="s">
        <v>18</v>
      </c>
      <c r="D13" s="14">
        <f>+SUMIFS(Base!$E:$E,Base!$F:$F,'Estado de resultados'!$C13,Base!$C:$C,'Estado de resultados'!D$3)</f>
        <v>207.52</v>
      </c>
      <c r="E13" s="14">
        <f>+SUMIFS(Base!$E:$E,Base!$F:$F,'Estado de resultados'!$C13,Base!$C:$C,'Estado de resultados'!E$3)</f>
        <v>209.98</v>
      </c>
      <c r="F13" s="14">
        <f>+SUMIFS(Base!$E:$E,Base!$F:$F,'Estado de resultados'!$C13,Base!$C:$C,'Estado de resultados'!F$3)</f>
        <v>208.57999999999998</v>
      </c>
      <c r="G13" s="16">
        <f t="shared" si="0"/>
        <v>1.1854279105628196E-2</v>
      </c>
      <c r="H13" s="16">
        <f t="shared" si="1"/>
        <v>-6.6673016477759584E-3</v>
      </c>
      <c r="I13" s="65">
        <f>I12*0.35</f>
        <v>183.08799976284584</v>
      </c>
      <c r="J13" s="65">
        <f>J12*0.35</f>
        <v>190.54098746984209</v>
      </c>
      <c r="K13" s="65">
        <f>K12*0.35</f>
        <v>198.29569234042233</v>
      </c>
      <c r="L13" s="65">
        <f>L12*0.35</f>
        <v>206.36800062980558</v>
      </c>
      <c r="M13" s="65">
        <f>M12*0.35</f>
        <v>214.77488610835292</v>
      </c>
    </row>
    <row r="14" spans="2:13" ht="15.75" thickBot="1" x14ac:dyDescent="0.3">
      <c r="B14" s="8" t="s">
        <v>30</v>
      </c>
      <c r="C14" s="12" t="s">
        <v>31</v>
      </c>
      <c r="D14" s="12">
        <f>D12-D13</f>
        <v>14.300000000000153</v>
      </c>
      <c r="E14" s="12">
        <f>E12-E13</f>
        <v>36.680000000000092</v>
      </c>
      <c r="F14" s="12">
        <f>F12-F13</f>
        <v>303.18</v>
      </c>
      <c r="G14" s="16">
        <f t="shared" si="0"/>
        <v>1.5650349650349438</v>
      </c>
      <c r="H14" s="16">
        <f t="shared" si="1"/>
        <v>7.2655398037077212</v>
      </c>
      <c r="I14" s="66">
        <f>I12-I13</f>
        <v>340.02057098814237</v>
      </c>
      <c r="J14" s="66">
        <f>J12-J13</f>
        <v>353.86183387256392</v>
      </c>
      <c r="K14" s="66">
        <f>K12-K13</f>
        <v>368.26342863221294</v>
      </c>
      <c r="L14" s="66">
        <f>L12-L13</f>
        <v>383.25485831249614</v>
      </c>
      <c r="M14" s="66">
        <f>M12-M13</f>
        <v>398.86764562979829</v>
      </c>
    </row>
    <row r="15" spans="2:13" x14ac:dyDescent="0.25">
      <c r="G15" s="17"/>
      <c r="H15" s="17"/>
    </row>
    <row r="18" spans="1:13" x14ac:dyDescent="0.25">
      <c r="H18" t="s">
        <v>176</v>
      </c>
      <c r="I18" s="16">
        <f>VLOOKUP($C$1,$H$19:$M$21,COLUMNS(H19:I21),FALSE)</f>
        <v>0.03</v>
      </c>
      <c r="J18" s="16">
        <f>VLOOKUP($C$1,$H$19:$M$21,COLUMNS(I19:J21),FALSE)</f>
        <v>0.03</v>
      </c>
      <c r="K18" s="16">
        <f>VLOOKUP($C$1,$H$19:$M$21,COLUMNS(J19:K21),FALSE)</f>
        <v>0.03</v>
      </c>
      <c r="L18" s="16">
        <f>VLOOKUP($C$1,$H$19:$M$21,COLUMNS(K19:L21),FALSE)</f>
        <v>0.03</v>
      </c>
      <c r="M18" s="16">
        <f>VLOOKUP($C$1,$H$19:$M$21,COLUMNS(L19:M21),FALSE)</f>
        <v>0.03</v>
      </c>
    </row>
    <row r="19" spans="1:13" ht="15.75" x14ac:dyDescent="0.25">
      <c r="A19" s="35" t="s">
        <v>25</v>
      </c>
      <c r="B19" s="34" t="s">
        <v>122</v>
      </c>
      <c r="H19" t="s">
        <v>177</v>
      </c>
      <c r="I19" s="52">
        <v>0.03</v>
      </c>
      <c r="J19" s="52">
        <v>0.03</v>
      </c>
      <c r="K19" s="52">
        <v>0.03</v>
      </c>
      <c r="L19" s="52">
        <v>0.03</v>
      </c>
      <c r="M19" s="52">
        <v>0.03</v>
      </c>
    </row>
    <row r="20" spans="1:13" ht="15.75" x14ac:dyDescent="0.25">
      <c r="B20" s="34" t="s">
        <v>123</v>
      </c>
      <c r="H20" t="s">
        <v>178</v>
      </c>
      <c r="I20" s="52">
        <v>0.02</v>
      </c>
      <c r="J20" s="52">
        <v>0.02</v>
      </c>
      <c r="K20" s="52">
        <v>0.02</v>
      </c>
      <c r="L20" s="52">
        <v>0.02</v>
      </c>
      <c r="M20" s="52">
        <v>0.02</v>
      </c>
    </row>
    <row r="21" spans="1:13" x14ac:dyDescent="0.25">
      <c r="H21" t="s">
        <v>179</v>
      </c>
      <c r="I21" s="52">
        <v>0.01</v>
      </c>
      <c r="J21" s="52">
        <v>0.01</v>
      </c>
      <c r="K21" s="52">
        <v>0.01</v>
      </c>
      <c r="L21" s="52">
        <v>0.01</v>
      </c>
      <c r="M21" s="52">
        <v>0.01</v>
      </c>
    </row>
    <row r="22" spans="1:13" x14ac:dyDescent="0.25">
      <c r="A22" t="s">
        <v>124</v>
      </c>
      <c r="B22" t="s">
        <v>125</v>
      </c>
    </row>
    <row r="23" spans="1:13" x14ac:dyDescent="0.25">
      <c r="C23" s="55">
        <v>2016</v>
      </c>
      <c r="D23" s="55">
        <v>2017</v>
      </c>
      <c r="E23" s="55">
        <v>2018</v>
      </c>
      <c r="F23" s="53"/>
      <c r="G23" s="53"/>
      <c r="H23" s="53"/>
    </row>
    <row r="24" spans="1:13" x14ac:dyDescent="0.25">
      <c r="B24" t="s">
        <v>181</v>
      </c>
      <c r="C24" s="56"/>
      <c r="D24" s="56"/>
      <c r="E24" s="56"/>
      <c r="H24" s="53" t="s">
        <v>181</v>
      </c>
      <c r="I24" s="16">
        <f>VLOOKUP($C$1,$H$25:$M$27,COLUMNS(H25:I27),FALSE)</f>
        <v>0.45</v>
      </c>
      <c r="J24" s="16">
        <f>VLOOKUP($C$1,$H$25:$M$27,COLUMNS(I25:J27),FALSE)</f>
        <v>0.45</v>
      </c>
      <c r="K24" s="16">
        <f>VLOOKUP($C$1,$H$25:$M$27,COLUMNS(J25:K27),FALSE)</f>
        <v>0.45</v>
      </c>
      <c r="L24" s="16">
        <f>VLOOKUP($C$1,$H$25:$M$27,COLUMNS(K25:L27),FALSE)</f>
        <v>0.45</v>
      </c>
      <c r="M24" s="16">
        <f>VLOOKUP($C$1,$H$25:$M$27,COLUMNS(L25:M27),FALSE)</f>
        <v>0.45</v>
      </c>
    </row>
    <row r="25" spans="1:13" x14ac:dyDescent="0.25">
      <c r="B25" t="s">
        <v>177</v>
      </c>
      <c r="C25" s="57">
        <f>$D$5/$D$4</f>
        <v>0.47946611909650921</v>
      </c>
      <c r="D25" s="57">
        <f>$E$5/$E$4</f>
        <v>0.46347184986595175</v>
      </c>
      <c r="E25" s="57">
        <f>$F$5/$F$4</f>
        <v>0.44967105263157897</v>
      </c>
      <c r="F25" s="16"/>
      <c r="G25" s="16"/>
      <c r="H25" s="16" t="s">
        <v>177</v>
      </c>
      <c r="I25" s="52">
        <f>I26-1%</f>
        <v>0.45</v>
      </c>
      <c r="J25" s="52">
        <f>J26-1%</f>
        <v>0.45</v>
      </c>
      <c r="K25" s="52">
        <f>K26-1%</f>
        <v>0.45</v>
      </c>
      <c r="L25" s="52">
        <f>L26-1%</f>
        <v>0.45</v>
      </c>
      <c r="M25" s="52">
        <f>M26-1%</f>
        <v>0.45</v>
      </c>
    </row>
    <row r="26" spans="1:13" x14ac:dyDescent="0.25">
      <c r="B26" t="s">
        <v>178</v>
      </c>
      <c r="C26" s="57">
        <f>$D$5/$D$4</f>
        <v>0.47946611909650921</v>
      </c>
      <c r="D26" s="57">
        <f>$E$5/$E$4</f>
        <v>0.46347184986595175</v>
      </c>
      <c r="E26" s="57">
        <f>$F$5/$F$4</f>
        <v>0.44967105263157897</v>
      </c>
      <c r="F26" s="16"/>
      <c r="G26" s="16"/>
      <c r="H26" s="16" t="s">
        <v>178</v>
      </c>
      <c r="I26" s="52">
        <v>0.46</v>
      </c>
      <c r="J26" s="52">
        <v>0.46</v>
      </c>
      <c r="K26" s="52">
        <v>0.46</v>
      </c>
      <c r="L26" s="52">
        <v>0.46</v>
      </c>
      <c r="M26" s="52">
        <v>0.46</v>
      </c>
    </row>
    <row r="27" spans="1:13" x14ac:dyDescent="0.25">
      <c r="B27" t="s">
        <v>179</v>
      </c>
      <c r="C27" s="57">
        <f>$D$5/$D$4</f>
        <v>0.47946611909650921</v>
      </c>
      <c r="D27" s="57">
        <f>$E$5/$E$4</f>
        <v>0.46347184986595175</v>
      </c>
      <c r="E27" s="57">
        <f>$F$5/$F$4</f>
        <v>0.44967105263157897</v>
      </c>
      <c r="F27" s="16"/>
      <c r="G27" s="16"/>
      <c r="H27" s="16" t="s">
        <v>179</v>
      </c>
      <c r="I27" s="52">
        <f>I26+1%</f>
        <v>0.47000000000000003</v>
      </c>
      <c r="J27" s="52">
        <f>J26+1%</f>
        <v>0.47000000000000003</v>
      </c>
      <c r="K27" s="52">
        <f>K26+1%</f>
        <v>0.47000000000000003</v>
      </c>
      <c r="L27" s="52">
        <f>L26+1%</f>
        <v>0.47000000000000003</v>
      </c>
      <c r="M27" s="52">
        <f>M26+1%</f>
        <v>0.47000000000000003</v>
      </c>
    </row>
    <row r="28" spans="1:13" x14ac:dyDescent="0.25">
      <c r="B28" s="54"/>
      <c r="C28" s="58"/>
      <c r="D28" s="58"/>
      <c r="E28" s="58"/>
      <c r="F28" s="54"/>
      <c r="G28" s="54"/>
      <c r="H28" s="53"/>
    </row>
    <row r="29" spans="1:13" x14ac:dyDescent="0.25">
      <c r="B29" t="s">
        <v>182</v>
      </c>
      <c r="D29" s="56"/>
      <c r="E29" s="56"/>
      <c r="H29" s="16" t="s">
        <v>182</v>
      </c>
      <c r="I29" s="16">
        <f>VLOOKUP($C$1,$H$30:$M$32,COLUMNS(H30:I32),FALSE)</f>
        <v>0.35139473684210526</v>
      </c>
      <c r="J29" s="16">
        <f>VLOOKUP($C$1,$H$30:$M$32,COLUMNS(I30:J32),FALSE)</f>
        <v>0.35139473684210526</v>
      </c>
      <c r="K29" s="16">
        <f>VLOOKUP($C$1,$H$30:$M$32,COLUMNS(J30:K32),FALSE)</f>
        <v>0.35139473684210526</v>
      </c>
      <c r="L29" s="16">
        <f>VLOOKUP($C$1,$H$30:$M$32,COLUMNS(K30:L32),FALSE)</f>
        <v>0.35139473684210526</v>
      </c>
      <c r="M29" s="16">
        <f>VLOOKUP($C$1,$H$30:$M$32,COLUMNS(L30:M32),FALSE)</f>
        <v>0.35139473684210526</v>
      </c>
    </row>
    <row r="30" spans="1:13" x14ac:dyDescent="0.25">
      <c r="B30" t="s">
        <v>177</v>
      </c>
      <c r="C30" s="59">
        <f>$D$7/$D$4</f>
        <v>0.41484599589322374</v>
      </c>
      <c r="D30" s="59">
        <f>$E$7/$E$4</f>
        <v>0.4173391420911528</v>
      </c>
      <c r="E30" s="59">
        <f>$F$7/$F$4</f>
        <v>0.35139473684210526</v>
      </c>
      <c r="H30" s="16" t="s">
        <v>177</v>
      </c>
      <c r="I30" s="52">
        <f>$E$30</f>
        <v>0.35139473684210526</v>
      </c>
      <c r="J30" s="52">
        <f>$E$30</f>
        <v>0.35139473684210526</v>
      </c>
      <c r="K30" s="52">
        <f>$E$30</f>
        <v>0.35139473684210526</v>
      </c>
      <c r="L30" s="52">
        <f>$E$30</f>
        <v>0.35139473684210526</v>
      </c>
      <c r="M30" s="52">
        <f>$E$30</f>
        <v>0.35139473684210526</v>
      </c>
    </row>
    <row r="31" spans="1:13" x14ac:dyDescent="0.25">
      <c r="B31" t="s">
        <v>183</v>
      </c>
      <c r="C31" s="59">
        <f>$D$7/$D$4</f>
        <v>0.41484599589322374</v>
      </c>
      <c r="D31" s="59">
        <f>$E$7/$E$4</f>
        <v>0.4173391420911528</v>
      </c>
      <c r="E31" s="59">
        <f>$F$7/$F$4</f>
        <v>0.35139473684210526</v>
      </c>
      <c r="H31" s="16" t="s">
        <v>178</v>
      </c>
      <c r="I31" s="52">
        <v>0.39</v>
      </c>
      <c r="J31" s="52">
        <v>0.39</v>
      </c>
      <c r="K31" s="52">
        <v>0.39</v>
      </c>
      <c r="L31" s="52">
        <v>0.39</v>
      </c>
      <c r="M31" s="52">
        <v>0.39</v>
      </c>
    </row>
    <row r="32" spans="1:13" x14ac:dyDescent="0.25">
      <c r="B32" t="s">
        <v>179</v>
      </c>
      <c r="C32" s="59">
        <f>$D$7/$D$4</f>
        <v>0.41484599589322374</v>
      </c>
      <c r="D32" s="59">
        <f>$E$7/$E$4</f>
        <v>0.4173391420911528</v>
      </c>
      <c r="E32" s="59">
        <f>$F$7/$F$4</f>
        <v>0.35139473684210526</v>
      </c>
      <c r="H32" s="16" t="s">
        <v>179</v>
      </c>
      <c r="I32" s="52">
        <f>$D$32</f>
        <v>0.4173391420911528</v>
      </c>
      <c r="J32" s="52">
        <f>$D$32</f>
        <v>0.4173391420911528</v>
      </c>
      <c r="K32" s="52">
        <f>$D$32</f>
        <v>0.4173391420911528</v>
      </c>
      <c r="L32" s="52">
        <f>$D$32</f>
        <v>0.4173391420911528</v>
      </c>
      <c r="M32" s="52">
        <f>$D$32</f>
        <v>0.4173391420911528</v>
      </c>
    </row>
  </sheetData>
  <mergeCells count="1">
    <mergeCell ref="I2:M2"/>
  </mergeCells>
  <conditionalFormatting sqref="G4:H14">
    <cfRule type="iconSet" priority="1">
      <iconSet>
        <cfvo type="percent" val="0"/>
        <cfvo type="num" val="0"/>
        <cfvo type="num" val="0.15"/>
      </iconSet>
    </cfRule>
  </conditionalFormatting>
  <dataValidations disablePrompts="1" count="1">
    <dataValidation type="list" allowBlank="1" showInputMessage="1" showErrorMessage="1" sqref="C1" xr:uid="{239F595E-4101-4C60-B034-1B81284C70D3}">
      <formula1>$H$19:$H$21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0"/>
  <sheetViews>
    <sheetView showGridLines="0" tabSelected="1" zoomScale="70" zoomScaleNormal="70" workbookViewId="0">
      <selection activeCell="K16" sqref="K16"/>
    </sheetView>
  </sheetViews>
  <sheetFormatPr baseColWidth="10" defaultRowHeight="15" x14ac:dyDescent="0.25"/>
  <cols>
    <col min="2" max="2" width="29.42578125" bestFit="1" customWidth="1"/>
    <col min="3" max="3" width="30.85546875" bestFit="1" customWidth="1"/>
    <col min="4" max="4" width="10.140625" customWidth="1"/>
    <col min="12" max="12" width="16.42578125" bestFit="1" customWidth="1"/>
    <col min="13" max="13" width="18.7109375" bestFit="1" customWidth="1"/>
  </cols>
  <sheetData>
    <row r="1" spans="2:14" x14ac:dyDescent="0.25">
      <c r="G1" s="82" t="s">
        <v>185</v>
      </c>
      <c r="H1" s="82"/>
      <c r="I1" s="82"/>
      <c r="J1" s="82"/>
      <c r="K1" s="82"/>
    </row>
    <row r="2" spans="2:14" ht="15.75" thickBot="1" x14ac:dyDescent="0.3">
      <c r="C2" s="13"/>
      <c r="D2" s="13">
        <v>2016</v>
      </c>
      <c r="E2" s="13">
        <v>2017</v>
      </c>
      <c r="F2" s="13">
        <v>2018</v>
      </c>
      <c r="G2" s="50">
        <v>2019</v>
      </c>
      <c r="H2" s="50">
        <v>2020</v>
      </c>
      <c r="I2" s="50">
        <v>2021</v>
      </c>
      <c r="J2" s="50">
        <v>2022</v>
      </c>
      <c r="K2" s="50">
        <v>2023</v>
      </c>
    </row>
    <row r="3" spans="2:14" x14ac:dyDescent="0.25">
      <c r="B3" t="s">
        <v>25</v>
      </c>
      <c r="C3" t="s">
        <v>25</v>
      </c>
      <c r="D3" s="36"/>
      <c r="E3" s="31">
        <f>INDEX('Estado de resultados'!$C$3:$F$14,MATCH('Cash Flow'!$C3,'Estado de resultados'!$C$3:$C$14,0 ),MATCH('Cash Flow'!E$2,'Estado de resultados'!$C$3:$F$3,0))</f>
        <v>355.66000000000008</v>
      </c>
      <c r="F3" s="31">
        <f>INDEX('Estado de resultados'!$C$3:$F$14,MATCH('Cash Flow'!$C3,'Estado de resultados'!$C$3:$C$14,0 ),MATCH('Cash Flow'!F$2,'Estado de resultados'!$C$3:$F$3,0))</f>
        <v>604.76</v>
      </c>
      <c r="G3" s="14">
        <f>INDEX('Estado de resultados'!$C$3:$M$14,MATCH('Cash Flow'!$C3,'Estado de resultados'!$C$3:$C$14,0),MATCH('Cash Flow'!G$2,'Estado de resultados'!$C$3:$M$3,0))</f>
        <v>621.8728000000001</v>
      </c>
      <c r="H3" s="14">
        <f>INDEX('Estado de resultados'!$C$3:$M$14,MATCH('Cash Flow'!$C3,'Estado de resultados'!$C$3:$C$14,0),MATCH('Cash Flow'!H$2,'Estado de resultados'!$C$3:$M$3,0))</f>
        <v>640.52898400000004</v>
      </c>
      <c r="I3" s="14">
        <f>INDEX('Estado de resultados'!$C$3:$M$14,MATCH('Cash Flow'!$C3,'Estado de resultados'!$C$3:$C$14,0),MATCH('Cash Flow'!I$2,'Estado de resultados'!$C$3:$M$3,0))</f>
        <v>659.74485352000011</v>
      </c>
      <c r="J3" s="14">
        <f>INDEX('Estado de resultados'!$C$3:$M$14,MATCH('Cash Flow'!$C3,'Estado de resultados'!$C$3:$C$14,0),MATCH('Cash Flow'!J$2,'Estado de resultados'!$C$3:$M$3,0))</f>
        <v>679.53719912560018</v>
      </c>
      <c r="K3" s="14">
        <f>INDEX('Estado de resultados'!$C$3:$M$14,MATCH('Cash Flow'!$C3,'Estado de resultados'!$C$3:$C$14,0),MATCH('Cash Flow'!K$2,'Estado de resultados'!$C$3:$M$3,0))</f>
        <v>699.92331509936821</v>
      </c>
      <c r="L3" t="s">
        <v>126</v>
      </c>
      <c r="M3" t="s">
        <v>129</v>
      </c>
    </row>
    <row r="4" spans="2:14" x14ac:dyDescent="0.25">
      <c r="B4" t="s">
        <v>109</v>
      </c>
      <c r="C4" t="s">
        <v>91</v>
      </c>
      <c r="D4" s="37"/>
      <c r="E4" s="31">
        <f>INDEX('Estado de resultados'!$C$3:$F$14,MATCH('Cash Flow'!$C4,'Estado de resultados'!$C$3:$C$14,0 ),MATCH('Cash Flow'!E$2,'Estado de resultados'!$C$3:$F$3,0))</f>
        <v>65</v>
      </c>
      <c r="F4" s="31">
        <f>INDEX('Estado de resultados'!$C$3:$F$14,MATCH('Cash Flow'!$C4,'Estado de resultados'!$C$3:$C$14,0 ),MATCH('Cash Flow'!F$2,'Estado de resultados'!$C$3:$F$3,0))</f>
        <v>52</v>
      </c>
      <c r="G4" s="68">
        <f>'pasivos financieros'!D20</f>
        <v>-54.449999999999996</v>
      </c>
      <c r="H4" s="68">
        <f>'pasivos financieros'!E20</f>
        <v>-50.866096104453106</v>
      </c>
      <c r="I4" s="68">
        <f>'pasivos financieros'!F20</f>
        <v>-46.959640858306997</v>
      </c>
      <c r="J4" s="68">
        <f>'pasivos financieros'!G20</f>
        <v>-42.701604640007737</v>
      </c>
      <c r="K4" s="68">
        <f>'pasivos financieros'!H20</f>
        <v>-38.060345162061552</v>
      </c>
      <c r="L4" t="s">
        <v>126</v>
      </c>
      <c r="M4" t="s">
        <v>129</v>
      </c>
    </row>
    <row r="5" spans="2:14" x14ac:dyDescent="0.25">
      <c r="B5" t="s">
        <v>29</v>
      </c>
      <c r="C5" t="s">
        <v>78</v>
      </c>
      <c r="D5" s="36"/>
      <c r="E5" s="31">
        <f>-INDEX('Estado de resultados'!$C$3:$F$14,MATCH('Cash Flow'!$C5,'Estado de resultados'!$C$3:$C$14,0 ),MATCH('Cash Flow'!E$2,'Estado de resultados'!$C$3:$F$3,0))</f>
        <v>-209.98</v>
      </c>
      <c r="F5" s="31">
        <f>-INDEX('Estado de resultados'!$C$3:$F$14,MATCH('Cash Flow'!$C5,'Estado de resultados'!$C$3:$C$14,0 ),MATCH('Cash Flow'!F$2,'Estado de resultados'!$C$3:$F$3,0))</f>
        <v>-208.57999999999998</v>
      </c>
      <c r="G5" s="14">
        <f>-INDEX('Estado de resultados'!$C$3:$M$14,MATCH('Cash Flow'!$C5,'Estado de resultados'!$C$3:$C$14,0),MATCH('Cash Flow'!G$2,'Estado de resultados'!$C$3:$M$3,0))</f>
        <v>-183.08799976284584</v>
      </c>
      <c r="H5" s="14">
        <f>-INDEX('Estado de resultados'!$C$3:$M$14,MATCH('Cash Flow'!$C5,'Estado de resultados'!$C$3:$C$14,0),MATCH('Cash Flow'!H$2,'Estado de resultados'!$C$3:$M$3,0))</f>
        <v>-190.54098746984209</v>
      </c>
      <c r="I5" s="14">
        <f>-INDEX('Estado de resultados'!$C$3:$M$14,MATCH('Cash Flow'!$C5,'Estado de resultados'!$C$3:$C$14,0),MATCH('Cash Flow'!I$2,'Estado de resultados'!$C$3:$M$3,0))</f>
        <v>-198.29569234042233</v>
      </c>
      <c r="J5" s="14">
        <f>-INDEX('Estado de resultados'!$C$3:$M$14,MATCH('Cash Flow'!$C5,'Estado de resultados'!$C$3:$C$14,0),MATCH('Cash Flow'!J$2,'Estado de resultados'!$C$3:$M$3,0))</f>
        <v>-206.36800062980558</v>
      </c>
      <c r="K5" s="14">
        <f>-INDEX('Estado de resultados'!$C$3:$M$14,MATCH('Cash Flow'!$C5,'Estado de resultados'!$C$3:$C$14,0),MATCH('Cash Flow'!K$2,'Estado de resultados'!$C$3:$M$3,0))</f>
        <v>-214.77488610835292</v>
      </c>
      <c r="L5" t="s">
        <v>126</v>
      </c>
      <c r="M5" t="s">
        <v>129</v>
      </c>
      <c r="N5" t="s">
        <v>128</v>
      </c>
    </row>
    <row r="6" spans="2:14" x14ac:dyDescent="0.25">
      <c r="B6" t="s">
        <v>112</v>
      </c>
      <c r="C6" t="s">
        <v>79</v>
      </c>
      <c r="D6" s="37"/>
      <c r="E6" s="31">
        <f>-(Balance!E4-Balance!D4)</f>
        <v>-10.900000000000006</v>
      </c>
      <c r="F6" s="31">
        <f>-(Balance!F4-Balance!E4)</f>
        <v>-14.5</v>
      </c>
      <c r="G6" s="14">
        <f>-(Balance!G4-Balance!F4)</f>
        <v>5.627420635663384</v>
      </c>
      <c r="H6" s="14">
        <f>-(Balance!H4-Balance!G4)</f>
        <v>-4.9101773809300937</v>
      </c>
      <c r="I6" s="14">
        <f>-(Balance!I4-Balance!H4)</f>
        <v>-5.0574827023580156</v>
      </c>
      <c r="J6" s="14">
        <f>-(Balance!J4-Balance!I4)</f>
        <v>-5.2092071834287594</v>
      </c>
      <c r="K6" s="14">
        <f>-(Balance!K4-Balance!J4)</f>
        <v>-5.3654833989315875</v>
      </c>
      <c r="L6" t="s">
        <v>130</v>
      </c>
    </row>
    <row r="7" spans="2:14" x14ac:dyDescent="0.25">
      <c r="B7" t="s">
        <v>113</v>
      </c>
      <c r="C7" t="s">
        <v>80</v>
      </c>
      <c r="D7" s="37"/>
      <c r="E7" s="31">
        <f>-(Balance!E5-Balance!D5)</f>
        <v>-7.0000000000000284</v>
      </c>
      <c r="F7" s="31">
        <f>-(Balance!F5-Balance!E5)</f>
        <v>-17.999999999999986</v>
      </c>
      <c r="G7" s="14">
        <f>-(Balance!G5-Balance!F5)</f>
        <v>12.465696356761697</v>
      </c>
      <c r="H7" s="14">
        <f>-(Balance!H5-Balance!G5)</f>
        <v>-2.9260291092971755</v>
      </c>
      <c r="I7" s="14">
        <f>-(Balance!I5-Balance!H5)</f>
        <v>-3.0138099825760776</v>
      </c>
      <c r="J7" s="14">
        <f>-(Balance!J5-Balance!I5)</f>
        <v>-3.1042242820533232</v>
      </c>
      <c r="K7" s="14">
        <f>-(Balance!K5-Balance!J5)</f>
        <v>-3.1973510105149501</v>
      </c>
      <c r="L7" t="s">
        <v>130</v>
      </c>
    </row>
    <row r="8" spans="2:14" x14ac:dyDescent="0.25">
      <c r="B8" t="s">
        <v>114</v>
      </c>
      <c r="C8" t="s">
        <v>81</v>
      </c>
      <c r="D8" s="37"/>
      <c r="E8" s="31">
        <f>+(Balance!E10-Balance!D10)</f>
        <v>0.90000000000000568</v>
      </c>
      <c r="F8" s="31">
        <f>+(Balance!F10-Balance!E10)</f>
        <v>0</v>
      </c>
      <c r="G8" s="14">
        <f>(Balance!G10-Balance!F10)</f>
        <v>0.96881426626879374</v>
      </c>
      <c r="H8" s="14">
        <f>(Balance!H10-Balance!G10)</f>
        <v>2.0960644279880682</v>
      </c>
      <c r="I8" s="14">
        <f>(Balance!I10-Balance!H10)</f>
        <v>2.1589463608276986</v>
      </c>
      <c r="J8" s="14">
        <f>(Balance!J10-Balance!I10)</f>
        <v>2.2237147516525368</v>
      </c>
      <c r="K8" s="14">
        <f>(Balance!K10-Balance!J10)</f>
        <v>2.2904261942021265</v>
      </c>
      <c r="L8" t="s">
        <v>131</v>
      </c>
    </row>
    <row r="9" spans="2:14" x14ac:dyDescent="0.25">
      <c r="B9" t="s">
        <v>110</v>
      </c>
      <c r="C9" t="s">
        <v>82</v>
      </c>
      <c r="D9" s="37"/>
      <c r="E9" s="31">
        <f>-(Balance!E8-Balance!D8)</f>
        <v>-1</v>
      </c>
      <c r="F9" s="31">
        <f>-(Balance!F8-Balance!E8)</f>
        <v>-21.1</v>
      </c>
      <c r="G9" s="14">
        <f>-(Balance!G8-Balance!F8)</f>
        <v>11.853411028107011</v>
      </c>
      <c r="H9" s="14">
        <f>-(Balance!H8-Balance!G8)</f>
        <v>-1.6843976691567946</v>
      </c>
      <c r="I9" s="14">
        <f>-(Balance!I8-Balance!H8)</f>
        <v>-1.7349295992314993</v>
      </c>
      <c r="J9" s="14">
        <f>-(Balance!J8-Balance!I8)</f>
        <v>-1.7869774872084392</v>
      </c>
      <c r="K9" s="14">
        <f>-(Balance!K8-Balance!J8)</f>
        <v>-1.8405868118246929</v>
      </c>
      <c r="L9" t="s">
        <v>130</v>
      </c>
    </row>
    <row r="10" spans="2:14" x14ac:dyDescent="0.25">
      <c r="B10" t="s">
        <v>111</v>
      </c>
      <c r="C10" t="s">
        <v>83</v>
      </c>
      <c r="D10" s="37"/>
      <c r="E10" s="31">
        <f>(Balance!E12-Balance!D12)</f>
        <v>-5.3999999999999773</v>
      </c>
      <c r="F10" s="31">
        <f>(Balance!F12-Balance!E12)</f>
        <v>-5.3999999999999773</v>
      </c>
      <c r="G10" s="14">
        <f>(Balance!G13-Balance!F13)</f>
        <v>6.8536690999040317</v>
      </c>
      <c r="H10" s="14">
        <f>(Balance!H13-Balance!G13)</f>
        <v>1.3726100729971193</v>
      </c>
      <c r="I10" s="14">
        <f>(Balance!I13-Balance!H13)</f>
        <v>1.413788375187039</v>
      </c>
      <c r="J10" s="14">
        <f>(Balance!J13-Balance!I13)</f>
        <v>1.4562020264426465</v>
      </c>
      <c r="K10" s="14">
        <f>(Balance!K13-Balance!J13)</f>
        <v>1.4998880872359308</v>
      </c>
      <c r="L10" t="s">
        <v>131</v>
      </c>
    </row>
    <row r="11" spans="2:14" x14ac:dyDescent="0.25">
      <c r="B11" t="s">
        <v>115</v>
      </c>
      <c r="C11" t="s">
        <v>84</v>
      </c>
      <c r="D11" s="37"/>
      <c r="E11" s="74">
        <f>-'activos fijos'!E7</f>
        <v>-44</v>
      </c>
      <c r="F11" s="74">
        <f>-'activos fijos'!F7</f>
        <v>-68</v>
      </c>
      <c r="G11" s="74">
        <f>-'activos fijos'!G7</f>
        <v>-58.390513833992095</v>
      </c>
      <c r="H11" s="74">
        <f>-'activos fijos'!H7</f>
        <v>-59.63679357590339</v>
      </c>
      <c r="I11" s="74">
        <f>-'activos fijos'!I7</f>
        <v>-60.909673754993825</v>
      </c>
      <c r="J11" s="74">
        <f>-'activos fijos'!J7</f>
        <v>-62.209722127630052</v>
      </c>
      <c r="K11" s="74">
        <f>-'activos fijos'!K7</f>
        <v>-63.537518568298829</v>
      </c>
    </row>
    <row r="12" spans="2:14" ht="15.75" thickBot="1" x14ac:dyDescent="0.3">
      <c r="B12" t="s">
        <v>116</v>
      </c>
      <c r="C12" s="30" t="s">
        <v>85</v>
      </c>
      <c r="D12" s="38"/>
      <c r="E12" s="33">
        <f>SUM(E3:E11)</f>
        <v>143.28000000000009</v>
      </c>
      <c r="F12" s="33">
        <f t="shared" ref="F12:K12" si="0">SUM(F3:F11)</f>
        <v>321.18</v>
      </c>
      <c r="G12" s="33">
        <f t="shared" si="0"/>
        <v>363.71329778986706</v>
      </c>
      <c r="H12" s="33">
        <f t="shared" si="0"/>
        <v>333.43317719140254</v>
      </c>
      <c r="I12" s="33">
        <f t="shared" si="0"/>
        <v>347.34635901812612</v>
      </c>
      <c r="J12" s="33">
        <f t="shared" si="0"/>
        <v>361.83737955356145</v>
      </c>
      <c r="K12" s="33">
        <f t="shared" si="0"/>
        <v>376.9374583208218</v>
      </c>
      <c r="L12" t="s">
        <v>127</v>
      </c>
    </row>
    <row r="13" spans="2:14" ht="15.75" thickTop="1" x14ac:dyDescent="0.25">
      <c r="B13" t="s">
        <v>117</v>
      </c>
      <c r="C13" t="s">
        <v>86</v>
      </c>
      <c r="D13" s="37"/>
      <c r="E13" s="74">
        <f>'variaciones en equity'!D7</f>
        <v>-14.672000000000038</v>
      </c>
      <c r="F13" s="74">
        <f>'variaciones en equity'!E7</f>
        <v>-121.27200000000001</v>
      </c>
      <c r="G13" s="74">
        <f>'variaciones en equity'!F7</f>
        <v>-136.00822839525696</v>
      </c>
      <c r="H13" s="74">
        <f>'variaciones en equity'!G7</f>
        <v>-141.54473354902558</v>
      </c>
      <c r="I13" s="74">
        <f>'variaciones en equity'!H7</f>
        <v>-147.30537145288517</v>
      </c>
      <c r="J13" s="74">
        <f>'variaciones en equity'!I7</f>
        <v>-153.30194332499846</v>
      </c>
      <c r="K13" s="74">
        <f>'variaciones en equity'!J7</f>
        <v>-159.54705825191934</v>
      </c>
    </row>
    <row r="14" spans="2:14" x14ac:dyDescent="0.25">
      <c r="B14" t="s">
        <v>118</v>
      </c>
      <c r="C14" t="s">
        <v>87</v>
      </c>
      <c r="D14" s="37"/>
      <c r="E14" s="74">
        <v>-5</v>
      </c>
      <c r="F14" s="74">
        <v>-5</v>
      </c>
      <c r="G14" s="68">
        <f>'pasivos financieros'!G8-'pasivos financieros'!F8</f>
        <v>-39.821154394965447</v>
      </c>
      <c r="H14" s="68">
        <f>'pasivos financieros'!H8-'pasivos financieros'!G8</f>
        <v>-43.405058290512329</v>
      </c>
      <c r="I14" s="68">
        <f>'pasivos financieros'!I8-'pasivos financieros'!H8</f>
        <v>-47.311513536658424</v>
      </c>
      <c r="J14" s="68">
        <f>'pasivos financieros'!J8-'pasivos financieros'!I8</f>
        <v>-51.569549754957677</v>
      </c>
      <c r="K14" s="68">
        <f>'pasivos financieros'!K8-'pasivos financieros'!J8</f>
        <v>-56.210809232903898</v>
      </c>
    </row>
    <row r="15" spans="2:14" x14ac:dyDescent="0.25">
      <c r="B15" t="s">
        <v>119</v>
      </c>
      <c r="C15" t="s">
        <v>88</v>
      </c>
      <c r="D15" s="37"/>
      <c r="E15" s="31">
        <f>(Balance!E11-Balance!D11)</f>
        <v>-3.8000000000000043</v>
      </c>
      <c r="F15" s="31">
        <f>(Balance!F11-Balance!E11)</f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t="s">
        <v>131</v>
      </c>
    </row>
    <row r="16" spans="2:14" x14ac:dyDescent="0.25">
      <c r="B16" t="s">
        <v>120</v>
      </c>
      <c r="C16" t="s">
        <v>89</v>
      </c>
      <c r="D16" s="37"/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t="s">
        <v>233</v>
      </c>
    </row>
    <row r="17" spans="2:12" ht="15.75" thickBot="1" x14ac:dyDescent="0.3">
      <c r="B17" t="s">
        <v>121</v>
      </c>
      <c r="C17" s="30" t="s">
        <v>90</v>
      </c>
      <c r="D17" s="38"/>
      <c r="E17" s="33">
        <f>+SUM(E12:E16)</f>
        <v>119.80800000000005</v>
      </c>
      <c r="F17" s="33">
        <f>+SUM(F12:F16)</f>
        <v>194.90800000000002</v>
      </c>
      <c r="G17" s="33">
        <f t="shared" ref="G17:K17" si="1">+SUM(G12:G16)</f>
        <v>187.88391499964465</v>
      </c>
      <c r="H17" s="33">
        <f t="shared" si="1"/>
        <v>148.48338535186463</v>
      </c>
      <c r="I17" s="33">
        <f t="shared" si="1"/>
        <v>152.72947402858253</v>
      </c>
      <c r="J17" s="33">
        <f t="shared" si="1"/>
        <v>156.96588647360531</v>
      </c>
      <c r="K17" s="33">
        <f t="shared" si="1"/>
        <v>161.17959083599857</v>
      </c>
      <c r="L17" t="s">
        <v>127</v>
      </c>
    </row>
    <row r="18" spans="2:12" ht="15.75" thickTop="1" x14ac:dyDescent="0.25"/>
    <row r="19" spans="2:12" ht="18.75" x14ac:dyDescent="0.3">
      <c r="C19" t="s">
        <v>92</v>
      </c>
      <c r="E19" s="32" t="s">
        <v>93</v>
      </c>
    </row>
    <row r="20" spans="2:12" ht="18.75" x14ac:dyDescent="0.3">
      <c r="C20" t="s">
        <v>94</v>
      </c>
      <c r="E20" s="32" t="s">
        <v>95</v>
      </c>
    </row>
  </sheetData>
  <mergeCells count="1">
    <mergeCell ref="G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DBAA-23AC-4A41-8E36-CFFE60E5C32F}">
  <dimension ref="B2:G22"/>
  <sheetViews>
    <sheetView topLeftCell="B4" workbookViewId="0">
      <selection activeCell="C16" sqref="C16"/>
    </sheetView>
  </sheetViews>
  <sheetFormatPr baseColWidth="10" defaultRowHeight="15" x14ac:dyDescent="0.25"/>
  <cols>
    <col min="2" max="2" width="47" customWidth="1"/>
    <col min="3" max="3" width="19.85546875" customWidth="1"/>
  </cols>
  <sheetData>
    <row r="2" spans="2:7" ht="15.75" thickBot="1" x14ac:dyDescent="0.3">
      <c r="D2" s="50">
        <v>2016</v>
      </c>
      <c r="E2" s="50">
        <v>2017</v>
      </c>
      <c r="F2" s="50">
        <v>2018</v>
      </c>
    </row>
    <row r="3" spans="2:7" x14ac:dyDescent="0.25">
      <c r="C3" s="47" t="s">
        <v>175</v>
      </c>
      <c r="D3" s="44"/>
      <c r="E3" s="44"/>
      <c r="F3" s="44"/>
    </row>
    <row r="4" spans="2:7" x14ac:dyDescent="0.25">
      <c r="B4" s="41" t="s">
        <v>174</v>
      </c>
      <c r="C4" s="40" t="s">
        <v>173</v>
      </c>
      <c r="D4" s="49">
        <f>+(Balance!D4+Balance!D5+Balance!D7)/(Balance!D10+Balance!D11)</f>
        <v>2.5243781094527362</v>
      </c>
      <c r="E4" s="49">
        <f>+(Balance!E4+Balance!E5+Balance!E7)/(Balance!E10+Balance!E11)</f>
        <v>2.752049180327869</v>
      </c>
      <c r="F4" s="49">
        <f>+(Balance!F4+Balance!F5+Balance!F7)/(Balance!F10+Balance!F11)</f>
        <v>5.1157786885245908</v>
      </c>
      <c r="G4" t="s">
        <v>172</v>
      </c>
    </row>
    <row r="5" spans="2:7" x14ac:dyDescent="0.25">
      <c r="B5" s="41" t="s">
        <v>171</v>
      </c>
      <c r="C5" s="40" t="s">
        <v>142</v>
      </c>
      <c r="D5" s="49">
        <f>(Balance!D4/'Estado de resultados'!D4)*360</f>
        <v>17.728952772073921</v>
      </c>
      <c r="E5" s="49">
        <f>(Balance!E4/'Estado de resultados'!E4)*360</f>
        <v>18.675603217158177</v>
      </c>
      <c r="F5" s="49">
        <f>(Balance!F4/'Estado de resultados'!F4)*360</f>
        <v>20.048684210526318</v>
      </c>
      <c r="G5" t="s">
        <v>170</v>
      </c>
    </row>
    <row r="6" spans="2:7" x14ac:dyDescent="0.25">
      <c r="B6" s="41" t="s">
        <v>169</v>
      </c>
      <c r="C6" s="40" t="s">
        <v>139</v>
      </c>
      <c r="D6" s="49">
        <f>(Balance!D5/'Estado de resultados'!D5)*360</f>
        <v>21.841541755888645</v>
      </c>
      <c r="E6" s="49">
        <f>(Balance!E5/'Estado de resultados'!E5)*360</f>
        <v>23.94793926247289</v>
      </c>
      <c r="F6" s="49">
        <f>(Balance!F5/'Estado de resultados'!F5)*360</f>
        <v>28.96854425749817</v>
      </c>
      <c r="G6" t="s">
        <v>168</v>
      </c>
    </row>
    <row r="7" spans="2:7" x14ac:dyDescent="0.25">
      <c r="B7" s="41" t="s">
        <v>167</v>
      </c>
      <c r="C7" s="40" t="s">
        <v>136</v>
      </c>
      <c r="D7" s="49">
        <f>(Balance!D10/'Estado de resultados'!D5)*360</f>
        <v>17.473233404710921</v>
      </c>
      <c r="E7" s="49">
        <f>(Balance!E10/'Estado de resultados'!E5)*360</f>
        <v>17.934924078091107</v>
      </c>
      <c r="F7" s="49">
        <f>(Balance!F10/'Estado de resultados'!F5)*360</f>
        <v>18.144842721287493</v>
      </c>
      <c r="G7" t="s">
        <v>166</v>
      </c>
    </row>
    <row r="8" spans="2:7" x14ac:dyDescent="0.25">
      <c r="B8" s="41"/>
      <c r="C8" s="40" t="s">
        <v>165</v>
      </c>
      <c r="D8" s="48">
        <f>SUM(D5+D6-D7)</f>
        <v>22.097261123251645</v>
      </c>
      <c r="E8" s="48">
        <f>SUM(E5+E6-E7)</f>
        <v>24.688618401539962</v>
      </c>
      <c r="F8" s="48">
        <f>SUM(F5+F6-F7)</f>
        <v>30.872385746736992</v>
      </c>
      <c r="G8" t="s">
        <v>164</v>
      </c>
    </row>
    <row r="9" spans="2:7" x14ac:dyDescent="0.25">
      <c r="C9" s="47" t="s">
        <v>163</v>
      </c>
      <c r="D9" s="44"/>
      <c r="E9" s="44"/>
      <c r="F9" s="44"/>
    </row>
    <row r="10" spans="2:7" x14ac:dyDescent="0.25">
      <c r="B10" s="41" t="s">
        <v>162</v>
      </c>
      <c r="C10" s="40" t="s">
        <v>161</v>
      </c>
      <c r="D10" s="16">
        <f>(Balance!D14/Balance!D9)</f>
        <v>0.8202982512605943</v>
      </c>
      <c r="E10" s="16">
        <f>(Balance!E14/Balance!E9)</f>
        <v>0.79251054852320679</v>
      </c>
      <c r="F10" s="16">
        <f>(Balance!F14/Balance!F9)</f>
        <v>0.6044179980436909</v>
      </c>
      <c r="G10" t="s">
        <v>160</v>
      </c>
    </row>
    <row r="11" spans="2:7" x14ac:dyDescent="0.25">
      <c r="B11" s="41" t="s">
        <v>159</v>
      </c>
      <c r="C11" s="40" t="s">
        <v>158</v>
      </c>
      <c r="D11" s="46">
        <f>('Estado de resultados'!D10/'Estado de resultados'!D11)</f>
        <v>4.9610714285714312</v>
      </c>
      <c r="E11" s="46">
        <f>('Estado de resultados'!E10/'Estado de resultados'!E11)</f>
        <v>4.7947692307692318</v>
      </c>
      <c r="F11" s="46">
        <f>('Estado de resultados'!F10/'Estado de resultados'!F11)</f>
        <v>10.841538461538461</v>
      </c>
      <c r="G11" t="s">
        <v>157</v>
      </c>
    </row>
    <row r="12" spans="2:7" x14ac:dyDescent="0.25">
      <c r="C12" s="45" t="s">
        <v>156</v>
      </c>
      <c r="D12" s="44"/>
      <c r="E12" s="44"/>
      <c r="F12" s="44"/>
    </row>
    <row r="13" spans="2:7" x14ac:dyDescent="0.25">
      <c r="B13" s="41" t="s">
        <v>155</v>
      </c>
      <c r="C13" s="40" t="s">
        <v>154</v>
      </c>
      <c r="D13" s="43">
        <f>('Estado de resultados'!D14/Balance!D9)</f>
        <v>1.534170153417032E-2</v>
      </c>
      <c r="E13" s="43">
        <f>('Estado de resultados'!E14/Balance!E9)</f>
        <v>3.8691983122362973E-2</v>
      </c>
      <c r="F13" s="43">
        <f>('Estado de resultados'!F14/Balance!F9)</f>
        <v>0.24713074665797197</v>
      </c>
      <c r="G13" t="s">
        <v>153</v>
      </c>
    </row>
    <row r="14" spans="2:7" x14ac:dyDescent="0.25">
      <c r="B14" s="41" t="s">
        <v>152</v>
      </c>
      <c r="C14" s="40" t="s">
        <v>151</v>
      </c>
      <c r="D14" s="43">
        <f>('Estado de resultados'!D14/Balance!D15)</f>
        <v>8.5373134328359107E-2</v>
      </c>
      <c r="E14" s="43">
        <f>('Estado de resultados'!E14/Balance!E15)</f>
        <v>0.18647686832740262</v>
      </c>
      <c r="F14" s="43">
        <f>('Estado de resultados'!F14/Balance!F15)</f>
        <v>0.6247269730063878</v>
      </c>
      <c r="G14" t="s">
        <v>150</v>
      </c>
    </row>
    <row r="15" spans="2:7" x14ac:dyDescent="0.25">
      <c r="B15" s="41" t="s">
        <v>149</v>
      </c>
      <c r="C15" s="40" t="s">
        <v>148</v>
      </c>
      <c r="D15" s="16">
        <f>('Estado de resultados'!D10/'Estado de resultados'!D4)</f>
        <v>9.5078713210130103E-2</v>
      </c>
      <c r="E15" s="16">
        <f>('Estado de resultados'!E10/'Estado de resultados'!E4)</f>
        <v>0.10444369973190351</v>
      </c>
      <c r="F15" s="16">
        <f>('Estado de resultados'!F10/'Estado de resultados'!F4)</f>
        <v>0.18544736842105264</v>
      </c>
      <c r="G15" t="s">
        <v>147</v>
      </c>
    </row>
    <row r="16" spans="2:7" x14ac:dyDescent="0.25">
      <c r="B16" s="41" t="s">
        <v>146</v>
      </c>
      <c r="C16" s="40" t="s">
        <v>145</v>
      </c>
      <c r="D16" s="42">
        <f>('Estado de resultados'!D14/'Estado de resultados'!D4)</f>
        <v>4.8939082819986837E-3</v>
      </c>
      <c r="E16" s="42">
        <f>('Estado de resultados'!E14/'Estado de resultados'!E4)</f>
        <v>1.2292225201072418E-2</v>
      </c>
      <c r="F16" s="42">
        <f>('Estado de resultados'!F14/'Estado de resultados'!F4)</f>
        <v>9.9730263157894739E-2</v>
      </c>
      <c r="G16" t="s">
        <v>144</v>
      </c>
    </row>
    <row r="20" spans="2:4" x14ac:dyDescent="0.25">
      <c r="B20" s="41" t="s">
        <v>143</v>
      </c>
      <c r="C20" s="40" t="s">
        <v>142</v>
      </c>
      <c r="D20" t="s">
        <v>141</v>
      </c>
    </row>
    <row r="21" spans="2:4" x14ac:dyDescent="0.25">
      <c r="B21" s="41" t="s">
        <v>140</v>
      </c>
      <c r="C21" s="40" t="s">
        <v>139</v>
      </c>
      <c r="D21" t="s">
        <v>138</v>
      </c>
    </row>
    <row r="22" spans="2:4" x14ac:dyDescent="0.25">
      <c r="B22" s="41" t="s">
        <v>137</v>
      </c>
      <c r="C22" s="40" t="s">
        <v>136</v>
      </c>
      <c r="D22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DE93-464D-45CA-88CB-6ADDDA75784E}">
  <sheetPr>
    <tabColor theme="9" tint="0.59999389629810485"/>
  </sheetPr>
  <dimension ref="C3:L12"/>
  <sheetViews>
    <sheetView showGridLines="0" topLeftCell="C1" workbookViewId="0">
      <selection activeCell="G8" sqref="G8"/>
    </sheetView>
  </sheetViews>
  <sheetFormatPr baseColWidth="10" defaultRowHeight="15" x14ac:dyDescent="0.25"/>
  <cols>
    <col min="3" max="3" width="36" bestFit="1" customWidth="1"/>
  </cols>
  <sheetData>
    <row r="3" spans="3:12" x14ac:dyDescent="0.25">
      <c r="G3" s="82" t="s">
        <v>185</v>
      </c>
      <c r="H3" s="82"/>
      <c r="I3" s="82"/>
      <c r="J3" s="82"/>
      <c r="K3" s="82"/>
    </row>
    <row r="4" spans="3:12" ht="15.75" thickBot="1" x14ac:dyDescent="0.3">
      <c r="D4" s="50">
        <v>2016</v>
      </c>
      <c r="E4" s="50">
        <v>2017</v>
      </c>
      <c r="F4" s="50">
        <v>2018</v>
      </c>
      <c r="G4" s="50">
        <v>2019</v>
      </c>
      <c r="H4" s="50">
        <v>2020</v>
      </c>
      <c r="I4" s="50">
        <v>2021</v>
      </c>
      <c r="J4" s="50">
        <v>2022</v>
      </c>
      <c r="K4" s="50">
        <v>2023</v>
      </c>
    </row>
    <row r="5" spans="3:12" x14ac:dyDescent="0.25">
      <c r="C5" t="s">
        <v>207</v>
      </c>
      <c r="E5" s="14">
        <f>Balance!D6</f>
        <v>632.5</v>
      </c>
      <c r="F5" s="14">
        <f>E8</f>
        <v>632.5</v>
      </c>
      <c r="G5" s="14">
        <f>F8</f>
        <v>659.5</v>
      </c>
      <c r="H5" s="14">
        <f t="shared" ref="H5:K5" si="0">G8</f>
        <v>673.57628458498027</v>
      </c>
      <c r="I5" s="14">
        <f t="shared" si="0"/>
        <v>687.95301160774272</v>
      </c>
      <c r="J5" s="14">
        <f t="shared" si="0"/>
        <v>702.6365936736787</v>
      </c>
      <c r="K5" s="14">
        <f t="shared" si="0"/>
        <v>717.63358025801801</v>
      </c>
    </row>
    <row r="6" spans="3:12" x14ac:dyDescent="0.25">
      <c r="C6" t="s">
        <v>16</v>
      </c>
      <c r="E6" s="14">
        <f>'Estado de resultados'!E9</f>
        <v>44</v>
      </c>
      <c r="F6" s="14">
        <f>'Estado de resultados'!F9</f>
        <v>41</v>
      </c>
      <c r="G6" s="14">
        <f>G11*G5</f>
        <v>44.314229249011859</v>
      </c>
      <c r="H6" s="14">
        <f t="shared" ref="H6:K6" si="1">H11*H5</f>
        <v>45.260066553140966</v>
      </c>
      <c r="I6" s="14">
        <f t="shared" si="1"/>
        <v>46.22609168905781</v>
      </c>
      <c r="J6" s="14">
        <f t="shared" si="1"/>
        <v>47.212735543290663</v>
      </c>
      <c r="K6" s="14">
        <f t="shared" si="1"/>
        <v>48.22043819915536</v>
      </c>
      <c r="L6" t="s">
        <v>126</v>
      </c>
    </row>
    <row r="7" spans="3:12" x14ac:dyDescent="0.25">
      <c r="C7" t="s">
        <v>206</v>
      </c>
      <c r="E7" s="14">
        <f>E8-E5+E6</f>
        <v>44</v>
      </c>
      <c r="F7" s="14">
        <f>F8-F5+F6</f>
        <v>68</v>
      </c>
      <c r="G7" s="14">
        <f>G12*G5</f>
        <v>58.390513833992095</v>
      </c>
      <c r="H7" s="14">
        <f t="shared" ref="H7:K7" si="2">H12*H5</f>
        <v>59.63679357590339</v>
      </c>
      <c r="I7" s="14">
        <f t="shared" si="2"/>
        <v>60.909673754993825</v>
      </c>
      <c r="J7" s="14">
        <f t="shared" si="2"/>
        <v>62.209722127630052</v>
      </c>
      <c r="K7" s="14">
        <f t="shared" si="2"/>
        <v>63.537518568298829</v>
      </c>
      <c r="L7" t="s">
        <v>205</v>
      </c>
    </row>
    <row r="8" spans="3:12" x14ac:dyDescent="0.25">
      <c r="C8" t="s">
        <v>204</v>
      </c>
      <c r="E8" s="14">
        <f>Balance!E6</f>
        <v>632.5</v>
      </c>
      <c r="F8" s="14">
        <f>Balance!F6</f>
        <v>659.5</v>
      </c>
      <c r="G8" s="14">
        <f>G5-G6+G7</f>
        <v>673.57628458498027</v>
      </c>
      <c r="H8" s="14">
        <f t="shared" ref="H8:K8" si="3">H5-H6+H7</f>
        <v>687.95301160774272</v>
      </c>
      <c r="I8" s="14">
        <f t="shared" si="3"/>
        <v>702.6365936736787</v>
      </c>
      <c r="J8" s="14">
        <f t="shared" si="3"/>
        <v>717.63358025801801</v>
      </c>
      <c r="K8" s="14">
        <f t="shared" si="3"/>
        <v>732.95066062716148</v>
      </c>
      <c r="L8" t="s">
        <v>126</v>
      </c>
    </row>
    <row r="11" spans="3:12" x14ac:dyDescent="0.25">
      <c r="C11" t="s">
        <v>203</v>
      </c>
      <c r="E11" s="16">
        <f>E6/E5</f>
        <v>6.9565217391304349E-2</v>
      </c>
      <c r="F11" s="16">
        <f>F6/F5</f>
        <v>6.4822134387351779E-2</v>
      </c>
      <c r="G11" s="16">
        <f>AVERAGE($E$11:$F$11)</f>
        <v>6.7193675889328064E-2</v>
      </c>
      <c r="H11" s="16">
        <f t="shared" ref="H11:K11" si="4">AVERAGE($E$11:$F$11)</f>
        <v>6.7193675889328064E-2</v>
      </c>
      <c r="I11" s="16">
        <f t="shared" si="4"/>
        <v>6.7193675889328064E-2</v>
      </c>
      <c r="J11" s="16">
        <f t="shared" si="4"/>
        <v>6.7193675889328064E-2</v>
      </c>
      <c r="K11" s="16">
        <f t="shared" si="4"/>
        <v>6.7193675889328064E-2</v>
      </c>
    </row>
    <row r="12" spans="3:12" x14ac:dyDescent="0.25">
      <c r="C12" t="s">
        <v>202</v>
      </c>
      <c r="E12" s="16">
        <f>E7/E5</f>
        <v>6.9565217391304349E-2</v>
      </c>
      <c r="F12" s="16">
        <f>F7/F5</f>
        <v>0.10750988142292491</v>
      </c>
      <c r="G12" s="16">
        <f>AVERAGE($E$12:$F$12)</f>
        <v>8.8537549407114627E-2</v>
      </c>
      <c r="H12" s="16">
        <f t="shared" ref="H12:K12" si="5">AVERAGE($E$12:$F$12)</f>
        <v>8.8537549407114627E-2</v>
      </c>
      <c r="I12" s="16">
        <f t="shared" si="5"/>
        <v>8.8537549407114627E-2</v>
      </c>
      <c r="J12" s="16">
        <f t="shared" si="5"/>
        <v>8.8537549407114627E-2</v>
      </c>
      <c r="K12" s="16">
        <f t="shared" si="5"/>
        <v>8.8537549407114627E-2</v>
      </c>
    </row>
  </sheetData>
  <mergeCells count="1"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Base</vt:lpstr>
      <vt:lpstr>Balance 2016</vt:lpstr>
      <vt:lpstr>Balance 2017</vt:lpstr>
      <vt:lpstr>Balance 2018</vt:lpstr>
      <vt:lpstr>Balance</vt:lpstr>
      <vt:lpstr>Estado de resultados</vt:lpstr>
      <vt:lpstr>Cash Flow</vt:lpstr>
      <vt:lpstr>Ratios</vt:lpstr>
      <vt:lpstr>activos fijos</vt:lpstr>
      <vt:lpstr>pasivos financieros</vt:lpstr>
      <vt:lpstr>variaciones en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MORENO AGUDELO</dc:creator>
  <cp:lastModifiedBy>marco antonio rubio martinez</cp:lastModifiedBy>
  <dcterms:created xsi:type="dcterms:W3CDTF">2019-11-05T14:23:15Z</dcterms:created>
  <dcterms:modified xsi:type="dcterms:W3CDTF">2021-04-11T20:37:13Z</dcterms:modified>
</cp:coreProperties>
</file>