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B27890F6-7971-419F-BD48-CB530AAB839B}" xr6:coauthVersionLast="47" xr6:coauthVersionMax="47" xr10:uidLastSave="{00000000-0000-0000-0000-000000000000}"/>
  <bookViews>
    <workbookView xWindow="-98" yWindow="-98" windowWidth="22875" windowHeight="13141" xr2:uid="{00000000-000D-0000-FFFF-FFFF00000000}"/>
  </bookViews>
  <sheets>
    <sheet name="ATLETA" sheetId="2" r:id="rId1"/>
    <sheet name="SJi BW - COLLI" sheetId="3" r:id="rId2"/>
    <sheet name="FVP profile - MORIN" sheetId="7" r:id="rId3"/>
    <sheet name="TABELLE NORMATIV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E8" i="7" l="1"/>
  <c r="F8" i="7"/>
  <c r="E9" i="7"/>
  <c r="F9" i="7"/>
  <c r="E10" i="7"/>
  <c r="F10" i="7"/>
  <c r="E11" i="7"/>
  <c r="F11" i="7"/>
  <c r="E12" i="7"/>
  <c r="F12" i="7"/>
  <c r="D9" i="7"/>
  <c r="D10" i="7"/>
  <c r="D11" i="7"/>
  <c r="D12" i="7"/>
  <c r="D8" i="7"/>
  <c r="B9" i="7"/>
  <c r="B10" i="7"/>
  <c r="B11" i="7"/>
  <c r="B12" i="7"/>
  <c r="B8" i="7"/>
  <c r="A9" i="7"/>
  <c r="A10" i="7"/>
  <c r="A11" i="7"/>
  <c r="A12" i="7"/>
  <c r="A8" i="7"/>
  <c r="J5" i="2"/>
  <c r="J16" i="2"/>
  <c r="Q27" i="2"/>
  <c r="Q26" i="2"/>
  <c r="Q25" i="2"/>
  <c r="Q24" i="2"/>
  <c r="Q23" i="2"/>
  <c r="J10" i="2"/>
  <c r="K10" i="2" s="1"/>
  <c r="I10" i="2" a="1"/>
  <c r="I10" i="2" s="1"/>
  <c r="J12" i="2"/>
  <c r="K12" i="2" s="1"/>
  <c r="I12" i="2" a="1"/>
  <c r="I12" i="2" s="1"/>
  <c r="AA28" i="2"/>
  <c r="Q19" i="2"/>
  <c r="Q18" i="2"/>
  <c r="Q17" i="2"/>
  <c r="W19" i="2"/>
  <c r="X19" i="2" s="1"/>
  <c r="V19" i="2"/>
  <c r="W18" i="2"/>
  <c r="X18" i="2" s="1"/>
  <c r="V18" i="2"/>
  <c r="W17" i="2"/>
  <c r="X17" i="2" s="1"/>
  <c r="V17" i="2"/>
  <c r="Q15" i="2"/>
  <c r="Q16" i="2"/>
  <c r="W16" i="2"/>
  <c r="X16" i="2" s="1"/>
  <c r="V16" i="2"/>
  <c r="W15" i="2"/>
  <c r="V15" i="2"/>
  <c r="D4" i="2"/>
  <c r="J13" i="2"/>
  <c r="K13" i="2" s="1"/>
  <c r="I13" i="2" a="1"/>
  <c r="I13" i="2" s="1"/>
  <c r="J9" i="2"/>
  <c r="K9" i="2" s="1"/>
  <c r="B1" i="7"/>
  <c r="E26" i="2"/>
  <c r="F26" i="2" s="1"/>
  <c r="D2" i="2"/>
  <c r="E27" i="2"/>
  <c r="G27" i="2" s="1"/>
  <c r="I5" i="2"/>
  <c r="X15" i="2" l="1"/>
  <c r="D6" i="3"/>
  <c r="H26" i="2"/>
  <c r="I15" i="2" l="1" a="1"/>
  <c r="I15" i="2" s="1"/>
  <c r="I3" i="7"/>
  <c r="I4" i="7"/>
  <c r="W5" i="2"/>
  <c r="W6" i="2"/>
  <c r="W7" i="2"/>
  <c r="W8" i="2"/>
  <c r="W9" i="2"/>
  <c r="W4" i="2"/>
  <c r="E2" i="7"/>
  <c r="E4" i="7"/>
  <c r="I2" i="7"/>
  <c r="B6" i="3"/>
  <c r="S4" i="2" l="1"/>
  <c r="G11" i="7"/>
  <c r="I11" i="7" s="1"/>
  <c r="G12" i="7"/>
  <c r="I12" i="7" s="1"/>
  <c r="C9" i="7"/>
  <c r="C10" i="7"/>
  <c r="C11" i="7"/>
  <c r="C12" i="7"/>
  <c r="C8" i="7"/>
  <c r="U4" i="7"/>
  <c r="I5" i="7"/>
  <c r="G8" i="7"/>
  <c r="I8" i="7" s="1"/>
  <c r="U13" i="7"/>
  <c r="A16" i="7"/>
  <c r="D17" i="7"/>
  <c r="D19" i="7"/>
  <c r="D21" i="7"/>
  <c r="D23" i="7"/>
  <c r="C28" i="3" a="1"/>
  <c r="C28" i="3" s="1"/>
  <c r="C24" i="3" a="1"/>
  <c r="C24" i="3"/>
  <c r="I23" i="3" a="1"/>
  <c r="I23" i="3"/>
  <c r="J23" i="3" s="1" a="1"/>
  <c r="J23" i="3" s="1"/>
  <c r="C23" i="3" a="1"/>
  <c r="C23" i="3"/>
  <c r="C22" i="3" a="1"/>
  <c r="C22" i="3"/>
  <c r="C21" i="3" a="1"/>
  <c r="C21" i="3"/>
  <c r="P20" i="3" a="1"/>
  <c r="P20" i="3" s="1"/>
  <c r="Q20" i="3" s="1" a="1"/>
  <c r="Q20" i="3" s="1"/>
  <c r="C20" i="3" a="1"/>
  <c r="C20" i="3" s="1"/>
  <c r="I19" i="3" a="1"/>
  <c r="I19" i="3"/>
  <c r="J19" i="3" s="1" a="1"/>
  <c r="J19" i="3" s="1"/>
  <c r="C19" i="3" a="1"/>
  <c r="C19" i="3"/>
  <c r="I18" i="3" a="1"/>
  <c r="I18" i="3"/>
  <c r="J18" i="3" s="1" a="1"/>
  <c r="J18" i="3" s="1"/>
  <c r="C18" i="3" a="1"/>
  <c r="C18" i="3"/>
  <c r="C17" i="3" a="1"/>
  <c r="C17" i="3"/>
  <c r="C16" i="3" a="1"/>
  <c r="C16" i="3"/>
  <c r="C15" i="3" a="1"/>
  <c r="C15" i="3"/>
  <c r="U10" i="3" a="1"/>
  <c r="U10" i="3"/>
  <c r="U9" i="3" a="1"/>
  <c r="U9" i="3"/>
  <c r="F9" i="3" a="1"/>
  <c r="F9" i="3"/>
  <c r="E9" i="3" a="1"/>
  <c r="E9" i="3"/>
  <c r="U8" i="3" a="1"/>
  <c r="U8" i="3" s="1"/>
  <c r="U7" i="3" a="1"/>
  <c r="U7" i="3" s="1"/>
  <c r="L7" i="3" a="1"/>
  <c r="L7" i="3"/>
  <c r="K7" i="3" a="1"/>
  <c r="K7" i="3"/>
  <c r="U6" i="3" a="1"/>
  <c r="U6" i="3"/>
  <c r="B9" i="3" a="1"/>
  <c r="B9" i="3" s="1"/>
  <c r="M3" i="3" a="1"/>
  <c r="M3" i="3"/>
  <c r="I3" i="3" a="1"/>
  <c r="I3" i="3"/>
  <c r="I14" i="3" s="1" a="1"/>
  <c r="I14" i="3" s="1"/>
  <c r="J14" i="3" s="1" a="1"/>
  <c r="J14" i="3" s="1"/>
  <c r="H3" i="3" a="1"/>
  <c r="H3" i="3"/>
  <c r="I22" i="3" s="1" a="1"/>
  <c r="I22" i="3" s="1"/>
  <c r="J22" i="3" s="1" a="1"/>
  <c r="J22" i="3" s="1"/>
  <c r="I16" i="2" a="1"/>
  <c r="I16" i="2" s="1"/>
  <c r="X9" i="2" a="1"/>
  <c r="X9" i="2" s="1"/>
  <c r="S9" i="2" a="1"/>
  <c r="S9" i="2" s="1"/>
  <c r="I9" i="2" a="1"/>
  <c r="I9" i="2" s="1"/>
  <c r="X8" i="2" a="1"/>
  <c r="X8" i="2" s="1"/>
  <c r="S8" i="2" a="1"/>
  <c r="S8" i="2" s="1"/>
  <c r="X7" i="2" a="1"/>
  <c r="X7" i="2" s="1"/>
  <c r="S7" i="2" a="1"/>
  <c r="S7" i="2" s="1"/>
  <c r="X6" i="2" a="1"/>
  <c r="X6" i="2" s="1"/>
  <c r="S6" i="2" a="1"/>
  <c r="S6" i="2" s="1"/>
  <c r="X5" i="2" a="1"/>
  <c r="X5" i="2" s="1"/>
  <c r="S5" i="2" a="1"/>
  <c r="S5" i="2" s="1"/>
  <c r="X4" i="2" a="1"/>
  <c r="X4" i="2" s="1"/>
  <c r="G10" i="7" l="1"/>
  <c r="I10" i="7" s="1"/>
  <c r="G9" i="7"/>
  <c r="H9" i="7" s="1"/>
  <c r="H11" i="7"/>
  <c r="J11" i="7" s="1"/>
  <c r="H8" i="7"/>
  <c r="H12" i="7"/>
  <c r="J12" i="7" s="1"/>
  <c r="L22" i="3" a="1"/>
  <c r="L22" i="3" s="1"/>
  <c r="K22" i="3" a="1"/>
  <c r="K22" i="3" s="1"/>
  <c r="L18" i="3" a="1"/>
  <c r="L18" i="3" s="1"/>
  <c r="K18" i="3" a="1"/>
  <c r="K18" i="3" s="1"/>
  <c r="C11" i="3" a="1"/>
  <c r="C11" i="3" s="1"/>
  <c r="D11" i="3" s="1" a="1"/>
  <c r="D11" i="3" s="1"/>
  <c r="B11" i="3" a="1"/>
  <c r="B11" i="3" s="1"/>
  <c r="B25" i="3" a="1"/>
  <c r="B25" i="3" s="1"/>
  <c r="C25" i="3" s="1" a="1"/>
  <c r="C25" i="3" s="1"/>
  <c r="D25" i="3" s="1" a="1"/>
  <c r="D25" i="3" s="1"/>
  <c r="E25" i="3" s="1" a="1"/>
  <c r="E25" i="3" s="1"/>
  <c r="F25" i="3" s="1" a="1"/>
  <c r="F25" i="3" s="1"/>
  <c r="D20" i="3" a="1"/>
  <c r="D20" i="3" s="1"/>
  <c r="E20" i="3" s="1" a="1"/>
  <c r="E20" i="3" s="1"/>
  <c r="F20" i="3" s="1" a="1"/>
  <c r="F20" i="3" s="1"/>
  <c r="D24" i="3" a="1"/>
  <c r="D24" i="3" s="1"/>
  <c r="E24" i="3" s="1" a="1"/>
  <c r="E24" i="3" s="1"/>
  <c r="F24" i="3" s="1" a="1"/>
  <c r="F24" i="3" s="1"/>
  <c r="D22" i="3" a="1"/>
  <c r="D22" i="3" s="1"/>
  <c r="E22" i="3" s="1" a="1"/>
  <c r="E22" i="3" s="1"/>
  <c r="F22" i="3" s="1" a="1"/>
  <c r="F22" i="3" s="1"/>
  <c r="E6" i="3" a="1"/>
  <c r="E6" i="3" s="1"/>
  <c r="E10" i="3" s="1" a="1"/>
  <c r="E10" i="3" s="1"/>
  <c r="D19" i="3" a="1"/>
  <c r="D19" i="3" s="1"/>
  <c r="E19" i="3" s="1" a="1"/>
  <c r="E19" i="3" s="1"/>
  <c r="F19" i="3" s="1" a="1"/>
  <c r="F19" i="3" s="1"/>
  <c r="D10" i="3" a="1"/>
  <c r="D10" i="3" s="1"/>
  <c r="C9" i="3" s="1" a="1"/>
  <c r="C9" i="3" s="1"/>
  <c r="D17" i="3" a="1"/>
  <c r="D17" i="3" s="1"/>
  <c r="E17" i="3" s="1" a="1"/>
  <c r="E17" i="3" s="1"/>
  <c r="F17" i="3" s="1" a="1"/>
  <c r="F17" i="3" s="1"/>
  <c r="D15" i="3" a="1"/>
  <c r="D15" i="3" s="1"/>
  <c r="E15" i="3" s="1" a="1"/>
  <c r="E15" i="3" s="1"/>
  <c r="F15" i="3" s="1" a="1"/>
  <c r="F15" i="3" s="1"/>
  <c r="D23" i="3" a="1"/>
  <c r="D23" i="3" s="1"/>
  <c r="E23" i="3" s="1" a="1"/>
  <c r="E23" i="3" s="1"/>
  <c r="F23" i="3" s="1" a="1"/>
  <c r="F23" i="3" s="1"/>
  <c r="D18" i="3" a="1"/>
  <c r="D18" i="3" s="1"/>
  <c r="E18" i="3" s="1" a="1"/>
  <c r="E18" i="3" s="1"/>
  <c r="F18" i="3" s="1" a="1"/>
  <c r="F18" i="3" s="1"/>
  <c r="D21" i="3" a="1"/>
  <c r="D21" i="3" s="1"/>
  <c r="E21" i="3" s="1" a="1"/>
  <c r="E21" i="3" s="1"/>
  <c r="F21" i="3" s="1" a="1"/>
  <c r="F21" i="3" s="1"/>
  <c r="D16" i="3" a="1"/>
  <c r="D16" i="3" s="1"/>
  <c r="E16" i="3" s="1" a="1"/>
  <c r="E16" i="3" s="1"/>
  <c r="F16" i="3" s="1" a="1"/>
  <c r="F16" i="3" s="1"/>
  <c r="F6" i="3" a="1"/>
  <c r="F6" i="3" s="1"/>
  <c r="F10" i="3" s="1" a="1"/>
  <c r="F10" i="3" s="1"/>
  <c r="L14" i="3" a="1"/>
  <c r="L14" i="3" s="1"/>
  <c r="K14" i="3" a="1"/>
  <c r="K14" i="3" s="1"/>
  <c r="L23" i="3" a="1"/>
  <c r="L23" i="3" s="1"/>
  <c r="K23" i="3" a="1"/>
  <c r="K23" i="3" s="1"/>
  <c r="K19" i="3" a="1"/>
  <c r="K19" i="3" s="1"/>
  <c r="L19" i="3" a="1"/>
  <c r="L19" i="3" s="1"/>
  <c r="I20" i="3" a="1"/>
  <c r="I20" i="3" s="1"/>
  <c r="J20" i="3" s="1" a="1"/>
  <c r="J20" i="3" s="1"/>
  <c r="I15" i="3" a="1"/>
  <c r="I15" i="3" s="1"/>
  <c r="J15" i="3" s="1" a="1"/>
  <c r="J15" i="3" s="1"/>
  <c r="I16" i="3" a="1"/>
  <c r="I16" i="3" s="1"/>
  <c r="J16" i="3" s="1" a="1"/>
  <c r="J16" i="3" s="1"/>
  <c r="I21" i="3" a="1"/>
  <c r="I21" i="3" s="1"/>
  <c r="J21" i="3" s="1" a="1"/>
  <c r="J21" i="3" s="1"/>
  <c r="I17" i="3" a="1"/>
  <c r="I17" i="3" s="1"/>
  <c r="J17" i="3" s="1" a="1"/>
  <c r="J17" i="3" s="1"/>
  <c r="I9" i="7" l="1"/>
  <c r="J9" i="7" s="1"/>
  <c r="H10" i="7"/>
  <c r="J10" i="7" s="1"/>
  <c r="J8" i="7"/>
  <c r="L17" i="3" a="1"/>
  <c r="L17" i="3" s="1"/>
  <c r="K17" i="3" a="1"/>
  <c r="K17" i="3" s="1"/>
  <c r="K21" i="3" a="1"/>
  <c r="K21" i="3" s="1"/>
  <c r="L21" i="3" a="1"/>
  <c r="L21" i="3" s="1"/>
  <c r="F11" i="3" a="1"/>
  <c r="F11" i="3" s="1"/>
  <c r="F12" i="3" s="1" a="1"/>
  <c r="F12" i="3" s="1"/>
  <c r="E11" i="3" a="1"/>
  <c r="E11" i="3" s="1"/>
  <c r="E12" i="3" s="1" a="1"/>
  <c r="E12" i="3" s="1"/>
  <c r="D12" i="3" a="1"/>
  <c r="D12" i="3" s="1"/>
  <c r="L16" i="3" a="1"/>
  <c r="L16" i="3" s="1"/>
  <c r="K16" i="3" a="1"/>
  <c r="K16" i="3" s="1"/>
  <c r="K15" i="3" a="1"/>
  <c r="K15" i="3" s="1"/>
  <c r="L15" i="3" a="1"/>
  <c r="L15" i="3" s="1"/>
  <c r="L20" i="3" a="1"/>
  <c r="L20" i="3" s="1"/>
  <c r="K20" i="3" a="1"/>
  <c r="K20" i="3" s="1"/>
  <c r="L7" i="7" l="1"/>
  <c r="L8" i="7"/>
  <c r="L9" i="7"/>
  <c r="L10" i="7" s="1"/>
  <c r="F17" i="7" s="1"/>
  <c r="L11" i="7"/>
  <c r="L12" i="7" s="1"/>
  <c r="F23" i="7" s="1"/>
  <c r="L13" i="7" l="1"/>
  <c r="F19" i="7" s="1"/>
  <c r="Y24" i="7"/>
  <c r="L14" i="7" l="1"/>
  <c r="L15" i="7" s="1"/>
  <c r="S16" i="7" s="1"/>
  <c r="T16" i="7" s="1"/>
  <c r="X25" i="7"/>
  <c r="S7" i="7" l="1"/>
  <c r="T7" i="7" s="1"/>
  <c r="U7" i="7" s="1"/>
  <c r="F27" i="7" s="1"/>
  <c r="F31" i="7" s="1"/>
  <c r="F21" i="7"/>
  <c r="L16" i="7"/>
  <c r="U16" i="7"/>
  <c r="F36" i="7" s="1"/>
  <c r="F40" i="7" s="1"/>
  <c r="Z16" i="7"/>
  <c r="AA16" i="7" s="1"/>
  <c r="X19" i="7" s="1"/>
  <c r="Y19" i="7" s="1"/>
  <c r="Z7" i="7" l="1"/>
  <c r="AA7" i="7" s="1"/>
  <c r="X10" i="7" s="1"/>
  <c r="Y10" i="7" s="1"/>
  <c r="Y18" i="7"/>
  <c r="Y9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<sst xmlns="http://schemas.openxmlformats.org/spreadsheetml/2006/main" count="311" uniqueCount="245">
  <si>
    <t>TEST INCREMENTALE DEPTH JUMP [DJa/ DJna]</t>
  </si>
  <si>
    <t>FORZA ESPLOSIVA   DINAMICA MASSIMA</t>
  </si>
  <si>
    <t>H CADUTA</t>
  </si>
  <si>
    <t>ALTEZZA (cm)</t>
  </si>
  <si>
    <t>GCT (s)</t>
  </si>
  <si>
    <t>1° REPS (cm)</t>
  </si>
  <si>
    <t>2° REPS (cm)</t>
  </si>
  <si>
    <t>3° REPS (cm)</t>
  </si>
  <si>
    <t>BEST H (cm)</t>
  </si>
  <si>
    <t>1° REPS (s)</t>
  </si>
  <si>
    <t>2° REPS (s)</t>
  </si>
  <si>
    <t>3° REPS (s)</t>
  </si>
  <si>
    <t>BEST GCT      (+ basso) (s)</t>
  </si>
  <si>
    <t>30 cm</t>
  </si>
  <si>
    <t>45 cm</t>
  </si>
  <si>
    <t>60 cm</t>
  </si>
  <si>
    <t>BATTERIA CMJ (3 salti)</t>
  </si>
  <si>
    <t>75 cm</t>
  </si>
  <si>
    <t>FORZA ESPLOSIVA ELASTICA</t>
  </si>
  <si>
    <t>TEST</t>
  </si>
  <si>
    <t>MEDIA (cm)</t>
  </si>
  <si>
    <t>90 cm</t>
  </si>
  <si>
    <t>105 cm</t>
  </si>
  <si>
    <t>PEDANA CHRONOJUMP</t>
  </si>
  <si>
    <t>Diff DX/SX</t>
  </si>
  <si>
    <t>% BW</t>
  </si>
  <si>
    <t>CARICO (kg)</t>
  </si>
  <si>
    <t>REALE (kg)</t>
  </si>
  <si>
    <t>SJ</t>
  </si>
  <si>
    <t>FORZA REATTIVA</t>
  </si>
  <si>
    <t>TEST [RJ(unlimited)]</t>
  </si>
  <si>
    <t>H AVG (cm)</t>
  </si>
  <si>
    <t>GCT AVG (s)</t>
  </si>
  <si>
    <t>RSI AVG (m/s)</t>
  </si>
  <si>
    <t>SJi</t>
  </si>
  <si>
    <t>FVP - SQUAT [VITRUVE]</t>
  </si>
  <si>
    <t>FORZA MASSIMA</t>
  </si>
  <si>
    <t>PESO</t>
  </si>
  <si>
    <t>h SJ 0kg</t>
  </si>
  <si>
    <t>Vv 0kg</t>
  </si>
  <si>
    <t>Tvolo 0kg</t>
  </si>
  <si>
    <t>Vv jump</t>
  </si>
  <si>
    <t>Hjum</t>
  </si>
  <si>
    <t>Tvolo</t>
  </si>
  <si>
    <t>all bip pre</t>
  </si>
  <si>
    <t>Ebw</t>
  </si>
  <si>
    <t>%HSj</t>
  </si>
  <si>
    <t>%VvSj</t>
  </si>
  <si>
    <t>all bip post</t>
  </si>
  <si>
    <t>EFF</t>
  </si>
  <si>
    <t>h jump SJBW</t>
  </si>
  <si>
    <t>all monop pre</t>
  </si>
  <si>
    <t>all mon post</t>
  </si>
  <si>
    <t>teorico</t>
  </si>
  <si>
    <t>%Ebw</t>
  </si>
  <si>
    <t>% di Vv</t>
  </si>
  <si>
    <t>VV  SJ %bw</t>
  </si>
  <si>
    <t>Vv</t>
  </si>
  <si>
    <t>Tv</t>
  </si>
  <si>
    <t>% di SJ</t>
  </si>
  <si>
    <t>h SJ %bw</t>
  </si>
  <si>
    <t>of the optimal</t>
  </si>
  <si>
    <t>F-v Profile for 90° =</t>
  </si>
  <si>
    <t xml:space="preserve"> of the optimal</t>
  </si>
  <si>
    <t>F-v Profile for 30° =</t>
  </si>
  <si>
    <t>y</t>
  </si>
  <si>
    <t>x</t>
  </si>
  <si>
    <t>2 points</t>
  </si>
  <si>
    <t>y=ax+b</t>
  </si>
  <si>
    <t>Sfv opt (N.s/m/kg)</t>
  </si>
  <si>
    <t>V0</t>
  </si>
  <si>
    <t>b (F0)</t>
  </si>
  <si>
    <t>relation fv opt avec mm Pmax</t>
  </si>
  <si>
    <t>pente (% PenteOPT)</t>
  </si>
  <si>
    <t>pente OPT</t>
  </si>
  <si>
    <t>X</t>
  </si>
  <si>
    <t>Pmax (W/kg)</t>
  </si>
  <si>
    <t>Pmax (W)</t>
  </si>
  <si>
    <t>alpha</t>
  </si>
  <si>
    <t>Vo (m/s)</t>
  </si>
  <si>
    <t>Sfv (N.s/m/kg)</t>
  </si>
  <si>
    <t>Sfv (N.s/m)</t>
  </si>
  <si>
    <t>Fo (N/kg)</t>
  </si>
  <si>
    <t>Fo (N)</t>
  </si>
  <si>
    <t>r</t>
  </si>
  <si>
    <t>r²</t>
  </si>
  <si>
    <t>P (W)</t>
  </si>
  <si>
    <t>V (m.s-1)</t>
  </si>
  <si>
    <t>F (N)</t>
  </si>
  <si>
    <t>Hmax (m)</t>
  </si>
  <si>
    <t>H Trial3 (m)</t>
  </si>
  <si>
    <t>H Trial2 (m)</t>
  </si>
  <si>
    <t>H Trial1 (m)</t>
  </si>
  <si>
    <t>Total Mass (kg)</t>
  </si>
  <si>
    <t>Additional Mass (kg)</t>
  </si>
  <si>
    <t>Condition (% BW)</t>
  </si>
  <si>
    <t xml:space="preserve">Push-off distance Hpo (m) : </t>
  </si>
  <si>
    <t xml:space="preserve">Initial height Hi (m) : </t>
  </si>
  <si>
    <t>Firstname</t>
  </si>
  <si>
    <t xml:space="preserve">Lower limb length (m) : </t>
  </si>
  <si>
    <t xml:space="preserve">Body Mass (kg) : </t>
  </si>
  <si>
    <t>NAME</t>
  </si>
  <si>
    <t>Time</t>
  </si>
  <si>
    <t>BACK OFFICE DON'T MODIFY</t>
  </si>
  <si>
    <t>Date</t>
  </si>
  <si>
    <t>ExtraBW</t>
  </si>
  <si>
    <t>PASSWORD BLOCCO FOGLIO: 2BW</t>
  </si>
  <si>
    <t>SESSO:</t>
  </si>
  <si>
    <t>COGNOME NOME:</t>
  </si>
  <si>
    <t>ATLETI</t>
  </si>
  <si>
    <t>LIVELLO</t>
  </si>
  <si>
    <t>CMJ - Countermovemt Jump</t>
  </si>
  <si>
    <t>SJ - Squat Jump</t>
  </si>
  <si>
    <t>Eccellente</t>
  </si>
  <si>
    <t>Sopra la Media</t>
  </si>
  <si>
    <t>Nella Media</t>
  </si>
  <si>
    <t xml:space="preserve">Sotto la Media </t>
  </si>
  <si>
    <t>Molto Basso</t>
  </si>
  <si>
    <t>ALTEZZA (cm):</t>
  </si>
  <si>
    <t>PESO (kg):</t>
  </si>
  <si>
    <t>AVG GCT (s)</t>
  </si>
  <si>
    <t>LUNGHEZZA GAMBA CON PIEDE ESTESO (cm):</t>
  </si>
  <si>
    <t>ALTEZZA FIANCHI DURANTE FLESSIONE SJ (cm):</t>
  </si>
  <si>
    <t>AVG H (cm)</t>
  </si>
  <si>
    <t>COMUNE / ATLETA:</t>
  </si>
  <si>
    <t>COMUNE</t>
  </si>
  <si>
    <t>SJ + 6 cm</t>
  </si>
  <si>
    <t>CMJ + 6 cm</t>
  </si>
  <si>
    <t>Uomo</t>
  </si>
  <si>
    <t>&gt;50 cm</t>
  </si>
  <si>
    <t>44 - 49,9 cm</t>
  </si>
  <si>
    <t>38 - 43,9 cm</t>
  </si>
  <si>
    <t>32 - 37,9 cm</t>
  </si>
  <si>
    <t>&lt;31,9 cm</t>
  </si>
  <si>
    <t>Donna</t>
  </si>
  <si>
    <t>&gt;40 cm</t>
  </si>
  <si>
    <t>34 - 39,9 cm</t>
  </si>
  <si>
    <t>28 - 33,9 cm</t>
  </si>
  <si>
    <t>22 - 27,9 cm</t>
  </si>
  <si>
    <t>&lt;21,9 cm</t>
  </si>
  <si>
    <t>&gt;35 cm</t>
  </si>
  <si>
    <t>32 - 34,9 cm</t>
  </si>
  <si>
    <t>26 - 31,9 cm</t>
  </si>
  <si>
    <t>20 - 25,9 cm</t>
  </si>
  <si>
    <t>&lt;19,9 cm</t>
  </si>
  <si>
    <t>&gt;65 cm</t>
  </si>
  <si>
    <t>58 - 64,9 cm</t>
  </si>
  <si>
    <t>52 - 57,9 cm</t>
  </si>
  <si>
    <t>46 - 51,9 cm</t>
  </si>
  <si>
    <t>&lt;45,9 cm</t>
  </si>
  <si>
    <t>&gt;55 cm</t>
  </si>
  <si>
    <t>48 - 54,9 cm</t>
  </si>
  <si>
    <t>42 - 47,9 cm</t>
  </si>
  <si>
    <t>36 - 41,9 cm</t>
  </si>
  <si>
    <t>&lt;35,9 cm</t>
  </si>
  <si>
    <t>40 - 47,9 cm</t>
  </si>
  <si>
    <t>&lt;33,9 cm</t>
  </si>
  <si>
    <t>&gt;45 cm</t>
  </si>
  <si>
    <t>38 - 44,9 cm</t>
  </si>
  <si>
    <t>&lt;25,9 cm</t>
  </si>
  <si>
    <t>40% 1RM</t>
  </si>
  <si>
    <t>50% 1RM</t>
  </si>
  <si>
    <t>60% 1RM</t>
  </si>
  <si>
    <t>70% 1RM</t>
  </si>
  <si>
    <t>80% 1RM</t>
  </si>
  <si>
    <t>90% 1RM</t>
  </si>
  <si>
    <t>100% 1RM</t>
  </si>
  <si>
    <t>UOMO</t>
  </si>
  <si>
    <t>TEST STIFFNESS BL (10 salti)</t>
  </si>
  <si>
    <t>BIPODALICO BL</t>
  </si>
  <si>
    <t>SL CMJ DX BL [slCMJright]</t>
  </si>
  <si>
    <t>SL CMJ SX BL [slCMJleft]</t>
  </si>
  <si>
    <t>DEPTH JUMP INCREMENTALE BL:</t>
  </si>
  <si>
    <t>VELOCITA’ MEDIA [AVG MPV] (3 REPS)</t>
  </si>
  <si>
    <t>CMJ OPEN SQUAT BL [ABK]</t>
  </si>
  <si>
    <t>CMJ HALF SQUAT NA [CMJ]</t>
  </si>
  <si>
    <t>TEST SQUAT JUMP INCREMENTALE [SJi]</t>
  </si>
  <si>
    <t>BW %</t>
  </si>
  <si>
    <t>LSI - LIMB SYMMETRY INDEX</t>
  </si>
  <si>
    <t>&gt;5%</t>
  </si>
  <si>
    <t>Simmetria Ottimale</t>
  </si>
  <si>
    <t>Non Simmetrico</t>
  </si>
  <si>
    <t>Simmetria Moderata</t>
  </si>
  <si>
    <t>5% &lt; x &lt; 10%</t>
  </si>
  <si>
    <t>&lt;10%</t>
  </si>
  <si>
    <t>BOSCO: alzo l'altezza di caduta finchè miglioro l'altezza di salto. (BEST H)</t>
  </si>
  <si>
    <t>STIMA 1RM VITRUVE</t>
  </si>
  <si>
    <t>BL: Braccia Libere                                                                                                                                                                                                                                         NA: No Arms</t>
  </si>
  <si>
    <t>1RM/BW</t>
  </si>
  <si>
    <t xml:space="preserve">AVG MPV a vari angoli </t>
  </si>
  <si>
    <t>Carico</t>
  </si>
  <si>
    <t>Squat Parallelo</t>
  </si>
  <si>
    <t>Mezzo Squat</t>
  </si>
  <si>
    <t>0.88 ± 0.06 m/s</t>
  </si>
  <si>
    <t>0.78 ± 0.06 m/s</t>
  </si>
  <si>
    <t>0.69 ± 0.06 m/s</t>
  </si>
  <si>
    <t>0.59 ± 0.05 m/s</t>
  </si>
  <si>
    <t>0.50 ± 0.05 m/s</t>
  </si>
  <si>
    <t>0.40 ± 0.04 m/s</t>
  </si>
  <si>
    <t>0.30 ± 0.04 m/s</t>
  </si>
  <si>
    <t>0.77 ± 0.07 m/s</t>
  </si>
  <si>
    <t>0.68 ± 0.06 m/s</t>
  </si>
  <si>
    <t>0.59 ± 0.06 m/s</t>
  </si>
  <si>
    <t>0.51 ± 0.05 m/s</t>
  </si>
  <si>
    <t>0.43 ± 0.05 m/s</t>
  </si>
  <si>
    <t>0.36 ± 0.04 m/s</t>
  </si>
  <si>
    <t>EUR (Eccentric Utilization Ratio) - CMJ vs SJ</t>
  </si>
  <si>
    <t>BACK SQUAT (1RM)</t>
  </si>
  <si>
    <t>DISCIPLINA</t>
  </si>
  <si>
    <t>Sport di SITUAZIONE</t>
  </si>
  <si>
    <t>Sport di FORZA</t>
  </si>
  <si>
    <t>Sport di RESISTENZA</t>
  </si>
  <si>
    <t>1.6 - 2.0</t>
  </si>
  <si>
    <t>2.0 - 2.4</t>
  </si>
  <si>
    <t>1.2 - 1.4</t>
  </si>
  <si>
    <t>1.2 - 1.6</t>
  </si>
  <si>
    <t>1.6 - 1.8</t>
  </si>
  <si>
    <t>0.8 - 1.0</t>
  </si>
  <si>
    <t>AVG Fmax per discipline</t>
  </si>
  <si>
    <t>SAM</t>
  </si>
  <si>
    <t>SDA</t>
  </si>
  <si>
    <t>TEST VERTC (3 salti)</t>
  </si>
  <si>
    <t>BMI:</t>
  </si>
  <si>
    <t>ASIMMETRIA GAMBA</t>
  </si>
  <si>
    <t>COSICA DX</t>
  </si>
  <si>
    <t>COSCIA SX</t>
  </si>
  <si>
    <t>COSCIA DIFF</t>
  </si>
  <si>
    <t>COSCIA %</t>
  </si>
  <si>
    <t>REACH 2:</t>
  </si>
  <si>
    <t>REACH 1:</t>
  </si>
  <si>
    <t>ELEVAZIONE SAM</t>
  </si>
  <si>
    <t>ELEVAZIONE SDA</t>
  </si>
  <si>
    <t>DIFF   SDA/SAM</t>
  </si>
  <si>
    <r>
      <rPr>
        <b/>
        <sz val="10"/>
        <color rgb="FF000000"/>
        <rFont val="Calibri"/>
        <family val="2"/>
      </rPr>
      <t xml:space="preserve">BMI </t>
    </r>
    <r>
      <rPr>
        <b/>
        <sz val="10"/>
        <color indexed="8"/>
        <rFont val="Calibri"/>
        <family val="2"/>
      </rPr>
      <t xml:space="preserve">≤ 18,5 = </t>
    </r>
    <r>
      <rPr>
        <b/>
        <sz val="10"/>
        <color rgb="FF00B0F0"/>
        <rFont val="Calibri"/>
        <family val="2"/>
      </rPr>
      <t>SOTTOPESO</t>
    </r>
    <r>
      <rPr>
        <b/>
        <sz val="10"/>
        <color theme="1"/>
        <rFont val="Calibri"/>
        <family val="2"/>
      </rPr>
      <t xml:space="preserve">/ </t>
    </r>
    <r>
      <rPr>
        <b/>
        <sz val="10"/>
        <color indexed="8"/>
        <rFont val="Calibri"/>
        <family val="2"/>
      </rPr>
      <t xml:space="preserve">18,5 - 24,9 = </t>
    </r>
    <r>
      <rPr>
        <b/>
        <sz val="10"/>
        <color rgb="FF00B050"/>
        <rFont val="Calibri"/>
        <family val="2"/>
      </rPr>
      <t>NORMOPESO</t>
    </r>
    <r>
      <rPr>
        <b/>
        <sz val="10"/>
        <color theme="1"/>
        <rFont val="Calibri"/>
        <family val="2"/>
      </rPr>
      <t>/</t>
    </r>
    <r>
      <rPr>
        <b/>
        <sz val="10"/>
        <color rgb="FF00B050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 xml:space="preserve">24,9 - 29,9 = </t>
    </r>
    <r>
      <rPr>
        <b/>
        <sz val="10"/>
        <color rgb="FFFFFF00"/>
        <rFont val="Calibri"/>
        <family val="2"/>
      </rPr>
      <t>SOVRAPPESO</t>
    </r>
    <r>
      <rPr>
        <b/>
        <sz val="10"/>
        <color theme="1"/>
        <rFont val="Calibri"/>
        <family val="2"/>
      </rPr>
      <t>/</t>
    </r>
    <r>
      <rPr>
        <b/>
        <sz val="10"/>
        <color rgb="FFFFFF00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 xml:space="preserve">29,9 - 34,9 = </t>
    </r>
    <r>
      <rPr>
        <b/>
        <sz val="10"/>
        <color rgb="FFFFC000"/>
        <rFont val="Calibri"/>
        <family val="2"/>
      </rPr>
      <t>OBESO 1°</t>
    </r>
    <r>
      <rPr>
        <b/>
        <sz val="10"/>
        <color theme="1"/>
        <rFont val="Calibri"/>
        <family val="2"/>
      </rPr>
      <t>/</t>
    </r>
    <r>
      <rPr>
        <b/>
        <sz val="10"/>
        <color rgb="FFFFC000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 xml:space="preserve">≥ 35 = </t>
    </r>
    <r>
      <rPr>
        <b/>
        <sz val="10"/>
        <color rgb="FFFF0000"/>
        <rFont val="Calibri"/>
        <family val="2"/>
      </rPr>
      <t>OBESO 2°</t>
    </r>
  </si>
  <si>
    <t>TIME TO PEAK VELOCITY [AVG TTPV] (ms) (3 REPS)</t>
  </si>
  <si>
    <t>DATA NASCITA:</t>
  </si>
  <si>
    <t>ETÀ:</t>
  </si>
  <si>
    <t>CMJ HALF SQUAT BL [CMJ]</t>
  </si>
  <si>
    <t>CMJ OPEN SQUAT NA [ABK]</t>
  </si>
  <si>
    <t>DATA TEST:</t>
  </si>
  <si>
    <t>DEFICIT FORZA DINAMICA MASSIMA</t>
  </si>
  <si>
    <t>Nel caso in cui non avessi tutti i dati perché l'atleta non è riuscit° a completare tutta la progressione, sblocca il foglio ed elimina i dati relativi alla F (N) e V (m.s-1), correlati alla percentuale di peso non ultimata.</t>
  </si>
  <si>
    <t>RUOLO:</t>
  </si>
  <si>
    <t>PALLEGGIATORE</t>
  </si>
  <si>
    <t>TEST COLLI: Inizio altezza di caduta ABK + 6 cm e incremento l'altezza di caduta fin quando l'altezza di salto raggiunta è uguale o maggiore all'ABK. ALLENAMENTO COLLI: Cadrò dalla prima altezza non "gestita" rispetto all'ABK.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</si>
</sst>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yy\ &quot;ANNI&quot;"/>
  </numFmts>
  <fonts count="54">
    <font>
      <sz val="12"/>
      <color indexed="8"/>
      <name val="Aptos Narrow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3"/>
      <color indexed="16"/>
      <name val="Calibri"/>
      <family val="2"/>
    </font>
    <font>
      <b/>
      <sz val="13"/>
      <color indexed="8"/>
      <name val="Calibri"/>
      <family val="2"/>
    </font>
    <font>
      <b/>
      <sz val="11"/>
      <color indexed="16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indexed="8"/>
      <name val="Aptos Narrow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15"/>
      <name val="Calibri"/>
      <family val="2"/>
    </font>
    <font>
      <b/>
      <sz val="10"/>
      <color indexed="9"/>
      <name val="Calibri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b/>
      <sz val="11"/>
      <color indexed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sz val="12"/>
      <color theme="0"/>
      <name val="Calibri"/>
      <family val="2"/>
    </font>
    <font>
      <b/>
      <sz val="13"/>
      <color rgb="FFFF0000"/>
      <name val="Calibri"/>
      <family val="2"/>
    </font>
    <font>
      <b/>
      <sz val="11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8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indexed="16"/>
      <name val="Calibri"/>
      <family val="2"/>
    </font>
    <font>
      <b/>
      <sz val="11"/>
      <color theme="0"/>
      <name val="Calibri"/>
      <family val="2"/>
    </font>
    <font>
      <b/>
      <sz val="10"/>
      <color rgb="FF000000"/>
      <name val="Calibri"/>
      <family val="2"/>
    </font>
    <font>
      <sz val="10"/>
      <color indexed="8"/>
      <name val="Helvetica Neue"/>
    </font>
    <font>
      <b/>
      <sz val="16"/>
      <color rgb="FFFF0000"/>
      <name val="Calibri"/>
      <family val="2"/>
    </font>
    <font>
      <b/>
      <sz val="14"/>
      <color rgb="FF000000"/>
      <name val="Calibri"/>
      <family val="2"/>
    </font>
    <font>
      <b/>
      <sz val="12"/>
      <color indexed="8"/>
      <name val="Calibri"/>
      <family val="2"/>
    </font>
    <font>
      <b/>
      <sz val="20"/>
      <color indexed="8"/>
      <name val="Calibri"/>
      <family val="2"/>
    </font>
    <font>
      <b/>
      <sz val="14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indexed="8"/>
      <name val="Calibri"/>
      <family val="2"/>
    </font>
    <font>
      <b/>
      <sz val="10"/>
      <color rgb="FF00B0F0"/>
      <name val="Calibri"/>
      <family val="2"/>
    </font>
    <font>
      <b/>
      <sz val="10"/>
      <color theme="1"/>
      <name val="Calibri"/>
      <family val="2"/>
    </font>
    <font>
      <b/>
      <sz val="10"/>
      <color rgb="FF00B050"/>
      <name val="Calibri"/>
      <family val="2"/>
    </font>
    <font>
      <b/>
      <sz val="10"/>
      <color rgb="FFFFFF00"/>
      <name val="Calibri"/>
      <family val="2"/>
    </font>
    <font>
      <b/>
      <sz val="10"/>
      <color rgb="FFFFC000"/>
      <name val="Calibri"/>
      <family val="2"/>
    </font>
    <font>
      <b/>
      <sz val="10"/>
      <color rgb="FFFF0000"/>
      <name val="Calibri"/>
      <family val="2"/>
    </font>
    <font>
      <b/>
      <sz val="16"/>
      <color theme="0"/>
      <name val="Calibri"/>
      <family val="2"/>
    </font>
    <font>
      <b/>
      <sz val="20"/>
      <color rgb="FFFF0000"/>
      <name val="Calibri"/>
      <family val="2"/>
    </font>
    <font>
      <b/>
      <i/>
      <sz val="16"/>
      <color theme="1"/>
      <name val="Calibri"/>
      <family val="2"/>
    </font>
    <font>
      <sz val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0000"/>
        <bgColor indexed="64"/>
      </patternFill>
    </fill>
  </fills>
  <borders count="79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rgb="FFEE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EE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13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 applyNumberFormat="0" applyFill="0" applyBorder="0" applyProtection="0"/>
    <xf numFmtId="0" fontId="7" fillId="0" borderId="4"/>
    <xf numFmtId="0" fontId="8" fillId="0" borderId="4" applyNumberFormat="0" applyFill="0" applyBorder="0" applyAlignment="0" applyProtection="0"/>
    <xf numFmtId="9" fontId="7" fillId="0" borderId="4" applyFont="0" applyFill="0" applyBorder="0" applyAlignment="0" applyProtection="0"/>
    <xf numFmtId="9" fontId="9" fillId="0" borderId="0" applyFont="0" applyFill="0" applyBorder="0" applyAlignment="0" applyProtection="0"/>
    <xf numFmtId="0" fontId="35" fillId="0" borderId="4" applyNumberFormat="0" applyFill="0" applyBorder="0" applyProtection="0">
      <alignment vertical="top" wrapText="1"/>
    </xf>
  </cellStyleXfs>
  <cellXfs count="380">
    <xf numFmtId="0" fontId="0" fillId="0" borderId="0" xfId="0"/>
    <xf numFmtId="9" fontId="3" fillId="8" borderId="4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0" borderId="0" xfId="0" applyNumberFormat="1" applyFont="1" applyAlignment="1">
      <alignment horizontal="center"/>
    </xf>
    <xf numFmtId="0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49" fontId="11" fillId="4" borderId="2" xfId="0" applyNumberFormat="1" applyFont="1" applyFill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3" fillId="5" borderId="4" xfId="0" applyNumberFormat="1" applyFont="1" applyFill="1" applyBorder="1" applyAlignment="1">
      <alignment horizontal="center"/>
    </xf>
    <xf numFmtId="2" fontId="11" fillId="4" borderId="5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49" fontId="11" fillId="4" borderId="6" xfId="0" applyNumberFormat="1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9" fontId="11" fillId="4" borderId="2" xfId="0" applyNumberFormat="1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9" fontId="11" fillId="4" borderId="3" xfId="0" applyNumberFormat="1" applyFont="1" applyFill="1" applyBorder="1" applyAlignment="1">
      <alignment horizontal="center"/>
    </xf>
    <xf numFmtId="9" fontId="11" fillId="6" borderId="4" xfId="0" applyNumberFormat="1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9" fontId="11" fillId="4" borderId="1" xfId="0" applyNumberFormat="1" applyFont="1" applyFill="1" applyBorder="1" applyAlignment="1">
      <alignment horizontal="center"/>
    </xf>
    <xf numFmtId="9" fontId="3" fillId="4" borderId="7" xfId="0" applyNumberFormat="1" applyFont="1" applyFill="1" applyBorder="1" applyAlignment="1">
      <alignment horizontal="center"/>
    </xf>
    <xf numFmtId="9" fontId="3" fillId="4" borderId="2" xfId="0" applyNumberFormat="1" applyFont="1" applyFill="1" applyBorder="1" applyAlignment="1">
      <alignment horizontal="center"/>
    </xf>
    <xf numFmtId="2" fontId="12" fillId="7" borderId="4" xfId="0" applyNumberFormat="1" applyFont="1" applyFill="1" applyBorder="1" applyAlignment="1">
      <alignment horizontal="center"/>
    </xf>
    <xf numFmtId="165" fontId="12" fillId="7" borderId="4" xfId="0" applyNumberFormat="1" applyFont="1" applyFill="1" applyBorder="1" applyAlignment="1">
      <alignment horizontal="center"/>
    </xf>
    <xf numFmtId="9" fontId="12" fillId="7" borderId="4" xfId="0" applyNumberFormat="1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2" fontId="11" fillId="4" borderId="1" xfId="0" applyNumberFormat="1" applyFont="1" applyFill="1" applyBorder="1" applyAlignment="1">
      <alignment horizontal="center"/>
    </xf>
    <xf numFmtId="2" fontId="11" fillId="4" borderId="8" xfId="0" applyNumberFormat="1" applyFont="1" applyFill="1" applyBorder="1" applyAlignment="1">
      <alignment horizontal="center"/>
    </xf>
    <xf numFmtId="2" fontId="11" fillId="6" borderId="4" xfId="0" applyNumberFormat="1" applyFont="1" applyFill="1" applyBorder="1" applyAlignment="1">
      <alignment horizontal="center"/>
    </xf>
    <xf numFmtId="2" fontId="11" fillId="4" borderId="9" xfId="0" applyNumberFormat="1" applyFont="1" applyFill="1" applyBorder="1" applyAlignment="1">
      <alignment horizontal="center"/>
    </xf>
    <xf numFmtId="9" fontId="11" fillId="5" borderId="4" xfId="0" applyNumberFormat="1" applyFont="1" applyFill="1" applyBorder="1" applyAlignment="1">
      <alignment horizontal="center"/>
    </xf>
    <xf numFmtId="9" fontId="11" fillId="4" borderId="9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9" fontId="10" fillId="11" borderId="1" xfId="0" applyNumberFormat="1" applyFont="1" applyFill="1" applyBorder="1" applyAlignment="1">
      <alignment horizontal="center"/>
    </xf>
    <xf numFmtId="0" fontId="10" fillId="11" borderId="1" xfId="0" applyNumberFormat="1" applyFont="1" applyFill="1" applyBorder="1" applyAlignment="1">
      <alignment horizontal="center"/>
    </xf>
    <xf numFmtId="49" fontId="10" fillId="11" borderId="2" xfId="0" applyNumberFormat="1" applyFont="1" applyFill="1" applyBorder="1" applyAlignment="1">
      <alignment horizontal="center"/>
    </xf>
    <xf numFmtId="49" fontId="10" fillId="11" borderId="1" xfId="0" applyNumberFormat="1" applyFont="1" applyFill="1" applyBorder="1" applyAlignment="1">
      <alignment horizontal="center"/>
    </xf>
    <xf numFmtId="165" fontId="10" fillId="11" borderId="1" xfId="0" applyNumberFormat="1" applyFont="1" applyFill="1" applyBorder="1" applyAlignment="1">
      <alignment horizontal="center"/>
    </xf>
    <xf numFmtId="49" fontId="10" fillId="11" borderId="3" xfId="0" applyNumberFormat="1" applyFont="1" applyFill="1" applyBorder="1" applyAlignment="1">
      <alignment horizontal="center"/>
    </xf>
    <xf numFmtId="0" fontId="10" fillId="11" borderId="4" xfId="0" applyNumberFormat="1" applyFont="1" applyFill="1" applyBorder="1" applyAlignment="1">
      <alignment horizontal="center"/>
    </xf>
    <xf numFmtId="0" fontId="10" fillId="11" borderId="5" xfId="0" applyNumberFormat="1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2" fontId="10" fillId="11" borderId="1" xfId="0" applyNumberFormat="1" applyFont="1" applyFill="1" applyBorder="1" applyAlignment="1">
      <alignment horizontal="center"/>
    </xf>
    <xf numFmtId="0" fontId="3" fillId="5" borderId="4" xfId="0" applyNumberFormat="1" applyFont="1" applyFill="1" applyBorder="1" applyAlignment="1" applyProtection="1">
      <alignment horizontal="center"/>
      <protection locked="0"/>
    </xf>
    <xf numFmtId="49" fontId="3" fillId="5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2" fontId="3" fillId="5" borderId="4" xfId="0" applyNumberFormat="1" applyFont="1" applyFill="1" applyBorder="1" applyAlignment="1">
      <alignment horizontal="center"/>
    </xf>
    <xf numFmtId="0" fontId="29" fillId="14" borderId="43" xfId="0" applyFont="1" applyFill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14" borderId="44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14" borderId="48" xfId="0" applyFont="1" applyFill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13" fillId="9" borderId="28" xfId="1" applyFont="1" applyFill="1" applyBorder="1" applyAlignment="1">
      <alignment horizontal="center" vertical="center"/>
    </xf>
    <xf numFmtId="49" fontId="14" fillId="9" borderId="27" xfId="1" applyNumberFormat="1" applyFont="1" applyFill="1" applyBorder="1" applyAlignment="1">
      <alignment horizontal="center" vertical="center"/>
    </xf>
    <xf numFmtId="0" fontId="14" fillId="9" borderId="4" xfId="1" applyFont="1" applyFill="1" applyAlignment="1">
      <alignment horizontal="center" vertical="center"/>
    </xf>
    <xf numFmtId="0" fontId="14" fillId="10" borderId="4" xfId="1" applyFont="1" applyFill="1" applyAlignment="1">
      <alignment horizontal="center" vertical="center"/>
    </xf>
    <xf numFmtId="0" fontId="13" fillId="9" borderId="20" xfId="1" applyFont="1" applyFill="1" applyBorder="1" applyAlignment="1">
      <alignment horizontal="center" vertical="center"/>
    </xf>
    <xf numFmtId="0" fontId="14" fillId="9" borderId="18" xfId="1" applyFont="1" applyFill="1" applyBorder="1" applyAlignment="1">
      <alignment horizontal="center" vertical="center"/>
    </xf>
    <xf numFmtId="0" fontId="13" fillId="9" borderId="19" xfId="1" applyFont="1" applyFill="1" applyBorder="1" applyAlignment="1">
      <alignment horizontal="center" vertical="center"/>
    </xf>
    <xf numFmtId="0" fontId="14" fillId="9" borderId="21" xfId="1" applyFont="1" applyFill="1" applyBorder="1" applyAlignment="1">
      <alignment horizontal="center" vertical="center"/>
    </xf>
    <xf numFmtId="0" fontId="15" fillId="9" borderId="4" xfId="2" applyFont="1" applyFill="1" applyAlignment="1" applyProtection="1">
      <alignment horizontal="center" vertical="center"/>
    </xf>
    <xf numFmtId="0" fontId="14" fillId="9" borderId="10" xfId="1" applyFont="1" applyFill="1" applyBorder="1" applyAlignment="1">
      <alignment horizontal="center" vertical="center"/>
    </xf>
    <xf numFmtId="0" fontId="16" fillId="9" borderId="28" xfId="1" applyFont="1" applyFill="1" applyBorder="1" applyAlignment="1">
      <alignment horizontal="center" vertical="center"/>
    </xf>
    <xf numFmtId="0" fontId="16" fillId="9" borderId="30" xfId="1" applyFont="1" applyFill="1" applyBorder="1" applyAlignment="1">
      <alignment horizontal="center" vertical="center"/>
    </xf>
    <xf numFmtId="0" fontId="16" fillId="9" borderId="29" xfId="1" applyFont="1" applyFill="1" applyBorder="1" applyAlignment="1">
      <alignment horizontal="center" vertical="center"/>
    </xf>
    <xf numFmtId="2" fontId="17" fillId="9" borderId="27" xfId="1" applyNumberFormat="1" applyFont="1" applyFill="1" applyBorder="1" applyAlignment="1">
      <alignment horizontal="center" vertical="center"/>
    </xf>
    <xf numFmtId="165" fontId="14" fillId="10" borderId="4" xfId="1" applyNumberFormat="1" applyFont="1" applyFill="1" applyAlignment="1">
      <alignment horizontal="center" vertical="center"/>
    </xf>
    <xf numFmtId="2" fontId="14" fillId="10" borderId="4" xfId="1" applyNumberFormat="1" applyFont="1" applyFill="1" applyAlignment="1">
      <alignment horizontal="center" vertical="center"/>
    </xf>
    <xf numFmtId="166" fontId="10" fillId="10" borderId="4" xfId="3" applyNumberFormat="1" applyFont="1" applyFill="1" applyAlignment="1" applyProtection="1">
      <alignment horizontal="center" vertical="center"/>
    </xf>
    <xf numFmtId="9" fontId="18" fillId="9" borderId="19" xfId="1" applyNumberFormat="1" applyFont="1" applyFill="1" applyBorder="1" applyAlignment="1">
      <alignment horizontal="center" vertical="center"/>
    </xf>
    <xf numFmtId="164" fontId="19" fillId="9" borderId="25" xfId="3" applyNumberFormat="1" applyFont="1" applyFill="1" applyBorder="1" applyAlignment="1" applyProtection="1">
      <alignment horizontal="center" vertical="center"/>
    </xf>
    <xf numFmtId="0" fontId="20" fillId="9" borderId="25" xfId="1" applyFont="1" applyFill="1" applyBorder="1" applyAlignment="1">
      <alignment horizontal="center" vertical="center"/>
    </xf>
    <xf numFmtId="0" fontId="17" fillId="9" borderId="25" xfId="1" applyFont="1" applyFill="1" applyBorder="1" applyAlignment="1">
      <alignment horizontal="center" vertical="center"/>
    </xf>
    <xf numFmtId="164" fontId="14" fillId="9" borderId="25" xfId="1" applyNumberFormat="1" applyFont="1" applyFill="1" applyBorder="1" applyAlignment="1">
      <alignment horizontal="center" vertical="center"/>
    </xf>
    <xf numFmtId="2" fontId="14" fillId="9" borderId="25" xfId="1" applyNumberFormat="1" applyFont="1" applyFill="1" applyBorder="1" applyAlignment="1">
      <alignment horizontal="center" vertical="center"/>
    </xf>
    <xf numFmtId="1" fontId="14" fillId="9" borderId="24" xfId="1" applyNumberFormat="1" applyFont="1" applyFill="1" applyBorder="1" applyAlignment="1">
      <alignment horizontal="center" vertical="center"/>
    </xf>
    <xf numFmtId="2" fontId="17" fillId="9" borderId="21" xfId="1" applyNumberFormat="1" applyFont="1" applyFill="1" applyBorder="1" applyAlignment="1">
      <alignment horizontal="center" vertical="center"/>
    </xf>
    <xf numFmtId="1" fontId="17" fillId="9" borderId="21" xfId="1" applyNumberFormat="1" applyFont="1" applyFill="1" applyBorder="1" applyAlignment="1">
      <alignment horizontal="center" vertical="center"/>
    </xf>
    <xf numFmtId="164" fontId="17" fillId="9" borderId="21" xfId="1" applyNumberFormat="1" applyFont="1" applyFill="1" applyBorder="1" applyAlignment="1">
      <alignment horizontal="center" vertical="center"/>
    </xf>
    <xf numFmtId="0" fontId="18" fillId="9" borderId="20" xfId="1" applyFont="1" applyFill="1" applyBorder="1" applyAlignment="1">
      <alignment horizontal="center" vertical="center"/>
    </xf>
    <xf numFmtId="0" fontId="18" fillId="9" borderId="23" xfId="1" applyFont="1" applyFill="1" applyBorder="1" applyAlignment="1">
      <alignment horizontal="center" vertical="center"/>
    </xf>
    <xf numFmtId="164" fontId="19" fillId="9" borderId="23" xfId="3" applyNumberFormat="1" applyFont="1" applyFill="1" applyBorder="1" applyAlignment="1" applyProtection="1">
      <alignment horizontal="center" vertical="center"/>
    </xf>
    <xf numFmtId="0" fontId="14" fillId="9" borderId="23" xfId="1" applyFont="1" applyFill="1" applyBorder="1" applyAlignment="1">
      <alignment horizontal="center" vertical="center"/>
    </xf>
    <xf numFmtId="164" fontId="14" fillId="9" borderId="23" xfId="1" applyNumberFormat="1" applyFont="1" applyFill="1" applyBorder="1" applyAlignment="1">
      <alignment horizontal="center" vertical="center"/>
    </xf>
    <xf numFmtId="2" fontId="14" fillId="9" borderId="23" xfId="1" applyNumberFormat="1" applyFont="1" applyFill="1" applyBorder="1" applyAlignment="1">
      <alignment horizontal="center" vertical="center"/>
    </xf>
    <xf numFmtId="1" fontId="14" fillId="9" borderId="22" xfId="1" applyNumberFormat="1" applyFont="1" applyFill="1" applyBorder="1" applyAlignment="1">
      <alignment horizontal="center" vertical="center"/>
    </xf>
    <xf numFmtId="0" fontId="18" fillId="9" borderId="4" xfId="1" applyFont="1" applyFill="1" applyAlignment="1">
      <alignment horizontal="center" vertical="center"/>
    </xf>
    <xf numFmtId="164" fontId="19" fillId="9" borderId="4" xfId="3" applyNumberFormat="1" applyFont="1" applyFill="1" applyBorder="1" applyAlignment="1" applyProtection="1">
      <alignment horizontal="center" vertical="center"/>
    </xf>
    <xf numFmtId="164" fontId="14" fillId="9" borderId="4" xfId="1" applyNumberFormat="1" applyFont="1" applyFill="1" applyAlignment="1">
      <alignment horizontal="center" vertical="center"/>
    </xf>
    <xf numFmtId="2" fontId="14" fillId="9" borderId="4" xfId="1" applyNumberFormat="1" applyFont="1" applyFill="1" applyAlignment="1">
      <alignment horizontal="center" vertical="center"/>
    </xf>
    <xf numFmtId="1" fontId="14" fillId="9" borderId="4" xfId="1" applyNumberFormat="1" applyFont="1" applyFill="1" applyAlignment="1">
      <alignment horizontal="center" vertical="center"/>
    </xf>
    <xf numFmtId="164" fontId="17" fillId="9" borderId="18" xfId="1" applyNumberFormat="1" applyFont="1" applyFill="1" applyBorder="1" applyAlignment="1">
      <alignment horizontal="center" vertical="center"/>
    </xf>
    <xf numFmtId="0" fontId="14" fillId="9" borderId="15" xfId="1" applyFont="1" applyFill="1" applyBorder="1" applyAlignment="1">
      <alignment horizontal="center" vertical="center"/>
    </xf>
    <xf numFmtId="0" fontId="14" fillId="9" borderId="13" xfId="1" applyFont="1" applyFill="1" applyBorder="1" applyAlignment="1">
      <alignment horizontal="center" vertical="center"/>
    </xf>
    <xf numFmtId="1" fontId="14" fillId="10" borderId="4" xfId="1" applyNumberFormat="1" applyFont="1" applyFill="1" applyAlignment="1">
      <alignment horizontal="center" vertical="center"/>
    </xf>
    <xf numFmtId="164" fontId="14" fillId="10" borderId="4" xfId="1" applyNumberFormat="1" applyFont="1" applyFill="1" applyAlignment="1">
      <alignment horizontal="center" vertical="center"/>
    </xf>
    <xf numFmtId="0" fontId="14" fillId="9" borderId="16" xfId="1" applyFont="1" applyFill="1" applyBorder="1" applyAlignment="1">
      <alignment horizontal="center" vertical="center"/>
    </xf>
    <xf numFmtId="0" fontId="14" fillId="9" borderId="17" xfId="1" applyFont="1" applyFill="1" applyBorder="1" applyAlignment="1">
      <alignment horizontal="center" vertical="center"/>
    </xf>
    <xf numFmtId="0" fontId="14" fillId="9" borderId="14" xfId="1" applyFont="1" applyFill="1" applyBorder="1" applyAlignment="1">
      <alignment horizontal="center" vertical="center"/>
    </xf>
    <xf numFmtId="0" fontId="14" fillId="9" borderId="11" xfId="1" applyFont="1" applyFill="1" applyBorder="1" applyAlignment="1">
      <alignment horizontal="center" vertical="center"/>
    </xf>
    <xf numFmtId="0" fontId="14" fillId="9" borderId="12" xfId="1" applyFont="1" applyFill="1" applyBorder="1" applyAlignment="1">
      <alignment horizontal="center" vertical="center"/>
    </xf>
    <xf numFmtId="0" fontId="17" fillId="9" borderId="4" xfId="1" applyFont="1" applyFill="1" applyAlignment="1">
      <alignment horizontal="center" vertical="center"/>
    </xf>
    <xf numFmtId="14" fontId="14" fillId="9" borderId="27" xfId="1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0" fillId="13" borderId="43" xfId="0" applyFont="1" applyFill="1" applyBorder="1" applyAlignment="1">
      <alignment horizontal="center" vertical="center"/>
    </xf>
    <xf numFmtId="0" fontId="1" fillId="2" borderId="43" xfId="0" applyNumberFormat="1" applyFont="1" applyFill="1" applyBorder="1" applyAlignment="1" applyProtection="1">
      <alignment horizontal="center" vertical="center" wrapText="1"/>
    </xf>
    <xf numFmtId="0" fontId="2" fillId="4" borderId="43" xfId="0" applyNumberFormat="1" applyFont="1" applyFill="1" applyBorder="1" applyAlignment="1" applyProtection="1">
      <alignment horizontal="center" vertical="center" wrapText="1"/>
      <protection locked="0"/>
    </xf>
    <xf numFmtId="2" fontId="2" fillId="4" borderId="4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43" xfId="0" applyNumberFormat="1" applyFont="1" applyBorder="1" applyAlignment="1">
      <alignment horizontal="center" vertical="center"/>
    </xf>
    <xf numFmtId="0" fontId="1" fillId="21" borderId="43" xfId="0" applyFont="1" applyFill="1" applyBorder="1" applyAlignment="1">
      <alignment horizontal="center" vertical="center"/>
    </xf>
    <xf numFmtId="0" fontId="33" fillId="19" borderId="43" xfId="0" applyFont="1" applyFill="1" applyBorder="1" applyAlignment="1">
      <alignment horizontal="center" vertical="center"/>
    </xf>
    <xf numFmtId="0" fontId="33" fillId="18" borderId="43" xfId="0" applyFont="1" applyFill="1" applyBorder="1" applyAlignment="1">
      <alignment horizontal="center" vertical="center"/>
    </xf>
    <xf numFmtId="0" fontId="33" fillId="20" borderId="43" xfId="0" applyFont="1" applyFill="1" applyBorder="1" applyAlignment="1">
      <alignment horizontal="center" vertical="center"/>
    </xf>
    <xf numFmtId="0" fontId="33" fillId="15" borderId="43" xfId="0" applyFont="1" applyFill="1" applyBorder="1" applyAlignment="1">
      <alignment horizontal="center" vertical="center"/>
    </xf>
    <xf numFmtId="0" fontId="41" fillId="21" borderId="43" xfId="0" applyFont="1" applyFill="1" applyBorder="1" applyAlignment="1">
      <alignment horizontal="center" vertical="center" wrapText="1"/>
    </xf>
    <xf numFmtId="0" fontId="42" fillId="21" borderId="43" xfId="0" applyFont="1" applyFill="1" applyBorder="1" applyAlignment="1">
      <alignment horizontal="center" vertical="center" wrapText="1"/>
    </xf>
    <xf numFmtId="0" fontId="41" fillId="9" borderId="43" xfId="0" applyFont="1" applyFill="1" applyBorder="1" applyAlignment="1">
      <alignment horizontal="center" vertical="center" wrapText="1"/>
    </xf>
    <xf numFmtId="0" fontId="6" fillId="2" borderId="43" xfId="0" applyNumberFormat="1" applyFont="1" applyFill="1" applyBorder="1" applyAlignment="1" applyProtection="1">
      <alignment horizontal="center" vertical="center" wrapText="1"/>
    </xf>
    <xf numFmtId="0" fontId="2" fillId="12" borderId="43" xfId="0" applyNumberFormat="1" applyFont="1" applyFill="1" applyBorder="1" applyAlignment="1" applyProtection="1">
      <alignment horizontal="center" vertical="center"/>
    </xf>
    <xf numFmtId="1" fontId="32" fillId="4" borderId="43" xfId="0" applyNumberFormat="1" applyFont="1" applyFill="1" applyBorder="1" applyAlignment="1" applyProtection="1">
      <alignment horizontal="center" vertical="center" wrapText="1"/>
    </xf>
    <xf numFmtId="1" fontId="1" fillId="4" borderId="43" xfId="0" applyNumberFormat="1" applyFont="1" applyFill="1" applyBorder="1" applyAlignment="1" applyProtection="1">
      <alignment horizontal="center" vertical="center" wrapText="1"/>
    </xf>
    <xf numFmtId="0" fontId="1" fillId="12" borderId="43" xfId="0" applyNumberFormat="1" applyFont="1" applyFill="1" applyBorder="1" applyAlignment="1" applyProtection="1">
      <alignment vertical="center" wrapText="1"/>
    </xf>
    <xf numFmtId="0" fontId="1" fillId="21" borderId="43" xfId="0" applyNumberFormat="1" applyFont="1" applyFill="1" applyBorder="1" applyAlignment="1" applyProtection="1">
      <alignment horizontal="center" vertical="center" wrapText="1"/>
    </xf>
    <xf numFmtId="0" fontId="1" fillId="12" borderId="4" xfId="0" applyNumberFormat="1" applyFont="1" applyFill="1" applyBorder="1" applyAlignment="1" applyProtection="1">
      <alignment vertical="center" wrapText="1"/>
    </xf>
    <xf numFmtId="164" fontId="50" fillId="9" borderId="43" xfId="0" applyNumberFormat="1" applyFont="1" applyFill="1" applyBorder="1" applyAlignment="1" applyProtection="1">
      <alignment horizontal="center" vertical="center"/>
    </xf>
    <xf numFmtId="0" fontId="24" fillId="2" borderId="43" xfId="0" applyNumberFormat="1" applyFont="1" applyFill="1" applyBorder="1" applyAlignment="1" applyProtection="1">
      <alignment horizontal="center" vertical="center" wrapText="1"/>
    </xf>
    <xf numFmtId="0" fontId="33" fillId="12" borderId="43" xfId="0" applyNumberFormat="1" applyFont="1" applyFill="1" applyBorder="1" applyAlignment="1" applyProtection="1">
      <alignment horizontal="center" vertical="center" wrapText="1"/>
    </xf>
    <xf numFmtId="2" fontId="24" fillId="4" borderId="43" xfId="0" applyNumberFormat="1" applyFont="1" applyFill="1" applyBorder="1" applyAlignment="1" applyProtection="1">
      <alignment horizontal="center" vertical="center" wrapText="1"/>
    </xf>
    <xf numFmtId="2" fontId="24" fillId="9" borderId="43" xfId="0" applyNumberFormat="1" applyFont="1" applyFill="1" applyBorder="1" applyAlignment="1" applyProtection="1">
      <alignment horizontal="center" vertical="center" wrapText="1"/>
    </xf>
    <xf numFmtId="2" fontId="31" fillId="9" borderId="43" xfId="0" applyNumberFormat="1" applyFont="1" applyFill="1" applyBorder="1" applyAlignment="1" applyProtection="1">
      <alignment horizontal="center" vertical="center" wrapText="1"/>
    </xf>
    <xf numFmtId="2" fontId="31" fillId="4" borderId="43" xfId="0" applyNumberFormat="1" applyFont="1" applyFill="1" applyBorder="1" applyAlignment="1" applyProtection="1">
      <alignment horizontal="center" vertical="center" wrapText="1"/>
    </xf>
    <xf numFmtId="0" fontId="1" fillId="21" borderId="43" xfId="0" applyNumberFormat="1" applyFont="1" applyFill="1" applyBorder="1" applyAlignment="1" applyProtection="1">
      <alignment horizontal="center" vertical="center"/>
    </xf>
    <xf numFmtId="167" fontId="2" fillId="9" borderId="43" xfId="0" applyNumberFormat="1" applyFont="1" applyFill="1" applyBorder="1" applyAlignment="1" applyProtection="1">
      <alignment horizontal="center" vertical="center" wrapText="1"/>
    </xf>
    <xf numFmtId="14" fontId="2" fillId="4" borderId="43" xfId="0" applyNumberFormat="1" applyFont="1" applyFill="1" applyBorder="1" applyAlignment="1" applyProtection="1">
      <alignment horizontal="center" vertical="center" wrapText="1"/>
      <protection locked="0"/>
    </xf>
    <xf numFmtId="0" fontId="2" fillId="9" borderId="43" xfId="0" applyNumberFormat="1" applyFont="1" applyFill="1" applyBorder="1" applyAlignment="1" applyProtection="1">
      <alignment horizontal="center" vertical="center"/>
      <protection locked="0"/>
    </xf>
    <xf numFmtId="0" fontId="41" fillId="0" borderId="43" xfId="0" applyFont="1" applyBorder="1" applyAlignment="1" applyProtection="1">
      <alignment horizontal="center" vertical="center"/>
      <protection locked="0"/>
    </xf>
    <xf numFmtId="2" fontId="4" fillId="4" borderId="43" xfId="0" applyNumberFormat="1" applyFont="1" applyFill="1" applyBorder="1" applyAlignment="1" applyProtection="1">
      <alignment horizontal="center" vertical="center" wrapText="1"/>
    </xf>
    <xf numFmtId="165" fontId="41" fillId="0" borderId="43" xfId="0" applyNumberFormat="1" applyFont="1" applyBorder="1" applyAlignment="1" applyProtection="1">
      <alignment horizontal="center" vertical="center"/>
      <protection locked="0"/>
    </xf>
    <xf numFmtId="165" fontId="2" fillId="4" borderId="43" xfId="0" applyNumberFormat="1" applyFont="1" applyFill="1" applyBorder="1" applyAlignment="1" applyProtection="1">
      <alignment horizontal="center" vertical="center" wrapText="1"/>
      <protection locked="0"/>
    </xf>
    <xf numFmtId="165" fontId="23" fillId="4" borderId="43" xfId="0" applyNumberFormat="1" applyFont="1" applyFill="1" applyBorder="1" applyAlignment="1" applyProtection="1">
      <alignment horizontal="center" vertical="center" wrapText="1"/>
    </xf>
    <xf numFmtId="165" fontId="4" fillId="4" borderId="43" xfId="0" applyNumberFormat="1" applyFont="1" applyFill="1" applyBorder="1" applyAlignment="1" applyProtection="1">
      <alignment horizontal="center" vertical="center" wrapText="1"/>
    </xf>
    <xf numFmtId="0" fontId="1" fillId="2" borderId="43" xfId="0" applyNumberFormat="1" applyFont="1" applyFill="1" applyBorder="1" applyAlignment="1" applyProtection="1">
      <alignment horizontal="center" vertical="center"/>
    </xf>
    <xf numFmtId="9" fontId="2" fillId="4" borderId="43" xfId="4" applyFont="1" applyFill="1" applyBorder="1" applyAlignment="1" applyProtection="1">
      <alignment horizontal="center" vertical="center" wrapText="1"/>
    </xf>
    <xf numFmtId="2" fontId="2" fillId="4" borderId="43" xfId="0" applyNumberFormat="1" applyFont="1" applyFill="1" applyBorder="1" applyAlignment="1" applyProtection="1">
      <alignment horizontal="center" vertical="center" wrapText="1"/>
    </xf>
    <xf numFmtId="2" fontId="32" fillId="4" borderId="43" xfId="0" applyNumberFormat="1" applyFont="1" applyFill="1" applyBorder="1" applyAlignment="1" applyProtection="1">
      <alignment horizontal="center" vertical="center" wrapText="1"/>
    </xf>
    <xf numFmtId="0" fontId="3" fillId="12" borderId="43" xfId="0" applyNumberFormat="1" applyFont="1" applyFill="1" applyBorder="1" applyAlignment="1" applyProtection="1">
      <alignment horizontal="center" vertical="center" wrapText="1"/>
    </xf>
    <xf numFmtId="0" fontId="3" fillId="12" borderId="50" xfId="0" applyNumberFormat="1" applyFont="1" applyFill="1" applyBorder="1" applyAlignment="1" applyProtection="1">
      <alignment vertical="center" wrapText="1"/>
    </xf>
    <xf numFmtId="0" fontId="3" fillId="12" borderId="46" xfId="0" applyNumberFormat="1" applyFont="1" applyFill="1" applyBorder="1" applyAlignment="1" applyProtection="1">
      <alignment vertical="center" wrapText="1"/>
    </xf>
    <xf numFmtId="0" fontId="3" fillId="12" borderId="64" xfId="0" applyNumberFormat="1" applyFont="1" applyFill="1" applyBorder="1" applyAlignment="1" applyProtection="1">
      <alignment vertical="center" wrapText="1"/>
    </xf>
    <xf numFmtId="0" fontId="4" fillId="12" borderId="52" xfId="0" applyNumberFormat="1" applyFont="1" applyFill="1" applyBorder="1" applyAlignment="1" applyProtection="1">
      <alignment vertical="center" wrapText="1"/>
    </xf>
    <xf numFmtId="0" fontId="4" fillId="12" borderId="4" xfId="0" applyNumberFormat="1" applyFont="1" applyFill="1" applyBorder="1" applyAlignment="1" applyProtection="1">
      <alignment vertical="center" wrapText="1"/>
    </xf>
    <xf numFmtId="0" fontId="1" fillId="12" borderId="66" xfId="0" applyNumberFormat="1" applyFont="1" applyFill="1" applyBorder="1" applyAlignment="1" applyProtection="1">
      <alignment vertical="center"/>
    </xf>
    <xf numFmtId="9" fontId="2" fillId="12" borderId="43" xfId="4" applyFont="1" applyFill="1" applyBorder="1" applyAlignment="1" applyProtection="1">
      <alignment horizontal="center" vertical="center" wrapText="1"/>
    </xf>
    <xf numFmtId="2" fontId="2" fillId="12" borderId="43" xfId="0" applyNumberFormat="1" applyFont="1" applyFill="1" applyBorder="1" applyAlignment="1" applyProtection="1">
      <alignment horizontal="center" vertical="center" wrapText="1"/>
    </xf>
    <xf numFmtId="2" fontId="2" fillId="12" borderId="43" xfId="0" applyNumberFormat="1" applyFont="1" applyFill="1" applyBorder="1" applyAlignment="1" applyProtection="1">
      <alignment horizontal="center" vertical="center" wrapText="1"/>
      <protection locked="0"/>
    </xf>
    <xf numFmtId="2" fontId="4" fillId="12" borderId="43" xfId="0" applyNumberFormat="1" applyFont="1" applyFill="1" applyBorder="1" applyAlignment="1" applyProtection="1">
      <alignment horizontal="center" vertical="center" wrapText="1"/>
    </xf>
    <xf numFmtId="2" fontId="32" fillId="12" borderId="43" xfId="0" applyNumberFormat="1" applyFont="1" applyFill="1" applyBorder="1" applyAlignment="1" applyProtection="1">
      <alignment horizontal="center" vertical="center" wrapText="1"/>
    </xf>
    <xf numFmtId="0" fontId="1" fillId="12" borderId="52" xfId="0" applyNumberFormat="1" applyFont="1" applyFill="1" applyBorder="1" applyAlignment="1" applyProtection="1">
      <alignment vertical="center" wrapText="1"/>
    </xf>
    <xf numFmtId="2" fontId="31" fillId="12" borderId="43" xfId="0" applyNumberFormat="1" applyFont="1" applyFill="1" applyBorder="1" applyAlignment="1" applyProtection="1">
      <alignment horizontal="center" vertical="center" wrapText="1"/>
    </xf>
    <xf numFmtId="2" fontId="31" fillId="12" borderId="50" xfId="0" applyNumberFormat="1" applyFont="1" applyFill="1" applyBorder="1" applyAlignment="1" applyProtection="1">
      <alignment horizontal="center" vertical="center" wrapText="1"/>
    </xf>
    <xf numFmtId="2" fontId="31" fillId="12" borderId="52" xfId="0" applyNumberFormat="1" applyFont="1" applyFill="1" applyBorder="1" applyAlignment="1" applyProtection="1">
      <alignment horizontal="center" vertical="center" wrapText="1"/>
    </xf>
    <xf numFmtId="0" fontId="25" fillId="12" borderId="52" xfId="0" applyNumberFormat="1" applyFont="1" applyFill="1" applyBorder="1" applyAlignment="1" applyProtection="1">
      <alignment horizontal="center" vertical="center" wrapText="1"/>
    </xf>
    <xf numFmtId="9" fontId="40" fillId="12" borderId="52" xfId="4" applyFont="1" applyFill="1" applyBorder="1" applyAlignment="1" applyProtection="1">
      <alignment horizontal="center" vertical="center" wrapText="1"/>
    </xf>
    <xf numFmtId="0" fontId="38" fillId="12" borderId="43" xfId="0" applyNumberFormat="1" applyFont="1" applyFill="1" applyBorder="1" applyAlignment="1" applyProtection="1">
      <alignment horizontal="center"/>
    </xf>
    <xf numFmtId="0" fontId="10" fillId="0" borderId="0" xfId="0" applyNumberFormat="1" applyFont="1" applyProtection="1"/>
    <xf numFmtId="14" fontId="10" fillId="0" borderId="43" xfId="0" applyNumberFormat="1" applyFont="1" applyBorder="1" applyAlignment="1" applyProtection="1">
      <alignment horizontal="center" vertical="center"/>
      <protection locked="0"/>
    </xf>
    <xf numFmtId="1" fontId="2" fillId="9" borderId="43" xfId="0" applyNumberFormat="1" applyFont="1" applyFill="1" applyBorder="1" applyAlignment="1" applyProtection="1">
      <alignment horizontal="center" vertical="center"/>
    </xf>
    <xf numFmtId="0" fontId="2" fillId="12" borderId="43" xfId="0" applyNumberFormat="1" applyFont="1" applyFill="1" applyBorder="1" applyProtection="1"/>
    <xf numFmtId="166" fontId="36" fillId="4" borderId="43" xfId="4" applyNumberFormat="1" applyFont="1" applyFill="1" applyBorder="1" applyAlignment="1" applyProtection="1">
      <alignment horizontal="center" vertical="center" wrapText="1"/>
    </xf>
    <xf numFmtId="2" fontId="14" fillId="9" borderId="26" xfId="1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/>
    </xf>
    <xf numFmtId="164" fontId="17" fillId="9" borderId="77" xfId="1" applyNumberFormat="1" applyFont="1" applyFill="1" applyBorder="1" applyAlignment="1">
      <alignment horizontal="center" vertical="center"/>
    </xf>
    <xf numFmtId="0" fontId="13" fillId="9" borderId="78" xfId="1" applyFont="1" applyFill="1" applyBorder="1" applyAlignment="1">
      <alignment horizontal="center" vertical="center"/>
    </xf>
    <xf numFmtId="0" fontId="13" fillId="9" borderId="76" xfId="1" applyFont="1" applyFill="1" applyBorder="1" applyAlignment="1">
      <alignment horizontal="center" vertical="center"/>
    </xf>
    <xf numFmtId="0" fontId="38" fillId="12" borderId="43" xfId="0" applyNumberFormat="1" applyFont="1" applyFill="1" applyBorder="1" applyProtection="1"/>
    <xf numFmtId="0" fontId="2" fillId="12" borderId="43" xfId="0" applyNumberFormat="1" applyFont="1" applyFill="1" applyBorder="1" applyAlignment="1" applyProtection="1">
      <alignment horizontal="center" vertical="center" wrapText="1"/>
      <protection locked="0"/>
    </xf>
    <xf numFmtId="2" fontId="24" fillId="12" borderId="43" xfId="0" applyNumberFormat="1" applyFont="1" applyFill="1" applyBorder="1" applyAlignment="1" applyProtection="1">
      <alignment horizontal="center" vertical="center" wrapText="1"/>
    </xf>
    <xf numFmtId="0" fontId="1" fillId="21" borderId="43" xfId="0" applyNumberFormat="1" applyFont="1" applyFill="1" applyBorder="1" applyAlignment="1" applyProtection="1">
      <alignment horizontal="center" vertical="center"/>
    </xf>
    <xf numFmtId="0" fontId="38" fillId="21" borderId="43" xfId="0" applyNumberFormat="1" applyFont="1" applyFill="1" applyBorder="1" applyProtection="1"/>
    <xf numFmtId="0" fontId="10" fillId="9" borderId="60" xfId="0" applyNumberFormat="1" applyFont="1" applyFill="1" applyBorder="1" applyAlignment="1" applyProtection="1">
      <alignment horizontal="center" vertical="center"/>
      <protection locked="0"/>
    </xf>
    <xf numFmtId="0" fontId="10" fillId="9" borderId="61" xfId="0" applyNumberFormat="1" applyFont="1" applyFill="1" applyBorder="1" applyAlignment="1" applyProtection="1">
      <alignment horizontal="center" vertical="center"/>
      <protection locked="0"/>
    </xf>
    <xf numFmtId="0" fontId="1" fillId="2" borderId="43" xfId="0" applyNumberFormat="1" applyFont="1" applyFill="1" applyBorder="1" applyAlignment="1" applyProtection="1">
      <alignment horizontal="center" vertical="center" wrapText="1"/>
    </xf>
    <xf numFmtId="0" fontId="10" fillId="0" borderId="43" xfId="0" applyNumberFormat="1" applyFont="1" applyBorder="1" applyProtection="1"/>
    <xf numFmtId="0" fontId="2" fillId="0" borderId="43" xfId="0" applyNumberFormat="1" applyFont="1" applyBorder="1" applyAlignment="1" applyProtection="1">
      <alignment horizontal="center" vertical="center"/>
      <protection locked="0"/>
    </xf>
    <xf numFmtId="0" fontId="10" fillId="0" borderId="43" xfId="0" applyNumberFormat="1" applyFont="1" applyBorder="1" applyProtection="1">
      <protection locked="0"/>
    </xf>
    <xf numFmtId="0" fontId="3" fillId="13" borderId="43" xfId="0" applyNumberFormat="1" applyFont="1" applyFill="1" applyBorder="1" applyAlignment="1" applyProtection="1">
      <alignment horizontal="center" vertical="center" wrapText="1"/>
    </xf>
    <xf numFmtId="0" fontId="10" fillId="13" borderId="43" xfId="0" applyNumberFormat="1" applyFont="1" applyFill="1" applyBorder="1" applyProtection="1"/>
    <xf numFmtId="0" fontId="4" fillId="3" borderId="50" xfId="0" applyNumberFormat="1" applyFont="1" applyFill="1" applyBorder="1" applyAlignment="1" applyProtection="1">
      <alignment horizontal="center" vertical="center" wrapText="1"/>
    </xf>
    <xf numFmtId="0" fontId="4" fillId="3" borderId="51" xfId="0" applyNumberFormat="1" applyFont="1" applyFill="1" applyBorder="1" applyAlignment="1" applyProtection="1">
      <alignment horizontal="center" vertical="center" wrapText="1"/>
    </xf>
    <xf numFmtId="0" fontId="4" fillId="3" borderId="52" xfId="0" applyNumberFormat="1" applyFont="1" applyFill="1" applyBorder="1" applyAlignment="1" applyProtection="1">
      <alignment horizontal="center" vertical="center" wrapText="1"/>
    </xf>
    <xf numFmtId="0" fontId="4" fillId="3" borderId="53" xfId="0" applyNumberFormat="1" applyFont="1" applyFill="1" applyBorder="1" applyAlignment="1" applyProtection="1">
      <alignment horizontal="center" vertical="center" wrapText="1"/>
    </xf>
    <xf numFmtId="0" fontId="2" fillId="12" borderId="52" xfId="0" applyNumberFormat="1" applyFont="1" applyFill="1" applyBorder="1" applyAlignment="1" applyProtection="1">
      <alignment horizontal="center" vertical="center"/>
    </xf>
    <xf numFmtId="0" fontId="2" fillId="12" borderId="4" xfId="0" applyNumberFormat="1" applyFont="1" applyFill="1" applyBorder="1" applyAlignment="1" applyProtection="1">
      <alignment horizontal="center" vertical="center"/>
    </xf>
    <xf numFmtId="0" fontId="2" fillId="12" borderId="53" xfId="0" applyNumberFormat="1" applyFont="1" applyFill="1" applyBorder="1" applyAlignment="1" applyProtection="1">
      <alignment horizontal="center" vertical="center"/>
    </xf>
    <xf numFmtId="0" fontId="2" fillId="12" borderId="60" xfId="0" applyNumberFormat="1" applyFont="1" applyFill="1" applyBorder="1" applyAlignment="1" applyProtection="1">
      <alignment horizontal="center" vertical="center"/>
    </xf>
    <xf numFmtId="0" fontId="2" fillId="12" borderId="59" xfId="0" applyNumberFormat="1" applyFont="1" applyFill="1" applyBorder="1" applyAlignment="1" applyProtection="1">
      <alignment horizontal="center" vertical="center"/>
    </xf>
    <xf numFmtId="0" fontId="2" fillId="12" borderId="61" xfId="0" applyNumberFormat="1" applyFont="1" applyFill="1" applyBorder="1" applyAlignment="1" applyProtection="1">
      <alignment horizontal="center" vertical="center"/>
    </xf>
    <xf numFmtId="0" fontId="4" fillId="12" borderId="52" xfId="0" applyNumberFormat="1" applyFont="1" applyFill="1" applyBorder="1" applyAlignment="1" applyProtection="1">
      <alignment horizontal="center" vertical="center" wrapText="1"/>
    </xf>
    <xf numFmtId="0" fontId="4" fillId="12" borderId="4" xfId="0" applyNumberFormat="1" applyFont="1" applyFill="1" applyBorder="1" applyAlignment="1" applyProtection="1">
      <alignment horizontal="center" vertical="center" wrapText="1"/>
    </xf>
    <xf numFmtId="0" fontId="4" fillId="12" borderId="53" xfId="0" applyNumberFormat="1" applyFont="1" applyFill="1" applyBorder="1" applyAlignment="1" applyProtection="1">
      <alignment horizontal="center" vertical="center" wrapText="1"/>
    </xf>
    <xf numFmtId="0" fontId="4" fillId="12" borderId="54" xfId="0" applyNumberFormat="1" applyFont="1" applyFill="1" applyBorder="1" applyAlignment="1" applyProtection="1">
      <alignment horizontal="center" vertical="center" wrapText="1"/>
    </xf>
    <xf numFmtId="0" fontId="4" fillId="12" borderId="47" xfId="0" applyNumberFormat="1" applyFont="1" applyFill="1" applyBorder="1" applyAlignment="1" applyProtection="1">
      <alignment horizontal="center" vertical="center" wrapText="1"/>
    </xf>
    <xf numFmtId="0" fontId="4" fillId="12" borderId="55" xfId="0" applyNumberFormat="1" applyFont="1" applyFill="1" applyBorder="1" applyAlignment="1" applyProtection="1">
      <alignment horizontal="center" vertical="center" wrapText="1"/>
    </xf>
    <xf numFmtId="0" fontId="3" fillId="13" borderId="62" xfId="0" applyNumberFormat="1" applyFont="1" applyFill="1" applyBorder="1" applyAlignment="1" applyProtection="1">
      <alignment horizontal="center" vertical="center" wrapText="1"/>
    </xf>
    <xf numFmtId="0" fontId="1" fillId="2" borderId="60" xfId="0" applyNumberFormat="1" applyFont="1" applyFill="1" applyBorder="1" applyAlignment="1" applyProtection="1">
      <alignment horizontal="center" vertical="center"/>
    </xf>
    <xf numFmtId="0" fontId="1" fillId="2" borderId="59" xfId="0" applyNumberFormat="1" applyFont="1" applyFill="1" applyBorder="1" applyAlignment="1" applyProtection="1">
      <alignment horizontal="center" vertical="center"/>
    </xf>
    <xf numFmtId="0" fontId="1" fillId="2" borderId="61" xfId="0" applyNumberFormat="1" applyFont="1" applyFill="1" applyBorder="1" applyAlignment="1" applyProtection="1">
      <alignment horizontal="center" vertical="center"/>
    </xf>
    <xf numFmtId="0" fontId="1" fillId="2" borderId="60" xfId="0" applyNumberFormat="1" applyFont="1" applyFill="1" applyBorder="1" applyAlignment="1" applyProtection="1">
      <alignment horizontal="center" vertical="center" wrapText="1"/>
    </xf>
    <xf numFmtId="0" fontId="1" fillId="2" borderId="59" xfId="0" applyNumberFormat="1" applyFont="1" applyFill="1" applyBorder="1" applyAlignment="1" applyProtection="1">
      <alignment horizontal="center" vertical="center" wrapText="1"/>
    </xf>
    <xf numFmtId="0" fontId="1" fillId="2" borderId="61" xfId="0" applyNumberFormat="1" applyFont="1" applyFill="1" applyBorder="1" applyAlignment="1" applyProtection="1">
      <alignment horizontal="center" vertical="center" wrapText="1"/>
    </xf>
    <xf numFmtId="0" fontId="1" fillId="2" borderId="65" xfId="0" applyNumberFormat="1" applyFont="1" applyFill="1" applyBorder="1" applyAlignment="1" applyProtection="1">
      <alignment horizontal="center" vertical="center" wrapText="1"/>
    </xf>
    <xf numFmtId="0" fontId="1" fillId="2" borderId="63" xfId="0" applyNumberFormat="1" applyFont="1" applyFill="1" applyBorder="1" applyAlignment="1" applyProtection="1">
      <alignment horizontal="center" vertical="center" wrapText="1"/>
    </xf>
    <xf numFmtId="2" fontId="2" fillId="12" borderId="54" xfId="0" applyNumberFormat="1" applyFont="1" applyFill="1" applyBorder="1" applyAlignment="1" applyProtection="1">
      <alignment horizontal="center" vertical="center" wrapText="1"/>
      <protection locked="0"/>
    </xf>
    <xf numFmtId="2" fontId="2" fillId="12" borderId="55" xfId="0" applyNumberFormat="1" applyFont="1" applyFill="1" applyBorder="1" applyAlignment="1" applyProtection="1">
      <alignment horizontal="center" vertical="center" wrapText="1"/>
      <protection locked="0"/>
    </xf>
    <xf numFmtId="0" fontId="1" fillId="12" borderId="50" xfId="0" applyNumberFormat="1" applyFont="1" applyFill="1" applyBorder="1" applyAlignment="1" applyProtection="1">
      <alignment horizontal="center" vertical="center"/>
    </xf>
    <xf numFmtId="0" fontId="1" fillId="12" borderId="46" xfId="0" applyNumberFormat="1" applyFont="1" applyFill="1" applyBorder="1" applyAlignment="1" applyProtection="1">
      <alignment horizontal="center" vertical="center"/>
    </xf>
    <xf numFmtId="0" fontId="1" fillId="12" borderId="51" xfId="0" applyNumberFormat="1" applyFont="1" applyFill="1" applyBorder="1" applyAlignment="1" applyProtection="1">
      <alignment horizontal="center" vertical="center"/>
    </xf>
    <xf numFmtId="0" fontId="1" fillId="12" borderId="52" xfId="0" applyNumberFormat="1" applyFont="1" applyFill="1" applyBorder="1" applyAlignment="1" applyProtection="1">
      <alignment horizontal="center" vertical="center"/>
    </xf>
    <xf numFmtId="0" fontId="1" fillId="12" borderId="4" xfId="0" applyNumberFormat="1" applyFont="1" applyFill="1" applyBorder="1" applyAlignment="1" applyProtection="1">
      <alignment horizontal="center" vertical="center"/>
    </xf>
    <xf numFmtId="0" fontId="1" fillId="12" borderId="53" xfId="0" applyNumberFormat="1" applyFont="1" applyFill="1" applyBorder="1" applyAlignment="1" applyProtection="1">
      <alignment horizontal="center" vertical="center"/>
    </xf>
    <xf numFmtId="0" fontId="1" fillId="12" borderId="54" xfId="0" applyNumberFormat="1" applyFont="1" applyFill="1" applyBorder="1" applyAlignment="1" applyProtection="1">
      <alignment horizontal="center" vertical="center"/>
    </xf>
    <xf numFmtId="0" fontId="1" fillId="12" borderId="47" xfId="0" applyNumberFormat="1" applyFont="1" applyFill="1" applyBorder="1" applyAlignment="1" applyProtection="1">
      <alignment horizontal="center" vertical="center"/>
    </xf>
    <xf numFmtId="0" fontId="1" fillId="12" borderId="55" xfId="0" applyNumberFormat="1" applyFont="1" applyFill="1" applyBorder="1" applyAlignment="1" applyProtection="1">
      <alignment horizontal="center" vertical="center"/>
    </xf>
    <xf numFmtId="0" fontId="40" fillId="21" borderId="43" xfId="0" applyNumberFormat="1" applyFont="1" applyFill="1" applyBorder="1" applyAlignment="1" applyProtection="1">
      <alignment horizontal="center" vertical="center" wrapText="1"/>
    </xf>
    <xf numFmtId="166" fontId="3" fillId="4" borderId="43" xfId="4" applyNumberFormat="1" applyFont="1" applyFill="1" applyBorder="1" applyAlignment="1" applyProtection="1">
      <alignment horizontal="center" vertical="center" wrapText="1"/>
    </xf>
    <xf numFmtId="0" fontId="4" fillId="3" borderId="43" xfId="0" applyNumberFormat="1" applyFont="1" applyFill="1" applyBorder="1" applyAlignment="1" applyProtection="1">
      <alignment horizontal="center" vertical="center" wrapText="1"/>
    </xf>
    <xf numFmtId="0" fontId="39" fillId="13" borderId="43" xfId="0" applyNumberFormat="1" applyFont="1" applyFill="1" applyBorder="1" applyAlignment="1" applyProtection="1">
      <alignment horizontal="center" vertical="center"/>
    </xf>
    <xf numFmtId="165" fontId="2" fillId="0" borderId="43" xfId="0" applyNumberFormat="1" applyFont="1" applyBorder="1" applyAlignment="1" applyProtection="1">
      <alignment horizontal="center" vertical="center"/>
      <protection locked="0"/>
    </xf>
    <xf numFmtId="165" fontId="2" fillId="0" borderId="62" xfId="0" applyNumberFormat="1" applyFont="1" applyBorder="1" applyAlignment="1" applyProtection="1">
      <alignment horizontal="center" vertical="center"/>
      <protection locked="0"/>
    </xf>
    <xf numFmtId="0" fontId="1" fillId="4" borderId="43" xfId="0" applyNumberFormat="1" applyFont="1" applyFill="1" applyBorder="1" applyAlignment="1" applyProtection="1">
      <alignment horizontal="center" vertical="center" wrapText="1"/>
    </xf>
    <xf numFmtId="0" fontId="43" fillId="9" borderId="43" xfId="0" applyNumberFormat="1" applyFont="1" applyFill="1" applyBorder="1" applyAlignment="1" applyProtection="1">
      <alignment horizontal="center" vertical="center" wrapText="1"/>
    </xf>
    <xf numFmtId="0" fontId="43" fillId="9" borderId="43" xfId="0" applyNumberFormat="1" applyFont="1" applyFill="1" applyBorder="1" applyAlignment="1" applyProtection="1">
      <alignment horizontal="center" vertical="center"/>
    </xf>
    <xf numFmtId="0" fontId="1" fillId="21" borderId="43" xfId="0" applyNumberFormat="1" applyFont="1" applyFill="1" applyBorder="1" applyAlignment="1" applyProtection="1">
      <alignment horizontal="center" vertical="center" wrapText="1"/>
    </xf>
    <xf numFmtId="1" fontId="1" fillId="4" borderId="43" xfId="0" applyNumberFormat="1" applyFont="1" applyFill="1" applyBorder="1" applyAlignment="1" applyProtection="1">
      <alignment horizontal="center" vertical="center" wrapText="1"/>
    </xf>
    <xf numFmtId="9" fontId="2" fillId="0" borderId="43" xfId="0" applyNumberFormat="1" applyFont="1" applyBorder="1" applyAlignment="1" applyProtection="1">
      <alignment horizontal="center" vertical="center"/>
    </xf>
    <xf numFmtId="2" fontId="2" fillId="0" borderId="43" xfId="0" applyNumberFormat="1" applyFont="1" applyBorder="1" applyAlignment="1" applyProtection="1">
      <alignment horizontal="center" vertical="center"/>
    </xf>
    <xf numFmtId="0" fontId="2" fillId="4" borderId="43" xfId="0" applyNumberFormat="1" applyFont="1" applyFill="1" applyBorder="1" applyAlignment="1" applyProtection="1">
      <alignment horizontal="center" vertical="center" wrapText="1"/>
      <protection locked="0"/>
    </xf>
    <xf numFmtId="9" fontId="2" fillId="0" borderId="60" xfId="0" applyNumberFormat="1" applyFont="1" applyBorder="1" applyAlignment="1" applyProtection="1">
      <alignment horizontal="center" vertical="center"/>
    </xf>
    <xf numFmtId="9" fontId="2" fillId="0" borderId="61" xfId="0" applyNumberFormat="1" applyFont="1" applyBorder="1" applyAlignment="1" applyProtection="1">
      <alignment horizontal="center" vertical="center"/>
    </xf>
    <xf numFmtId="0" fontId="10" fillId="13" borderId="65" xfId="0" applyNumberFormat="1" applyFont="1" applyFill="1" applyBorder="1" applyProtection="1"/>
    <xf numFmtId="0" fontId="10" fillId="13" borderId="57" xfId="0" applyNumberFormat="1" applyFont="1" applyFill="1" applyBorder="1" applyProtection="1"/>
    <xf numFmtId="0" fontId="39" fillId="0" borderId="43" xfId="0" applyNumberFormat="1" applyFont="1" applyBorder="1" applyAlignment="1" applyProtection="1">
      <alignment horizontal="center" vertical="center"/>
      <protection locked="0"/>
    </xf>
    <xf numFmtId="164" fontId="39" fillId="0" borderId="43" xfId="0" applyNumberFormat="1" applyFont="1" applyBorder="1" applyAlignment="1" applyProtection="1">
      <alignment horizontal="center" vertical="center"/>
    </xf>
    <xf numFmtId="164" fontId="39" fillId="0" borderId="61" xfId="0" applyNumberFormat="1" applyFont="1" applyBorder="1" applyAlignment="1" applyProtection="1">
      <alignment horizontal="center" vertical="center"/>
    </xf>
    <xf numFmtId="0" fontId="25" fillId="21" borderId="43" xfId="0" applyNumberFormat="1" applyFont="1" applyFill="1" applyBorder="1" applyAlignment="1" applyProtection="1">
      <alignment horizontal="center" vertical="center" wrapText="1"/>
    </xf>
    <xf numFmtId="0" fontId="1" fillId="2" borderId="58" xfId="0" applyNumberFormat="1" applyFont="1" applyFill="1" applyBorder="1" applyAlignment="1" applyProtection="1">
      <alignment horizontal="center" vertical="center" wrapText="1"/>
    </xf>
    <xf numFmtId="2" fontId="2" fillId="12" borderId="52" xfId="0" applyNumberFormat="1" applyFont="1" applyFill="1" applyBorder="1" applyAlignment="1" applyProtection="1">
      <alignment horizontal="center" vertical="center" wrapText="1"/>
      <protection locked="0"/>
    </xf>
    <xf numFmtId="2" fontId="2" fillId="12" borderId="57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43" xfId="0" applyNumberFormat="1" applyFont="1" applyFill="1" applyBorder="1" applyAlignment="1" applyProtection="1">
      <alignment horizontal="center" vertical="center" wrapText="1"/>
    </xf>
    <xf numFmtId="0" fontId="10" fillId="13" borderId="56" xfId="0" applyNumberFormat="1" applyFont="1" applyFill="1" applyBorder="1" applyProtection="1"/>
    <xf numFmtId="0" fontId="5" fillId="21" borderId="43" xfId="0" applyNumberFormat="1" applyFont="1" applyFill="1" applyBorder="1" applyAlignment="1" applyProtection="1">
      <alignment horizontal="center" vertical="center" wrapText="1"/>
    </xf>
    <xf numFmtId="0" fontId="5" fillId="21" borderId="61" xfId="0" applyNumberFormat="1" applyFont="1" applyFill="1" applyBorder="1" applyAlignment="1" applyProtection="1">
      <alignment horizontal="center" vertical="center" wrapText="1"/>
    </xf>
    <xf numFmtId="0" fontId="38" fillId="9" borderId="43" xfId="0" applyNumberFormat="1" applyFont="1" applyFill="1" applyBorder="1" applyAlignment="1" applyProtection="1">
      <alignment horizontal="left" vertical="center" wrapText="1"/>
    </xf>
    <xf numFmtId="0" fontId="38" fillId="9" borderId="51" xfId="0" applyNumberFormat="1" applyFont="1" applyFill="1" applyBorder="1" applyAlignment="1" applyProtection="1">
      <alignment horizontal="left" vertical="center" wrapText="1"/>
    </xf>
    <xf numFmtId="0" fontId="38" fillId="9" borderId="53" xfId="0" applyNumberFormat="1" applyFont="1" applyFill="1" applyBorder="1" applyAlignment="1" applyProtection="1">
      <alignment horizontal="left" vertical="center" wrapText="1"/>
    </xf>
    <xf numFmtId="0" fontId="38" fillId="9" borderId="55" xfId="0" applyNumberFormat="1" applyFont="1" applyFill="1" applyBorder="1" applyAlignment="1" applyProtection="1">
      <alignment horizontal="left" vertical="center" wrapText="1"/>
    </xf>
    <xf numFmtId="0" fontId="5" fillId="9" borderId="43" xfId="0" applyNumberFormat="1" applyFont="1" applyFill="1" applyBorder="1" applyAlignment="1" applyProtection="1">
      <alignment horizontal="left" vertical="center" wrapText="1"/>
    </xf>
    <xf numFmtId="0" fontId="5" fillId="9" borderId="51" xfId="0" applyNumberFormat="1" applyFont="1" applyFill="1" applyBorder="1" applyAlignment="1" applyProtection="1">
      <alignment horizontal="left" vertical="center" wrapText="1"/>
    </xf>
    <xf numFmtId="0" fontId="5" fillId="9" borderId="53" xfId="0" applyNumberFormat="1" applyFont="1" applyFill="1" applyBorder="1" applyAlignment="1" applyProtection="1">
      <alignment horizontal="left" vertical="center" wrapText="1"/>
    </xf>
    <xf numFmtId="0" fontId="5" fillId="9" borderId="55" xfId="0" applyNumberFormat="1" applyFont="1" applyFill="1" applyBorder="1" applyAlignment="1" applyProtection="1">
      <alignment horizontal="left" vertical="center" wrapText="1"/>
    </xf>
    <xf numFmtId="0" fontId="1" fillId="2" borderId="65" xfId="0" applyNumberFormat="1" applyFont="1" applyFill="1" applyBorder="1" applyAlignment="1" applyProtection="1">
      <alignment horizontal="center" vertical="center"/>
    </xf>
    <xf numFmtId="0" fontId="1" fillId="2" borderId="66" xfId="0" applyNumberFormat="1" applyFont="1" applyFill="1" applyBorder="1" applyAlignment="1" applyProtection="1">
      <alignment horizontal="center" vertical="center"/>
    </xf>
    <xf numFmtId="9" fontId="36" fillId="4" borderId="60" xfId="4" applyFont="1" applyFill="1" applyBorder="1" applyAlignment="1" applyProtection="1">
      <alignment horizontal="center" vertical="center" wrapText="1"/>
    </xf>
    <xf numFmtId="9" fontId="36" fillId="4" borderId="61" xfId="4" applyFont="1" applyFill="1" applyBorder="1" applyAlignment="1" applyProtection="1">
      <alignment horizontal="center" vertical="center" wrapText="1"/>
    </xf>
    <xf numFmtId="0" fontId="38" fillId="0" borderId="43" xfId="0" applyNumberFormat="1" applyFont="1" applyBorder="1" applyProtection="1"/>
    <xf numFmtId="0" fontId="1" fillId="0" borderId="43" xfId="0" applyNumberFormat="1" applyFont="1" applyBorder="1" applyProtection="1"/>
    <xf numFmtId="0" fontId="2" fillId="0" borderId="43" xfId="0" applyNumberFormat="1" applyFont="1" applyBorder="1" applyProtection="1"/>
    <xf numFmtId="0" fontId="22" fillId="11" borderId="37" xfId="0" applyFont="1" applyFill="1" applyBorder="1" applyAlignment="1">
      <alignment horizontal="center" vertical="center" wrapText="1"/>
    </xf>
    <xf numFmtId="0" fontId="22" fillId="11" borderId="38" xfId="0" applyFont="1" applyFill="1" applyBorder="1" applyAlignment="1">
      <alignment horizontal="center" vertical="center" wrapText="1"/>
    </xf>
    <xf numFmtId="0" fontId="22" fillId="11" borderId="8" xfId="0" applyFont="1" applyFill="1" applyBorder="1" applyAlignment="1">
      <alignment horizontal="center" vertical="center" wrapText="1"/>
    </xf>
    <xf numFmtId="0" fontId="22" fillId="11" borderId="39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22" fillId="11" borderId="40" xfId="0" applyFont="1" applyFill="1" applyBorder="1" applyAlignment="1">
      <alignment horizontal="center" vertical="center" wrapText="1"/>
    </xf>
    <xf numFmtId="0" fontId="22" fillId="11" borderId="41" xfId="0" applyFont="1" applyFill="1" applyBorder="1" applyAlignment="1">
      <alignment horizontal="center" vertical="center" wrapText="1"/>
    </xf>
    <xf numFmtId="0" fontId="22" fillId="11" borderId="42" xfId="0" applyFont="1" applyFill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 vertical="center" wrapText="1"/>
    </xf>
    <xf numFmtId="0" fontId="51" fillId="9" borderId="67" xfId="0" applyFont="1" applyFill="1" applyBorder="1" applyAlignment="1">
      <alignment horizontal="center" vertical="center"/>
    </xf>
    <xf numFmtId="0" fontId="51" fillId="9" borderId="68" xfId="0" applyFont="1" applyFill="1" applyBorder="1" applyAlignment="1">
      <alignment horizontal="center" vertical="center"/>
    </xf>
    <xf numFmtId="0" fontId="51" fillId="9" borderId="69" xfId="0" applyFont="1" applyFill="1" applyBorder="1" applyAlignment="1">
      <alignment horizontal="center" vertical="center"/>
    </xf>
    <xf numFmtId="2" fontId="21" fillId="9" borderId="14" xfId="1" applyNumberFormat="1" applyFont="1" applyFill="1" applyBorder="1" applyAlignment="1">
      <alignment horizontal="center" vertical="center"/>
    </xf>
    <xf numFmtId="2" fontId="21" fillId="9" borderId="4" xfId="1" applyNumberFormat="1" applyFont="1" applyFill="1" applyAlignment="1">
      <alignment horizontal="center" vertical="center"/>
    </xf>
    <xf numFmtId="2" fontId="21" fillId="9" borderId="11" xfId="1" applyNumberFormat="1" applyFont="1" applyFill="1" applyBorder="1" applyAlignment="1">
      <alignment horizontal="center" vertical="center"/>
    </xf>
    <xf numFmtId="2" fontId="21" fillId="9" borderId="12" xfId="1" applyNumberFormat="1" applyFont="1" applyFill="1" applyBorder="1" applyAlignment="1">
      <alignment horizontal="center" vertical="center"/>
    </xf>
    <xf numFmtId="0" fontId="21" fillId="9" borderId="11" xfId="1" applyFont="1" applyFill="1" applyBorder="1" applyAlignment="1">
      <alignment horizontal="center" vertical="center"/>
    </xf>
    <xf numFmtId="0" fontId="13" fillId="9" borderId="28" xfId="1" applyFont="1" applyFill="1" applyBorder="1" applyAlignment="1">
      <alignment horizontal="center" vertical="center"/>
    </xf>
    <xf numFmtId="0" fontId="13" fillId="9" borderId="19" xfId="1" applyFont="1" applyFill="1" applyBorder="1" applyAlignment="1">
      <alignment horizontal="center" vertical="center"/>
    </xf>
    <xf numFmtId="49" fontId="14" fillId="9" borderId="30" xfId="1" applyNumberFormat="1" applyFont="1" applyFill="1" applyBorder="1" applyAlignment="1">
      <alignment horizontal="center" vertical="center"/>
    </xf>
    <xf numFmtId="0" fontId="14" fillId="9" borderId="27" xfId="1" applyFont="1" applyFill="1" applyBorder="1" applyAlignment="1">
      <alignment horizontal="center" vertical="center"/>
    </xf>
    <xf numFmtId="0" fontId="14" fillId="9" borderId="25" xfId="1" applyFont="1" applyFill="1" applyBorder="1" applyAlignment="1">
      <alignment horizontal="center" vertical="center"/>
    </xf>
    <xf numFmtId="0" fontId="14" fillId="9" borderId="21" xfId="1" applyFont="1" applyFill="1" applyBorder="1" applyAlignment="1">
      <alignment horizontal="center" vertical="center"/>
    </xf>
    <xf numFmtId="0" fontId="13" fillId="9" borderId="36" xfId="1" applyFont="1" applyFill="1" applyBorder="1" applyAlignment="1">
      <alignment horizontal="center" vertical="center"/>
    </xf>
    <xf numFmtId="0" fontId="13" fillId="9" borderId="30" xfId="1" applyFont="1" applyFill="1" applyBorder="1" applyAlignment="1">
      <alignment horizontal="center" vertical="center"/>
    </xf>
    <xf numFmtId="0" fontId="13" fillId="9" borderId="33" xfId="1" applyFont="1" applyFill="1" applyBorder="1" applyAlignment="1">
      <alignment horizontal="center" vertical="center"/>
    </xf>
    <xf numFmtId="0" fontId="13" fillId="9" borderId="25" xfId="1" applyFont="1" applyFill="1" applyBorder="1" applyAlignment="1">
      <alignment horizontal="center" vertical="center"/>
    </xf>
    <xf numFmtId="0" fontId="13" fillId="9" borderId="20" xfId="1" applyFont="1" applyFill="1" applyBorder="1" applyAlignment="1">
      <alignment horizontal="center" vertical="center"/>
    </xf>
    <xf numFmtId="0" fontId="14" fillId="9" borderId="35" xfId="1" applyFont="1" applyFill="1" applyBorder="1" applyAlignment="1">
      <alignment horizontal="center" vertical="center"/>
    </xf>
    <xf numFmtId="0" fontId="14" fillId="9" borderId="34" xfId="1" applyFont="1" applyFill="1" applyBorder="1" applyAlignment="1">
      <alignment horizontal="center" vertical="center"/>
    </xf>
    <xf numFmtId="0" fontId="14" fillId="9" borderId="32" xfId="1" applyFont="1" applyFill="1" applyBorder="1" applyAlignment="1">
      <alignment horizontal="center" vertical="center"/>
    </xf>
    <xf numFmtId="0" fontId="14" fillId="9" borderId="10" xfId="1" applyFont="1" applyFill="1" applyBorder="1" applyAlignment="1">
      <alignment horizontal="center" vertical="center"/>
    </xf>
    <xf numFmtId="0" fontId="13" fillId="9" borderId="31" xfId="1" applyFont="1" applyFill="1" applyBorder="1" applyAlignment="1">
      <alignment horizontal="center" vertical="center"/>
    </xf>
    <xf numFmtId="0" fontId="13" fillId="9" borderId="23" xfId="1" applyFont="1" applyFill="1" applyBorder="1" applyAlignment="1">
      <alignment horizontal="center" vertical="center"/>
    </xf>
    <xf numFmtId="0" fontId="21" fillId="9" borderId="16" xfId="1" applyFont="1" applyFill="1" applyBorder="1" applyAlignment="1">
      <alignment horizontal="center" vertical="center"/>
    </xf>
    <xf numFmtId="0" fontId="21" fillId="9" borderId="17" xfId="1" applyFont="1" applyFill="1" applyBorder="1" applyAlignment="1">
      <alignment horizontal="center" vertical="center"/>
    </xf>
    <xf numFmtId="0" fontId="21" fillId="9" borderId="14" xfId="1" applyFont="1" applyFill="1" applyBorder="1" applyAlignment="1">
      <alignment horizontal="center" vertical="center"/>
    </xf>
    <xf numFmtId="0" fontId="21" fillId="9" borderId="4" xfId="1" applyFont="1" applyFill="1" applyAlignment="1">
      <alignment horizontal="center" vertical="center"/>
    </xf>
    <xf numFmtId="164" fontId="21" fillId="9" borderId="16" xfId="1" applyNumberFormat="1" applyFont="1" applyFill="1" applyBorder="1" applyAlignment="1">
      <alignment horizontal="center" vertical="center"/>
    </xf>
    <xf numFmtId="164" fontId="21" fillId="9" borderId="14" xfId="1" applyNumberFormat="1" applyFont="1" applyFill="1" applyBorder="1" applyAlignment="1">
      <alignment horizontal="center" vertical="center"/>
    </xf>
    <xf numFmtId="0" fontId="21" fillId="9" borderId="12" xfId="1" applyFont="1" applyFill="1" applyBorder="1" applyAlignment="1">
      <alignment horizontal="center" vertical="center"/>
    </xf>
    <xf numFmtId="2" fontId="21" fillId="9" borderId="16" xfId="1" applyNumberFormat="1" applyFont="1" applyFill="1" applyBorder="1" applyAlignment="1">
      <alignment horizontal="center" vertical="center"/>
    </xf>
    <xf numFmtId="164" fontId="21" fillId="9" borderId="11" xfId="1" applyNumberFormat="1" applyFont="1" applyFill="1" applyBorder="1" applyAlignment="1">
      <alignment horizontal="center" vertical="center"/>
    </xf>
    <xf numFmtId="0" fontId="14" fillId="10" borderId="4" xfId="1" applyFont="1" applyFill="1" applyAlignment="1">
      <alignment horizontal="center" vertical="center"/>
    </xf>
    <xf numFmtId="0" fontId="27" fillId="17" borderId="14" xfId="1" applyFont="1" applyFill="1" applyBorder="1" applyAlignment="1">
      <alignment horizontal="center" vertical="center"/>
    </xf>
    <xf numFmtId="0" fontId="27" fillId="17" borderId="13" xfId="1" applyFont="1" applyFill="1" applyBorder="1" applyAlignment="1">
      <alignment horizontal="center" vertical="center"/>
    </xf>
    <xf numFmtId="0" fontId="27" fillId="17" borderId="11" xfId="1" applyFont="1" applyFill="1" applyBorder="1" applyAlignment="1">
      <alignment horizontal="center" vertical="center"/>
    </xf>
    <xf numFmtId="0" fontId="27" fillId="17" borderId="10" xfId="1" applyFont="1" applyFill="1" applyBorder="1" applyAlignment="1">
      <alignment horizontal="center" vertical="center"/>
    </xf>
    <xf numFmtId="0" fontId="27" fillId="17" borderId="16" xfId="1" applyFont="1" applyFill="1" applyBorder="1" applyAlignment="1">
      <alignment horizontal="center" vertical="center" wrapText="1"/>
    </xf>
    <xf numFmtId="0" fontId="27" fillId="17" borderId="15" xfId="1" applyFont="1" applyFill="1" applyBorder="1" applyAlignment="1">
      <alignment horizontal="center" vertical="center" wrapText="1"/>
    </xf>
    <xf numFmtId="0" fontId="27" fillId="17" borderId="14" xfId="1" applyFont="1" applyFill="1" applyBorder="1" applyAlignment="1">
      <alignment horizontal="center" vertical="center" wrapText="1"/>
    </xf>
    <xf numFmtId="0" fontId="27" fillId="17" borderId="13" xfId="1" applyFont="1" applyFill="1" applyBorder="1" applyAlignment="1">
      <alignment horizontal="center" vertical="center" wrapText="1"/>
    </xf>
    <xf numFmtId="0" fontId="27" fillId="17" borderId="11" xfId="1" applyFont="1" applyFill="1" applyBorder="1" applyAlignment="1">
      <alignment horizontal="center" vertical="center" wrapText="1"/>
    </xf>
    <xf numFmtId="0" fontId="27" fillId="17" borderId="10" xfId="1" applyFont="1" applyFill="1" applyBorder="1" applyAlignment="1">
      <alignment horizontal="center" vertical="center" wrapText="1"/>
    </xf>
    <xf numFmtId="0" fontId="26" fillId="16" borderId="16" xfId="1" applyFont="1" applyFill="1" applyBorder="1" applyAlignment="1">
      <alignment horizontal="center" vertical="center"/>
    </xf>
    <xf numFmtId="0" fontId="26" fillId="16" borderId="15" xfId="1" applyFont="1" applyFill="1" applyBorder="1" applyAlignment="1">
      <alignment horizontal="center" vertical="center"/>
    </xf>
    <xf numFmtId="0" fontId="26" fillId="16" borderId="14" xfId="1" applyFont="1" applyFill="1" applyBorder="1" applyAlignment="1">
      <alignment horizontal="center" vertical="center"/>
    </xf>
    <xf numFmtId="0" fontId="26" fillId="16" borderId="13" xfId="1" applyFont="1" applyFill="1" applyBorder="1" applyAlignment="1">
      <alignment horizontal="center" vertical="center"/>
    </xf>
    <xf numFmtId="9" fontId="52" fillId="13" borderId="14" xfId="1" applyNumberFormat="1" applyFont="1" applyFill="1" applyBorder="1" applyAlignment="1">
      <alignment horizontal="center" vertical="center"/>
    </xf>
    <xf numFmtId="9" fontId="52" fillId="13" borderId="13" xfId="1" applyNumberFormat="1" applyFont="1" applyFill="1" applyBorder="1" applyAlignment="1">
      <alignment horizontal="center" vertical="center"/>
    </xf>
    <xf numFmtId="0" fontId="26" fillId="17" borderId="16" xfId="1" applyFont="1" applyFill="1" applyBorder="1" applyAlignment="1">
      <alignment horizontal="center" vertical="center"/>
    </xf>
    <xf numFmtId="0" fontId="26" fillId="17" borderId="15" xfId="1" applyFont="1" applyFill="1" applyBorder="1" applyAlignment="1">
      <alignment horizontal="center" vertical="center"/>
    </xf>
    <xf numFmtId="0" fontId="26" fillId="17" borderId="14" xfId="1" applyFont="1" applyFill="1" applyBorder="1" applyAlignment="1">
      <alignment horizontal="center" vertical="center"/>
    </xf>
    <xf numFmtId="0" fontId="26" fillId="17" borderId="13" xfId="1" applyFont="1" applyFill="1" applyBorder="1" applyAlignment="1">
      <alignment horizontal="center" vertical="center"/>
    </xf>
    <xf numFmtId="9" fontId="31" fillId="13" borderId="14" xfId="1" applyNumberFormat="1" applyFont="1" applyFill="1" applyBorder="1" applyAlignment="1">
      <alignment horizontal="center" vertical="center"/>
    </xf>
    <xf numFmtId="9" fontId="31" fillId="13" borderId="13" xfId="1" applyNumberFormat="1" applyFont="1" applyFill="1" applyBorder="1" applyAlignment="1">
      <alignment horizontal="center" vertical="center"/>
    </xf>
    <xf numFmtId="0" fontId="27" fillId="16" borderId="14" xfId="1" applyFont="1" applyFill="1" applyBorder="1" applyAlignment="1">
      <alignment horizontal="center" vertical="center"/>
    </xf>
    <xf numFmtId="0" fontId="27" fillId="16" borderId="13" xfId="1" applyFont="1" applyFill="1" applyBorder="1" applyAlignment="1">
      <alignment horizontal="center" vertical="center"/>
    </xf>
    <xf numFmtId="0" fontId="27" fillId="16" borderId="11" xfId="1" applyFont="1" applyFill="1" applyBorder="1" applyAlignment="1">
      <alignment horizontal="center" vertical="center"/>
    </xf>
    <xf numFmtId="0" fontId="27" fillId="16" borderId="10" xfId="1" applyFont="1" applyFill="1" applyBorder="1" applyAlignment="1">
      <alignment horizontal="center" vertical="center"/>
    </xf>
    <xf numFmtId="0" fontId="27" fillId="16" borderId="16" xfId="1" applyFont="1" applyFill="1" applyBorder="1" applyAlignment="1">
      <alignment horizontal="center" vertical="center" wrapText="1"/>
    </xf>
    <xf numFmtId="0" fontId="27" fillId="16" borderId="15" xfId="1" applyFont="1" applyFill="1" applyBorder="1" applyAlignment="1">
      <alignment horizontal="center" vertical="center" wrapText="1"/>
    </xf>
    <xf numFmtId="0" fontId="27" fillId="16" borderId="14" xfId="1" applyFont="1" applyFill="1" applyBorder="1" applyAlignment="1">
      <alignment horizontal="center" vertical="center" wrapText="1"/>
    </xf>
    <xf numFmtId="0" fontId="27" fillId="16" borderId="13" xfId="1" applyFont="1" applyFill="1" applyBorder="1" applyAlignment="1">
      <alignment horizontal="center" vertical="center" wrapText="1"/>
    </xf>
    <xf numFmtId="0" fontId="27" fillId="16" borderId="11" xfId="1" applyFont="1" applyFill="1" applyBorder="1" applyAlignment="1">
      <alignment horizontal="center" vertical="center" wrapText="1"/>
    </xf>
    <xf numFmtId="0" fontId="27" fillId="16" borderId="10" xfId="1" applyFont="1" applyFill="1" applyBorder="1" applyAlignment="1">
      <alignment horizontal="center" vertical="center" wrapText="1"/>
    </xf>
    <xf numFmtId="0" fontId="53" fillId="9" borderId="70" xfId="1" applyFont="1" applyFill="1" applyBorder="1" applyAlignment="1">
      <alignment horizontal="center" vertical="center" wrapText="1"/>
    </xf>
    <xf numFmtId="0" fontId="53" fillId="9" borderId="71" xfId="1" applyFont="1" applyFill="1" applyBorder="1" applyAlignment="1">
      <alignment horizontal="center" vertical="center" wrapText="1"/>
    </xf>
    <xf numFmtId="0" fontId="53" fillId="9" borderId="72" xfId="1" applyFont="1" applyFill="1" applyBorder="1" applyAlignment="1">
      <alignment horizontal="center" vertical="center" wrapText="1"/>
    </xf>
    <xf numFmtId="0" fontId="53" fillId="9" borderId="73" xfId="1" applyFont="1" applyFill="1" applyBorder="1" applyAlignment="1">
      <alignment horizontal="center" vertical="center" wrapText="1"/>
    </xf>
    <xf numFmtId="0" fontId="53" fillId="9" borderId="74" xfId="1" applyFont="1" applyFill="1" applyBorder="1" applyAlignment="1">
      <alignment horizontal="center" vertical="center" wrapText="1"/>
    </xf>
    <xf numFmtId="0" fontId="53" fillId="9" borderId="75" xfId="1" applyFont="1" applyFill="1" applyBorder="1" applyAlignment="1">
      <alignment horizontal="center" vertical="center" wrapText="1"/>
    </xf>
    <xf numFmtId="0" fontId="3" fillId="13" borderId="43" xfId="0" applyFont="1" applyFill="1" applyBorder="1" applyAlignment="1">
      <alignment horizontal="center" vertical="center"/>
    </xf>
    <xf numFmtId="0" fontId="37" fillId="13" borderId="54" xfId="0" applyFont="1" applyFill="1" applyBorder="1" applyAlignment="1">
      <alignment horizontal="center" vertical="center"/>
    </xf>
    <xf numFmtId="0" fontId="37" fillId="13" borderId="47" xfId="0" applyFont="1" applyFill="1" applyBorder="1" applyAlignment="1">
      <alignment horizontal="center" vertical="center"/>
    </xf>
    <xf numFmtId="0" fontId="33" fillId="19" borderId="60" xfId="0" applyFont="1" applyFill="1" applyBorder="1" applyAlignment="1">
      <alignment horizontal="center" vertical="center"/>
    </xf>
    <xf numFmtId="0" fontId="33" fillId="19" borderId="61" xfId="0" applyFont="1" applyFill="1" applyBorder="1" applyAlignment="1">
      <alignment horizontal="center" vertical="center"/>
    </xf>
    <xf numFmtId="0" fontId="30" fillId="13" borderId="60" xfId="0" applyFont="1" applyFill="1" applyBorder="1" applyAlignment="1">
      <alignment horizontal="center" vertical="center"/>
    </xf>
    <xf numFmtId="0" fontId="30" fillId="13" borderId="61" xfId="0" applyFont="1" applyFill="1" applyBorder="1" applyAlignment="1">
      <alignment horizontal="center" vertical="center"/>
    </xf>
    <xf numFmtId="0" fontId="33" fillId="22" borderId="60" xfId="0" applyFont="1" applyFill="1" applyBorder="1" applyAlignment="1">
      <alignment horizontal="center" vertical="center"/>
    </xf>
    <xf numFmtId="0" fontId="33" fillId="22" borderId="61" xfId="0" applyFont="1" applyFill="1" applyBorder="1" applyAlignment="1">
      <alignment horizontal="center" vertical="center"/>
    </xf>
    <xf numFmtId="0" fontId="30" fillId="13" borderId="43" xfId="0" applyFont="1" applyFill="1" applyBorder="1" applyAlignment="1">
      <alignment horizontal="center" vertical="center"/>
    </xf>
    <xf numFmtId="0" fontId="30" fillId="14" borderId="43" xfId="0" applyFont="1" applyFill="1" applyBorder="1" applyAlignment="1">
      <alignment horizontal="center" vertical="center"/>
    </xf>
    <xf numFmtId="0" fontId="30" fillId="14" borderId="44" xfId="0" applyFont="1" applyFill="1" applyBorder="1" applyAlignment="1">
      <alignment horizontal="center" vertical="center"/>
    </xf>
    <xf numFmtId="0" fontId="30" fillId="14" borderId="48" xfId="0" applyFont="1" applyFill="1" applyBorder="1" applyAlignment="1">
      <alignment horizontal="center" vertical="center"/>
    </xf>
    <xf numFmtId="0" fontId="1" fillId="14" borderId="43" xfId="0" applyFont="1" applyFill="1" applyBorder="1" applyAlignment="1">
      <alignment horizontal="center" vertical="center"/>
    </xf>
    <xf numFmtId="0" fontId="41" fillId="21" borderId="43" xfId="0" applyFont="1" applyFill="1" applyBorder="1" applyAlignment="1">
      <alignment horizontal="center" vertical="center" wrapText="1"/>
    </xf>
    <xf numFmtId="0" fontId="2" fillId="4" borderId="60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61" xfId="0" applyNumberFormat="1" applyFont="1" applyFill="1" applyBorder="1" applyAlignment="1" applyProtection="1">
      <alignment horizontal="center" vertical="center" wrapText="1"/>
      <protection locked="0"/>
    </xf>
  </cellXfs>
  <cellStyles count="6">
    <cellStyle name="Collegamento ipertestuale 2" xfId="2" xr:uid="{E39E2D54-2A0A-3540-B048-43CA18D8174B}"/>
    <cellStyle name="Normale" xfId="0" builtinId="0"/>
    <cellStyle name="Normale 2" xfId="1" xr:uid="{AF19BCEE-3A49-C740-9F6F-185740FD7E8F}"/>
    <cellStyle name="Normale 3" xfId="5" xr:uid="{305B0CD5-1CCB-4541-976D-CE7D11646FA9}"/>
    <cellStyle name="Percentuale" xfId="4" builtinId="5"/>
    <cellStyle name="Percentuale 2" xfId="3" xr:uid="{931465F1-BB50-7441-92E4-F9E25E73E08C}"/>
  </cellStyles>
  <dxfs count="61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DDDDDD"/>
      <rgbColor rgb="FFAAAAAA"/>
      <rgbColor rgb="FFD5D5D5"/>
      <rgbColor rgb="FFFFFFFF"/>
      <rgbColor rgb="FFFF2600"/>
      <rgbColor rgb="FFFFFF00"/>
      <rgbColor rgb="FFFFC000"/>
      <rgbColor rgb="FF92D05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66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886565291274999"/>
          <c:y val="7.9114046297169005E-2"/>
          <c:w val="0.78100364472146699"/>
          <c:h val="0.73417834963772899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F20884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25400">
                <a:solidFill>
                  <a:srgbClr val="F20884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3DB0-C243-B74F-F7B6083434AB}"/>
              </c:ext>
            </c:extLst>
          </c:dPt>
          <c:xVal>
            <c:numRef>
              <c:f>'FVP profile - MORIN'!$X$9:$X$10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'FVP profile - MORIN'!$Y$9:$Y$10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0-C243-B74F-F7B6083434AB}"/>
            </c:ext>
          </c:extLst>
        </c:ser>
        <c:ser>
          <c:idx val="2"/>
          <c:order val="1"/>
          <c:spPr>
            <a:ln w="25400">
              <a:solidFill>
                <a:srgbClr val="0000D4"/>
              </a:solidFill>
              <a:prstDash val="sysDash"/>
            </a:ln>
          </c:spPr>
          <c:marker>
            <c:symbol val="none"/>
          </c:marker>
          <c:xVal>
            <c:numRef>
              <c:f>'FVP profile - MORIN'!$X$18:$X$19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'FVP profile - MORIN'!$Y$18:$Y$19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0-C243-B74F-F7B6083434AB}"/>
            </c:ext>
          </c:extLst>
        </c:ser>
        <c:ser>
          <c:idx val="3"/>
          <c:order val="2"/>
          <c:spPr>
            <a:ln w="38100">
              <a:solidFill>
                <a:srgbClr val="00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'FVP profile - MORIN'!$X$24:$X$25</c:f>
              <c:numCache>
                <c:formatCode>0.00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'FVP profile - MORIN'!$Y$24:$Y$25</c:f>
              <c:numCache>
                <c:formatCode>General</c:formatCode>
                <c:ptCount val="2"/>
                <c:pt idx="0" formatCode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0-C243-B74F-F7B608343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318624"/>
        <c:axId val="-2097825712"/>
      </c:scatterChart>
      <c:valAx>
        <c:axId val="-211831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Velocity (m/s)</a:t>
                </a:r>
              </a:p>
            </c:rich>
          </c:tx>
          <c:layout>
            <c:manualLayout>
              <c:xMode val="edge"/>
              <c:yMode val="edge"/>
              <c:x val="0.41978019238360398"/>
              <c:y val="0.901124539021230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2097825712"/>
        <c:crosses val="autoZero"/>
        <c:crossBetween val="midCat"/>
      </c:valAx>
      <c:valAx>
        <c:axId val="-209782571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Force (N/kg)</a:t>
                </a:r>
              </a:p>
            </c:rich>
          </c:tx>
          <c:layout>
            <c:manualLayout>
              <c:xMode val="edge"/>
              <c:yMode val="edge"/>
              <c:x val="3.3195105229260599E-2"/>
              <c:y val="0.402779079039170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21183186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984251969" l="0.75" r="0.75" t="0.984251969" header="0.492125984500001" footer="0.4921259845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2767798776937"/>
          <c:y val="7.8369935945587998E-2"/>
          <c:w val="0.76762475486313597"/>
          <c:h val="0.802508144082821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2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08516477868465"/>
                  <c:y val="-0.6974075040318750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'FVP profile - MORIN'!$I$8:$I$13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'FVP profile - MORIN'!$H$8:$H$13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AB-934E-9331-BE867E7BA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825536"/>
        <c:axId val="-2076422912"/>
      </c:scatterChart>
      <c:valAx>
        <c:axId val="-211882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Velocity (m/s)</a:t>
                </a:r>
              </a:p>
            </c:rich>
          </c:tx>
          <c:layout>
            <c:manualLayout>
              <c:xMode val="edge"/>
              <c:yMode val="edge"/>
              <c:x val="0.70698690405213704"/>
              <c:y val="0.936686495692740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2076422912"/>
        <c:crosses val="autoZero"/>
        <c:crossBetween val="midCat"/>
      </c:valAx>
      <c:valAx>
        <c:axId val="-2076422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Force (N)</a:t>
                </a:r>
              </a:p>
            </c:rich>
          </c:tx>
          <c:layout>
            <c:manualLayout>
              <c:xMode val="edge"/>
              <c:yMode val="edge"/>
              <c:x val="3.3195041220369599E-2"/>
              <c:y val="0.402779354775009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2118825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984251969" l="0.75" r="0.75" t="0.984251969" header="0.492125984500001" footer="0.4921259845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4.tif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microsoft.com/office/2007/relationships/hdphoto" Target="../media/hdphoto1.wdp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16</xdr:row>
      <xdr:rowOff>0</xdr:rowOff>
    </xdr:from>
    <xdr:to>
      <xdr:col>12</xdr:col>
      <xdr:colOff>38100</xdr:colOff>
      <xdr:row>41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E9A946B-36F3-9845-9242-534E5390A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393700</xdr:colOff>
      <xdr:row>32</xdr:row>
      <xdr:rowOff>127000</xdr:rowOff>
    </xdr:from>
    <xdr:to>
      <xdr:col>4</xdr:col>
      <xdr:colOff>50800</xdr:colOff>
      <xdr:row>42</xdr:row>
      <xdr:rowOff>101600</xdr:rowOff>
    </xdr:to>
    <xdr:pic>
      <xdr:nvPicPr>
        <xdr:cNvPr id="3" name="Picture 3" descr="saut homme">
          <a:extLst>
            <a:ext uri="{FF2B5EF4-FFF2-40B4-BE49-F238E27FC236}">
              <a16:creationId xmlns:a16="http://schemas.microsoft.com/office/drawing/2014/main" id="{3ECDAD80-9756-A444-A330-318AFF80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6F6F6"/>
            </a:clrFrom>
            <a:clrTo>
              <a:srgbClr val="F6F6F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70200" y="5410200"/>
          <a:ext cx="482600" cy="162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</xdr:row>
      <xdr:rowOff>137583</xdr:rowOff>
    </xdr:from>
    <xdr:to>
      <xdr:col>2</xdr:col>
      <xdr:colOff>1447800</xdr:colOff>
      <xdr:row>41</xdr:row>
      <xdr:rowOff>152400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9D9A2D9-D17B-424C-8456-A72230A32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84517</xdr:colOff>
      <xdr:row>24</xdr:row>
      <xdr:rowOff>13657</xdr:rowOff>
    </xdr:from>
    <xdr:ext cx="747257" cy="715349"/>
    <xdr:pic>
      <xdr:nvPicPr>
        <xdr:cNvPr id="5" name="Image 1">
          <a:extLst>
            <a:ext uri="{FF2B5EF4-FFF2-40B4-BE49-F238E27FC236}">
              <a16:creationId xmlns:a16="http://schemas.microsoft.com/office/drawing/2014/main" id="{8C4BDD57-E29F-DC44-B61B-5C189C2EA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86517" y="3976057"/>
          <a:ext cx="747257" cy="715349"/>
        </a:xfrm>
        <a:prstGeom prst="rect">
          <a:avLst/>
        </a:prstGeom>
      </xdr:spPr>
    </xdr:pic>
    <xdr:clientData/>
  </xdr:oneCellAnchor>
  <xdr:oneCellAnchor>
    <xdr:from>
      <xdr:col>12</xdr:col>
      <xdr:colOff>229308</xdr:colOff>
      <xdr:row>0</xdr:row>
      <xdr:rowOff>1</xdr:rowOff>
    </xdr:from>
    <xdr:ext cx="3962704" cy="9218083"/>
    <xdr:pic>
      <xdr:nvPicPr>
        <xdr:cNvPr id="6" name="Image 2">
          <a:extLst>
            <a:ext uri="{FF2B5EF4-FFF2-40B4-BE49-F238E27FC236}">
              <a16:creationId xmlns:a16="http://schemas.microsoft.com/office/drawing/2014/main" id="{A0F6FB19-9168-2D44-977E-0E4D5344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35308" y="1"/>
          <a:ext cx="3962704" cy="9218083"/>
        </a:xfrm>
        <a:prstGeom prst="rect">
          <a:avLst/>
        </a:prstGeom>
      </xdr:spPr>
    </xdr:pic>
    <xdr:clientData/>
  </xdr:oneCellAnchor>
  <xdr:oneCellAnchor>
    <xdr:from>
      <xdr:col>3</xdr:col>
      <xdr:colOff>40217</xdr:colOff>
      <xdr:row>28</xdr:row>
      <xdr:rowOff>127000</xdr:rowOff>
    </xdr:from>
    <xdr:ext cx="1379569" cy="678579"/>
    <xdr:pic>
      <xdr:nvPicPr>
        <xdr:cNvPr id="12" name="Image 4">
          <a:extLst>
            <a:ext uri="{FF2B5EF4-FFF2-40B4-BE49-F238E27FC236}">
              <a16:creationId xmlns:a16="http://schemas.microsoft.com/office/drawing/2014/main" id="{87FECB29-08DA-DE43-B48E-E27829E55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16717" y="4749800"/>
          <a:ext cx="1379569" cy="6785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/>
  <dimension ref="A1:AB29"/>
  <sheetViews>
    <sheetView showGridLines="0" tabSelected="1" topLeftCell="A9" zoomScale="70" zoomScaleNormal="70" workbookViewId="0">
      <selection activeCell="F19" sqref="F19:G19"/>
    </sheetView>
  </sheetViews>
  <sheetFormatPr defaultColWidth="10.8125" defaultRowHeight="16.05" customHeight="1"/>
  <cols>
    <col min="1" max="28" width="11.6875" style="175" customWidth="1"/>
    <col min="29" max="29" width="10.8125" style="175" customWidth="1"/>
    <col min="30" max="16384" width="10.8125" style="175"/>
  </cols>
  <sheetData>
    <row r="1" spans="1:28" ht="35" customHeight="1">
      <c r="A1" s="195" t="s">
        <v>108</v>
      </c>
      <c r="B1" s="196"/>
      <c r="C1" s="197"/>
      <c r="D1" s="198"/>
      <c r="E1" s="197"/>
      <c r="F1" s="198"/>
      <c r="G1" s="191" t="s">
        <v>107</v>
      </c>
      <c r="H1" s="192"/>
      <c r="I1" s="191" t="s">
        <v>124</v>
      </c>
      <c r="J1" s="192"/>
      <c r="K1" s="191" t="s">
        <v>242</v>
      </c>
      <c r="L1" s="192"/>
      <c r="M1" s="199" t="s">
        <v>0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63"/>
    </row>
    <row r="2" spans="1:28" ht="35" customHeight="1">
      <c r="A2" s="116" t="s">
        <v>235</v>
      </c>
      <c r="B2" s="176"/>
      <c r="C2" s="116" t="s">
        <v>236</v>
      </c>
      <c r="D2" s="143">
        <f ca="1">TODAY()-B2</f>
        <v>46072</v>
      </c>
      <c r="E2" s="116" t="s">
        <v>239</v>
      </c>
      <c r="F2" s="144"/>
      <c r="G2" s="197" t="s">
        <v>167</v>
      </c>
      <c r="H2" s="198"/>
      <c r="I2" s="197" t="s">
        <v>125</v>
      </c>
      <c r="J2" s="198"/>
      <c r="K2" s="193" t="s">
        <v>243</v>
      </c>
      <c r="L2" s="194"/>
      <c r="M2" s="239" t="s">
        <v>1</v>
      </c>
      <c r="N2" s="196"/>
      <c r="O2" s="195" t="s">
        <v>2</v>
      </c>
      <c r="P2" s="262" t="s">
        <v>3</v>
      </c>
      <c r="Q2" s="196"/>
      <c r="R2" s="196"/>
      <c r="S2" s="196"/>
      <c r="T2" s="262" t="s">
        <v>4</v>
      </c>
      <c r="U2" s="262"/>
      <c r="V2" s="262"/>
      <c r="W2" s="262"/>
      <c r="X2" s="262"/>
      <c r="Y2" s="264" t="s">
        <v>172</v>
      </c>
      <c r="Z2" s="264"/>
      <c r="AA2" s="264"/>
      <c r="AB2" s="265"/>
    </row>
    <row r="3" spans="1:28" ht="35" customHeight="1">
      <c r="A3" s="195" t="s">
        <v>118</v>
      </c>
      <c r="B3" s="196"/>
      <c r="C3" s="117"/>
      <c r="D3" s="142" t="s">
        <v>222</v>
      </c>
      <c r="E3" s="142" t="s">
        <v>228</v>
      </c>
      <c r="F3" s="145"/>
      <c r="G3" s="191" t="s">
        <v>223</v>
      </c>
      <c r="H3" s="191"/>
      <c r="I3" s="191"/>
      <c r="J3" s="191"/>
      <c r="K3" s="188"/>
      <c r="L3" s="174"/>
      <c r="M3" s="196"/>
      <c r="N3" s="196"/>
      <c r="O3" s="196"/>
      <c r="P3" s="116" t="s">
        <v>5</v>
      </c>
      <c r="Q3" s="116" t="s">
        <v>6</v>
      </c>
      <c r="R3" s="116" t="s">
        <v>7</v>
      </c>
      <c r="S3" s="128" t="s">
        <v>8</v>
      </c>
      <c r="T3" s="116" t="s">
        <v>9</v>
      </c>
      <c r="U3" s="116" t="s">
        <v>10</v>
      </c>
      <c r="V3" s="116" t="s">
        <v>11</v>
      </c>
      <c r="W3" s="128" t="s">
        <v>120</v>
      </c>
      <c r="X3" s="128" t="s">
        <v>12</v>
      </c>
      <c r="Y3" s="264"/>
      <c r="Z3" s="264"/>
      <c r="AA3" s="264"/>
      <c r="AB3" s="265"/>
    </row>
    <row r="4" spans="1:28" ht="35" customHeight="1">
      <c r="A4" s="195" t="s">
        <v>119</v>
      </c>
      <c r="B4" s="196"/>
      <c r="C4" s="117"/>
      <c r="D4" s="135" t="e">
        <f>C4/(C3/100)^2</f>
        <v>#DIV/0!</v>
      </c>
      <c r="E4" s="142" t="s">
        <v>229</v>
      </c>
      <c r="F4" s="145"/>
      <c r="G4" s="142" t="s">
        <v>224</v>
      </c>
      <c r="H4" s="142" t="s">
        <v>225</v>
      </c>
      <c r="I4" s="142" t="s">
        <v>226</v>
      </c>
      <c r="J4" s="142" t="s">
        <v>227</v>
      </c>
      <c r="K4" s="188"/>
      <c r="L4" s="174"/>
      <c r="M4" s="196"/>
      <c r="N4" s="196"/>
      <c r="O4" s="118" t="s">
        <v>13</v>
      </c>
      <c r="P4" s="146"/>
      <c r="Q4" s="118"/>
      <c r="R4" s="118"/>
      <c r="S4" s="147">
        <f>MAX(P4,Q4,R4)</f>
        <v>0</v>
      </c>
      <c r="T4" s="148"/>
      <c r="U4" s="149"/>
      <c r="V4" s="149"/>
      <c r="W4" s="150" t="e">
        <f>AVERAGE(T4,U4,V4)</f>
        <v>#DIV/0!</v>
      </c>
      <c r="X4" s="151" cm="1">
        <f t="array" ref="X4">MIN(T4,U4,V4)</f>
        <v>0</v>
      </c>
      <c r="Y4" s="266" t="s">
        <v>244</v>
      </c>
      <c r="Z4" s="266"/>
      <c r="AA4" s="266"/>
      <c r="AB4" s="267"/>
    </row>
    <row r="5" spans="1:28" ht="35" customHeight="1">
      <c r="A5" s="195" t="s">
        <v>121</v>
      </c>
      <c r="B5" s="195"/>
      <c r="C5" s="195"/>
      <c r="D5" s="195"/>
      <c r="E5" s="117"/>
      <c r="F5" s="129"/>
      <c r="G5" s="145"/>
      <c r="H5" s="145"/>
      <c r="I5" s="177">
        <f>G5-H5</f>
        <v>0</v>
      </c>
      <c r="J5" s="179" t="e">
        <f>(G5-H5)/H5</f>
        <v>#DIV/0!</v>
      </c>
      <c r="K5" s="188"/>
      <c r="L5" s="174"/>
      <c r="M5" s="196"/>
      <c r="N5" s="196"/>
      <c r="O5" s="118" t="s">
        <v>14</v>
      </c>
      <c r="P5" s="118"/>
      <c r="Q5" s="118"/>
      <c r="R5" s="118"/>
      <c r="S5" s="147" cm="1">
        <f t="array" ref="S5">MAX(P5,Q5,R5)</f>
        <v>0</v>
      </c>
      <c r="T5" s="149"/>
      <c r="U5" s="149"/>
      <c r="V5" s="149"/>
      <c r="W5" s="150" t="e">
        <f t="shared" ref="W5:W9" si="0">AVERAGE(T5,U5,V5)</f>
        <v>#DIV/0!</v>
      </c>
      <c r="X5" s="151" cm="1">
        <f t="array" ref="X5">MIN(T5,U5,V5)</f>
        <v>0</v>
      </c>
      <c r="Y5" s="266"/>
      <c r="Z5" s="266"/>
      <c r="AA5" s="266"/>
      <c r="AB5" s="268"/>
    </row>
    <row r="6" spans="1:28" ht="35" customHeight="1">
      <c r="A6" s="195" t="s">
        <v>122</v>
      </c>
      <c r="B6" s="195"/>
      <c r="C6" s="195"/>
      <c r="D6" s="195"/>
      <c r="E6" s="117"/>
      <c r="F6" s="129"/>
      <c r="G6" s="129"/>
      <c r="H6" s="178"/>
      <c r="I6" s="178"/>
      <c r="J6" s="178"/>
      <c r="K6" s="188"/>
      <c r="L6" s="174"/>
      <c r="M6" s="196"/>
      <c r="N6" s="196"/>
      <c r="O6" s="118" t="s">
        <v>15</v>
      </c>
      <c r="P6" s="118"/>
      <c r="Q6" s="118"/>
      <c r="R6" s="118"/>
      <c r="S6" s="147" cm="1">
        <f t="array" ref="S6">MAX(P6,Q6,R6)</f>
        <v>0</v>
      </c>
      <c r="T6" s="149"/>
      <c r="U6" s="149"/>
      <c r="V6" s="149"/>
      <c r="W6" s="150" t="e">
        <f t="shared" si="0"/>
        <v>#DIV/0!</v>
      </c>
      <c r="X6" s="151" cm="1">
        <f t="array" ref="X6">MIN(T6,U6,V6)</f>
        <v>0</v>
      </c>
      <c r="Y6" s="266"/>
      <c r="Z6" s="266"/>
      <c r="AA6" s="266"/>
      <c r="AB6" s="269"/>
    </row>
    <row r="7" spans="1:28" ht="35" customHeight="1">
      <c r="A7" s="199" t="s">
        <v>16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56"/>
      <c r="M7" s="196"/>
      <c r="N7" s="196"/>
      <c r="O7" s="118" t="s">
        <v>17</v>
      </c>
      <c r="P7" s="118"/>
      <c r="Q7" s="118"/>
      <c r="R7" s="118"/>
      <c r="S7" s="147" cm="1">
        <f t="array" ref="S7">MAX(P7,Q7,R7)</f>
        <v>0</v>
      </c>
      <c r="T7" s="149"/>
      <c r="U7" s="149"/>
      <c r="V7" s="149"/>
      <c r="W7" s="150" t="e">
        <f t="shared" si="0"/>
        <v>#DIV/0!</v>
      </c>
      <c r="X7" s="151" cm="1">
        <f t="array" ref="X7">MIN(T7,U7,V7)</f>
        <v>0</v>
      </c>
      <c r="Y7" s="270" t="s">
        <v>185</v>
      </c>
      <c r="Z7" s="270"/>
      <c r="AA7" s="270"/>
      <c r="AB7" s="271"/>
    </row>
    <row r="8" spans="1:28" ht="35" customHeight="1">
      <c r="A8" s="239" t="s">
        <v>18</v>
      </c>
      <c r="B8" s="196"/>
      <c r="C8" s="195" t="s">
        <v>19</v>
      </c>
      <c r="D8" s="196"/>
      <c r="E8" s="280"/>
      <c r="F8" s="116" t="s">
        <v>5</v>
      </c>
      <c r="G8" s="116" t="s">
        <v>6</v>
      </c>
      <c r="H8" s="116" t="s">
        <v>7</v>
      </c>
      <c r="I8" s="136" t="s">
        <v>20</v>
      </c>
      <c r="J8" s="128" t="s">
        <v>8</v>
      </c>
      <c r="K8" s="137" t="s">
        <v>127</v>
      </c>
      <c r="L8" s="137"/>
      <c r="M8" s="196"/>
      <c r="N8" s="196"/>
      <c r="O8" s="118" t="s">
        <v>21</v>
      </c>
      <c r="P8" s="118"/>
      <c r="Q8" s="118"/>
      <c r="R8" s="118"/>
      <c r="S8" s="147" cm="1">
        <f t="array" ref="S8">MAX(P8,Q8,R8)</f>
        <v>0</v>
      </c>
      <c r="T8" s="149"/>
      <c r="U8" s="149"/>
      <c r="V8" s="149"/>
      <c r="W8" s="150" t="e">
        <f t="shared" si="0"/>
        <v>#DIV/0!</v>
      </c>
      <c r="X8" s="151" cm="1">
        <f t="array" ref="X8">MIN(T8,U8,V8)</f>
        <v>0</v>
      </c>
      <c r="Y8" s="270"/>
      <c r="Z8" s="270"/>
      <c r="AA8" s="270"/>
      <c r="AB8" s="272"/>
    </row>
    <row r="9" spans="1:28" ht="35" customHeight="1">
      <c r="A9" s="196"/>
      <c r="B9" s="196"/>
      <c r="C9" s="195" t="s">
        <v>238</v>
      </c>
      <c r="D9" s="278"/>
      <c r="E9" s="279"/>
      <c r="F9" s="117"/>
      <c r="G9" s="117"/>
      <c r="H9" s="117"/>
      <c r="I9" s="138" t="e" cm="1">
        <f t="array" ref="I9">AVERAGE(F9,G9,H9)</f>
        <v>#DIV/0!</v>
      </c>
      <c r="J9" s="139">
        <f t="shared" ref="J9:J13" si="1">MAX(F9,G9,H9)</f>
        <v>0</v>
      </c>
      <c r="K9" s="140">
        <f>J9+6</f>
        <v>6</v>
      </c>
      <c r="L9" s="169"/>
      <c r="M9" s="196"/>
      <c r="N9" s="196"/>
      <c r="O9" s="118" t="s">
        <v>22</v>
      </c>
      <c r="P9" s="118"/>
      <c r="Q9" s="118"/>
      <c r="R9" s="118"/>
      <c r="S9" s="147" cm="1">
        <f t="array" ref="S9">MAX(P9,Q9,R9)</f>
        <v>0</v>
      </c>
      <c r="T9" s="149"/>
      <c r="U9" s="149"/>
      <c r="V9" s="149"/>
      <c r="W9" s="150" t="e">
        <f t="shared" si="0"/>
        <v>#DIV/0!</v>
      </c>
      <c r="X9" s="151" cm="1">
        <f t="array" ref="X9">MIN(T9,U9,V9)</f>
        <v>0</v>
      </c>
      <c r="Y9" s="270"/>
      <c r="Z9" s="270"/>
      <c r="AA9" s="270"/>
      <c r="AB9" s="273"/>
    </row>
    <row r="10" spans="1:28" ht="35" customHeight="1">
      <c r="A10" s="196"/>
      <c r="B10" s="196"/>
      <c r="C10" s="195" t="s">
        <v>175</v>
      </c>
      <c r="D10" s="195"/>
      <c r="E10" s="195"/>
      <c r="F10" s="117"/>
      <c r="G10" s="117"/>
      <c r="H10" s="117"/>
      <c r="I10" s="138" t="e" cm="1">
        <f t="array" ref="I10">AVERAGE(F10,G10,H10)</f>
        <v>#DIV/0!</v>
      </c>
      <c r="J10" s="138">
        <f t="shared" si="1"/>
        <v>0</v>
      </c>
      <c r="K10" s="141">
        <f>SUM(J10,6)</f>
        <v>6</v>
      </c>
      <c r="L10" s="170"/>
      <c r="M10" s="157" t="s">
        <v>176</v>
      </c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9"/>
    </row>
    <row r="11" spans="1:28" ht="35" customHeight="1">
      <c r="A11" s="196"/>
      <c r="B11" s="196"/>
      <c r="C11" s="132"/>
      <c r="D11" s="132"/>
      <c r="E11" s="132"/>
      <c r="F11" s="189"/>
      <c r="G11" s="189"/>
      <c r="H11" s="189"/>
      <c r="I11" s="190"/>
      <c r="J11" s="190"/>
      <c r="K11" s="169"/>
      <c r="L11" s="169"/>
      <c r="M11" s="199" t="s">
        <v>176</v>
      </c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53"/>
      <c r="Z11" s="253"/>
      <c r="AA11" s="253"/>
      <c r="AB11" s="254"/>
    </row>
    <row r="12" spans="1:28" ht="35" customHeight="1">
      <c r="A12" s="196"/>
      <c r="B12" s="196"/>
      <c r="C12" s="195" t="s">
        <v>174</v>
      </c>
      <c r="D12" s="278"/>
      <c r="E12" s="279"/>
      <c r="F12" s="117"/>
      <c r="G12" s="117"/>
      <c r="H12" s="117"/>
      <c r="I12" s="138" t="e" cm="1">
        <f t="array" ref="I12">AVERAGE(F12,G12,H12)</f>
        <v>#DIV/0!</v>
      </c>
      <c r="J12" s="139">
        <f t="shared" si="1"/>
        <v>0</v>
      </c>
      <c r="K12" s="140">
        <f>J12+6</f>
        <v>6</v>
      </c>
      <c r="L12" s="170"/>
      <c r="M12" s="201" t="s">
        <v>1</v>
      </c>
      <c r="N12" s="202"/>
      <c r="O12" s="218" t="s">
        <v>23</v>
      </c>
      <c r="P12" s="219"/>
      <c r="Q12" s="219"/>
      <c r="R12" s="219"/>
      <c r="S12" s="219"/>
      <c r="T12" s="219"/>
      <c r="U12" s="219"/>
      <c r="V12" s="219"/>
      <c r="W12" s="219"/>
      <c r="X12" s="220"/>
      <c r="Y12" s="228"/>
      <c r="Z12" s="229"/>
      <c r="AA12" s="229"/>
      <c r="AB12" s="230"/>
    </row>
    <row r="13" spans="1:28" ht="35" customHeight="1">
      <c r="A13" s="196"/>
      <c r="B13" s="196"/>
      <c r="C13" s="195" t="s">
        <v>237</v>
      </c>
      <c r="D13" s="195"/>
      <c r="E13" s="195"/>
      <c r="F13" s="117"/>
      <c r="G13" s="117"/>
      <c r="H13" s="117"/>
      <c r="I13" s="138" t="e" cm="1">
        <f t="array" ref="I13">AVERAGE(F13,G13,H13)</f>
        <v>#DIV/0!</v>
      </c>
      <c r="J13" s="138">
        <f t="shared" si="1"/>
        <v>0</v>
      </c>
      <c r="K13" s="141">
        <f>SUM(J13,6)</f>
        <v>6</v>
      </c>
      <c r="L13" s="171"/>
      <c r="M13" s="203"/>
      <c r="N13" s="204"/>
      <c r="O13" s="224" t="s">
        <v>19</v>
      </c>
      <c r="P13" s="224" t="s">
        <v>25</v>
      </c>
      <c r="Q13" s="224" t="s">
        <v>26</v>
      </c>
      <c r="R13" s="224" t="s">
        <v>27</v>
      </c>
      <c r="S13" s="221" t="s">
        <v>3</v>
      </c>
      <c r="T13" s="222"/>
      <c r="U13" s="222"/>
      <c r="V13" s="222"/>
      <c r="W13" s="222"/>
      <c r="X13" s="223"/>
      <c r="Y13" s="231"/>
      <c r="Z13" s="232"/>
      <c r="AA13" s="232"/>
      <c r="AB13" s="233"/>
    </row>
    <row r="14" spans="1:28" ht="35" customHeight="1">
      <c r="A14" s="196"/>
      <c r="B14" s="196"/>
      <c r="C14" s="132"/>
      <c r="D14" s="132"/>
      <c r="E14" s="132"/>
      <c r="F14" s="189"/>
      <c r="G14" s="189"/>
      <c r="H14" s="189"/>
      <c r="I14" s="190"/>
      <c r="J14" s="190"/>
      <c r="K14" s="169"/>
      <c r="L14" s="171"/>
      <c r="M14" s="203"/>
      <c r="N14" s="204"/>
      <c r="O14" s="225"/>
      <c r="P14" s="225"/>
      <c r="Q14" s="225"/>
      <c r="R14" s="225"/>
      <c r="S14" s="116" t="s">
        <v>5</v>
      </c>
      <c r="T14" s="116" t="s">
        <v>6</v>
      </c>
      <c r="U14" s="116" t="s">
        <v>7</v>
      </c>
      <c r="V14" s="128" t="s">
        <v>123</v>
      </c>
      <c r="W14" s="128" t="s">
        <v>8</v>
      </c>
      <c r="X14" s="137" t="s">
        <v>126</v>
      </c>
      <c r="Y14" s="231"/>
      <c r="Z14" s="232"/>
      <c r="AA14" s="232"/>
      <c r="AB14" s="233"/>
    </row>
    <row r="15" spans="1:28" ht="35" customHeight="1">
      <c r="A15" s="196"/>
      <c r="B15" s="196"/>
      <c r="C15" s="195" t="s">
        <v>170</v>
      </c>
      <c r="D15" s="195"/>
      <c r="E15" s="195"/>
      <c r="F15" s="117"/>
      <c r="G15" s="117"/>
      <c r="H15" s="117"/>
      <c r="I15" s="138" t="e" cm="1">
        <f t="array" ref="I15">AVERAGE(F15,G15,H15)</f>
        <v>#DIV/0!</v>
      </c>
      <c r="J15" s="258" t="s">
        <v>24</v>
      </c>
      <c r="K15" s="258"/>
      <c r="L15" s="172"/>
      <c r="M15" s="203"/>
      <c r="N15" s="204"/>
      <c r="O15" s="152" t="s">
        <v>28</v>
      </c>
      <c r="P15" s="153">
        <v>0</v>
      </c>
      <c r="Q15" s="154">
        <f>C4*P15</f>
        <v>0</v>
      </c>
      <c r="R15" s="154">
        <v>0</v>
      </c>
      <c r="S15" s="118"/>
      <c r="T15" s="118"/>
      <c r="U15" s="118"/>
      <c r="V15" s="147" t="e">
        <f>AVERAGE(S15,T15,U15)</f>
        <v>#DIV/0!</v>
      </c>
      <c r="W15" s="155">
        <f>MAX(S15,T15,U15)</f>
        <v>0</v>
      </c>
      <c r="X15" s="155">
        <f>SUM(W15,6)</f>
        <v>6</v>
      </c>
      <c r="Y15" s="231"/>
      <c r="Z15" s="232"/>
      <c r="AA15" s="232"/>
      <c r="AB15" s="233"/>
    </row>
    <row r="16" spans="1:28" ht="35" customHeight="1">
      <c r="A16" s="196"/>
      <c r="B16" s="196"/>
      <c r="C16" s="195" t="s">
        <v>171</v>
      </c>
      <c r="D16" s="196"/>
      <c r="E16" s="196"/>
      <c r="F16" s="117"/>
      <c r="G16" s="117"/>
      <c r="H16" s="117"/>
      <c r="I16" s="138" t="e" cm="1">
        <f t="array" ref="I16">AVERAGE(F16,G16,H16)</f>
        <v>#DIV/0!</v>
      </c>
      <c r="J16" s="276" t="e">
        <f>(I15-I16)/I16</f>
        <v>#DIV/0!</v>
      </c>
      <c r="K16" s="277"/>
      <c r="L16" s="173"/>
      <c r="M16" s="203"/>
      <c r="N16" s="204"/>
      <c r="O16" s="274" t="s">
        <v>34</v>
      </c>
      <c r="P16" s="153">
        <v>0.25</v>
      </c>
      <c r="Q16" s="154">
        <f>C4*P16</f>
        <v>0</v>
      </c>
      <c r="R16" s="118"/>
      <c r="S16" s="118"/>
      <c r="T16" s="118"/>
      <c r="U16" s="118"/>
      <c r="V16" s="147" t="e">
        <f t="shared" ref="V16:V19" si="2">AVERAGE(S16,T16,U16)</f>
        <v>#DIV/0!</v>
      </c>
      <c r="W16" s="155">
        <f t="shared" ref="W16" si="3">MAX(S16,T16,U16)</f>
        <v>0</v>
      </c>
      <c r="X16" s="147">
        <f t="shared" ref="X16:X19" si="4">SUM(W16,6)</f>
        <v>6</v>
      </c>
      <c r="Y16" s="231"/>
      <c r="Z16" s="232"/>
      <c r="AA16" s="232"/>
      <c r="AB16" s="233"/>
    </row>
    <row r="17" spans="1:28" ht="35" customHeight="1">
      <c r="A17" s="199" t="s">
        <v>168</v>
      </c>
      <c r="B17" s="200"/>
      <c r="C17" s="200"/>
      <c r="D17" s="200"/>
      <c r="E17" s="200"/>
      <c r="F17" s="200"/>
      <c r="G17" s="200"/>
      <c r="H17" s="200"/>
      <c r="I17" s="200"/>
      <c r="J17" s="205"/>
      <c r="K17" s="206"/>
      <c r="L17" s="207"/>
      <c r="M17" s="203"/>
      <c r="N17" s="204"/>
      <c r="O17" s="275"/>
      <c r="P17" s="153">
        <v>0.5</v>
      </c>
      <c r="Q17" s="154">
        <f>C4*P17</f>
        <v>0</v>
      </c>
      <c r="R17" s="118"/>
      <c r="S17" s="118"/>
      <c r="T17" s="118"/>
      <c r="U17" s="118"/>
      <c r="V17" s="147" t="e">
        <f t="shared" si="2"/>
        <v>#DIV/0!</v>
      </c>
      <c r="W17" s="155">
        <f>MAX(S17,T17,U17)</f>
        <v>0</v>
      </c>
      <c r="X17" s="147">
        <f t="shared" si="4"/>
        <v>6</v>
      </c>
      <c r="Y17" s="231"/>
      <c r="Z17" s="232"/>
      <c r="AA17" s="232"/>
      <c r="AB17" s="233"/>
    </row>
    <row r="18" spans="1:28" ht="35" customHeight="1">
      <c r="A18" s="201" t="s">
        <v>29</v>
      </c>
      <c r="B18" s="202"/>
      <c r="C18" s="195" t="s">
        <v>30</v>
      </c>
      <c r="D18" s="196"/>
      <c r="E18" s="196"/>
      <c r="F18" s="221" t="s">
        <v>31</v>
      </c>
      <c r="G18" s="223"/>
      <c r="H18" s="116" t="s">
        <v>32</v>
      </c>
      <c r="I18" s="116" t="s">
        <v>33</v>
      </c>
      <c r="J18" s="205"/>
      <c r="K18" s="206"/>
      <c r="L18" s="207"/>
      <c r="M18" s="203"/>
      <c r="N18" s="204"/>
      <c r="O18" s="275"/>
      <c r="P18" s="153">
        <v>0.75</v>
      </c>
      <c r="Q18" s="154">
        <f>C4*P18</f>
        <v>0</v>
      </c>
      <c r="R18" s="118"/>
      <c r="S18" s="118"/>
      <c r="T18" s="118"/>
      <c r="U18" s="118"/>
      <c r="V18" s="147" t="e">
        <f t="shared" si="2"/>
        <v>#DIV/0!</v>
      </c>
      <c r="W18" s="155">
        <f t="shared" ref="W18:W19" si="5">MAX(S18,T18,U18)</f>
        <v>0</v>
      </c>
      <c r="X18" s="147">
        <f t="shared" si="4"/>
        <v>6</v>
      </c>
      <c r="Y18" s="231"/>
      <c r="Z18" s="232"/>
      <c r="AA18" s="232"/>
      <c r="AB18" s="233"/>
    </row>
    <row r="19" spans="1:28" ht="35" customHeight="1">
      <c r="A19" s="203"/>
      <c r="B19" s="204"/>
      <c r="C19" s="195" t="s">
        <v>169</v>
      </c>
      <c r="D19" s="196"/>
      <c r="E19" s="196"/>
      <c r="F19" s="378"/>
      <c r="G19" s="379"/>
      <c r="H19" s="117"/>
      <c r="I19" s="117"/>
      <c r="J19" s="205"/>
      <c r="K19" s="206"/>
      <c r="L19" s="207"/>
      <c r="M19" s="203"/>
      <c r="N19" s="204"/>
      <c r="O19" s="275"/>
      <c r="P19" s="153">
        <v>1</v>
      </c>
      <c r="Q19" s="154">
        <f>C4*P19</f>
        <v>0</v>
      </c>
      <c r="R19" s="118"/>
      <c r="S19" s="118"/>
      <c r="T19" s="118"/>
      <c r="U19" s="118"/>
      <c r="V19" s="147" t="e">
        <f t="shared" si="2"/>
        <v>#DIV/0!</v>
      </c>
      <c r="W19" s="155">
        <f t="shared" si="5"/>
        <v>0</v>
      </c>
      <c r="X19" s="147">
        <f t="shared" si="4"/>
        <v>6</v>
      </c>
      <c r="Y19" s="234"/>
      <c r="Z19" s="235"/>
      <c r="AA19" s="235"/>
      <c r="AB19" s="236"/>
    </row>
    <row r="20" spans="1:28" ht="35" customHeight="1">
      <c r="A20" s="211"/>
      <c r="B20" s="212"/>
      <c r="C20" s="212"/>
      <c r="D20" s="212"/>
      <c r="E20" s="212"/>
      <c r="F20" s="212"/>
      <c r="G20" s="212"/>
      <c r="H20" s="212"/>
      <c r="I20" s="213"/>
      <c r="J20" s="205"/>
      <c r="K20" s="206"/>
      <c r="L20" s="207"/>
      <c r="M20" s="160"/>
      <c r="N20" s="161"/>
      <c r="O20" s="162"/>
      <c r="P20" s="163"/>
      <c r="Q20" s="164"/>
      <c r="R20" s="165"/>
      <c r="S20" s="165"/>
      <c r="T20" s="165"/>
      <c r="U20" s="165"/>
      <c r="V20" s="166"/>
      <c r="W20" s="167"/>
      <c r="X20" s="166"/>
      <c r="Y20" s="226"/>
      <c r="Z20" s="227"/>
      <c r="AA20" s="260"/>
      <c r="AB20" s="261"/>
    </row>
    <row r="21" spans="1:28" ht="35" customHeight="1">
      <c r="A21" s="214"/>
      <c r="B21" s="215"/>
      <c r="C21" s="215"/>
      <c r="D21" s="215"/>
      <c r="E21" s="215"/>
      <c r="F21" s="215"/>
      <c r="G21" s="215"/>
      <c r="H21" s="215"/>
      <c r="I21" s="216"/>
      <c r="J21" s="205"/>
      <c r="K21" s="206"/>
      <c r="L21" s="207"/>
      <c r="M21" s="199" t="s">
        <v>35</v>
      </c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217"/>
    </row>
    <row r="22" spans="1:28" ht="35" customHeight="1">
      <c r="A22" s="237" t="s">
        <v>206</v>
      </c>
      <c r="B22" s="237"/>
      <c r="C22" s="237"/>
      <c r="D22" s="237"/>
      <c r="E22" s="237"/>
      <c r="F22" s="238" t="e">
        <f>(J10-W15)/W15</f>
        <v>#DIV/0!</v>
      </c>
      <c r="G22" s="238"/>
      <c r="H22" s="238"/>
      <c r="I22" s="238"/>
      <c r="J22" s="205"/>
      <c r="K22" s="206"/>
      <c r="L22" s="207"/>
      <c r="M22" s="201" t="s">
        <v>36</v>
      </c>
      <c r="N22" s="202"/>
      <c r="O22" s="191" t="s">
        <v>177</v>
      </c>
      <c r="P22" s="191"/>
      <c r="Q22" s="191" t="s">
        <v>26</v>
      </c>
      <c r="R22" s="191"/>
      <c r="S22" s="191" t="s">
        <v>27</v>
      </c>
      <c r="T22" s="191"/>
      <c r="U22" s="195" t="s">
        <v>173</v>
      </c>
      <c r="V22" s="195"/>
      <c r="W22" s="195"/>
      <c r="X22" s="195"/>
      <c r="Y22" s="195" t="s">
        <v>234</v>
      </c>
      <c r="Z22" s="195"/>
      <c r="AA22" s="195"/>
      <c r="AB22" s="259"/>
    </row>
    <row r="23" spans="1:28" ht="35" customHeight="1">
      <c r="A23" s="199" t="s">
        <v>221</v>
      </c>
      <c r="B23" s="199"/>
      <c r="C23" s="199"/>
      <c r="D23" s="199"/>
      <c r="E23" s="199"/>
      <c r="F23" s="199"/>
      <c r="G23" s="199"/>
      <c r="H23" s="199"/>
      <c r="I23" s="199"/>
      <c r="J23" s="205"/>
      <c r="K23" s="206"/>
      <c r="L23" s="207"/>
      <c r="M23" s="203"/>
      <c r="N23" s="204"/>
      <c r="O23" s="251">
        <v>1</v>
      </c>
      <c r="P23" s="252"/>
      <c r="Q23" s="249">
        <f>C4*O23</f>
        <v>0</v>
      </c>
      <c r="R23" s="249"/>
      <c r="S23" s="197"/>
      <c r="T23" s="197"/>
      <c r="U23" s="250"/>
      <c r="V23" s="250"/>
      <c r="W23" s="250"/>
      <c r="X23" s="250"/>
      <c r="Y23" s="241"/>
      <c r="Z23" s="241"/>
      <c r="AA23" s="241"/>
      <c r="AB23" s="242"/>
    </row>
    <row r="24" spans="1:28" ht="35" customHeight="1">
      <c r="A24" s="195" t="s">
        <v>19</v>
      </c>
      <c r="B24" s="246" t="s">
        <v>3</v>
      </c>
      <c r="C24" s="246"/>
      <c r="D24" s="246"/>
      <c r="E24" s="246"/>
      <c r="F24" s="246"/>
      <c r="G24" s="246"/>
      <c r="H24" s="246"/>
      <c r="I24" s="132"/>
      <c r="J24" s="205"/>
      <c r="K24" s="206"/>
      <c r="L24" s="207"/>
      <c r="M24" s="203"/>
      <c r="N24" s="204"/>
      <c r="O24" s="251">
        <v>1.25</v>
      </c>
      <c r="P24" s="252"/>
      <c r="Q24" s="249">
        <f>C4*O24</f>
        <v>0</v>
      </c>
      <c r="R24" s="249"/>
      <c r="S24" s="197"/>
      <c r="T24" s="197"/>
      <c r="U24" s="250"/>
      <c r="V24" s="250"/>
      <c r="W24" s="250"/>
      <c r="X24" s="250"/>
      <c r="Y24" s="241"/>
      <c r="Z24" s="241"/>
      <c r="AA24" s="241"/>
      <c r="AB24" s="242"/>
    </row>
    <row r="25" spans="1:28" ht="35" customHeight="1">
      <c r="A25" s="196"/>
      <c r="B25" s="116" t="s">
        <v>5</v>
      </c>
      <c r="C25" s="116" t="s">
        <v>6</v>
      </c>
      <c r="D25" s="116" t="s">
        <v>7</v>
      </c>
      <c r="E25" s="128" t="s">
        <v>8</v>
      </c>
      <c r="F25" s="128" t="s">
        <v>230</v>
      </c>
      <c r="G25" s="128" t="s">
        <v>231</v>
      </c>
      <c r="H25" s="128" t="s">
        <v>232</v>
      </c>
      <c r="I25" s="132"/>
      <c r="J25" s="205"/>
      <c r="K25" s="206"/>
      <c r="L25" s="207"/>
      <c r="M25" s="203"/>
      <c r="N25" s="204"/>
      <c r="O25" s="251">
        <v>1.45</v>
      </c>
      <c r="P25" s="252"/>
      <c r="Q25" s="249">
        <f>C4*O25</f>
        <v>0</v>
      </c>
      <c r="R25" s="249"/>
      <c r="S25" s="197"/>
      <c r="T25" s="197"/>
      <c r="U25" s="250"/>
      <c r="V25" s="250"/>
      <c r="W25" s="250"/>
      <c r="X25" s="250"/>
      <c r="Y25" s="241"/>
      <c r="Z25" s="241"/>
      <c r="AA25" s="241"/>
      <c r="AB25" s="242"/>
    </row>
    <row r="26" spans="1:28" ht="35" customHeight="1">
      <c r="A26" s="133" t="s">
        <v>219</v>
      </c>
      <c r="B26" s="117"/>
      <c r="C26" s="117"/>
      <c r="D26" s="117"/>
      <c r="E26" s="130">
        <f>MAX(D26,B26,C26)</f>
        <v>0</v>
      </c>
      <c r="F26" s="131">
        <f>E26-F3</f>
        <v>0</v>
      </c>
      <c r="G26" s="129"/>
      <c r="H26" s="247">
        <f>G27-F26</f>
        <v>0</v>
      </c>
      <c r="I26" s="132"/>
      <c r="J26" s="205"/>
      <c r="K26" s="206"/>
      <c r="L26" s="207"/>
      <c r="M26" s="203"/>
      <c r="N26" s="204"/>
      <c r="O26" s="251">
        <v>1.65</v>
      </c>
      <c r="P26" s="252"/>
      <c r="Q26" s="249">
        <f>C4*O26</f>
        <v>0</v>
      </c>
      <c r="R26" s="249"/>
      <c r="S26" s="197"/>
      <c r="T26" s="197"/>
      <c r="U26" s="250"/>
      <c r="V26" s="250"/>
      <c r="W26" s="250"/>
      <c r="X26" s="250"/>
      <c r="Y26" s="241"/>
      <c r="Z26" s="241"/>
      <c r="AA26" s="241"/>
      <c r="AB26" s="242"/>
    </row>
    <row r="27" spans="1:28" ht="35" customHeight="1">
      <c r="A27" s="133" t="s">
        <v>220</v>
      </c>
      <c r="B27" s="117"/>
      <c r="C27" s="117"/>
      <c r="D27" s="117"/>
      <c r="E27" s="130">
        <f>MAX(D27,B27,C27)</f>
        <v>0</v>
      </c>
      <c r="F27" s="129"/>
      <c r="G27" s="131">
        <f>E27-F4</f>
        <v>0</v>
      </c>
      <c r="H27" s="247"/>
      <c r="I27" s="132"/>
      <c r="J27" s="205"/>
      <c r="K27" s="206"/>
      <c r="L27" s="207"/>
      <c r="M27" s="203"/>
      <c r="N27" s="204"/>
      <c r="O27" s="248">
        <v>1.85</v>
      </c>
      <c r="P27" s="248"/>
      <c r="Q27" s="249">
        <f>C4*O27</f>
        <v>0</v>
      </c>
      <c r="R27" s="249"/>
      <c r="S27" s="197"/>
      <c r="T27" s="197"/>
      <c r="U27" s="250"/>
      <c r="V27" s="250"/>
      <c r="W27" s="250"/>
      <c r="X27" s="250"/>
      <c r="Y27" s="241"/>
      <c r="Z27" s="241"/>
      <c r="AA27" s="241"/>
      <c r="AB27" s="242"/>
    </row>
    <row r="28" spans="1:28" ht="35" customHeight="1">
      <c r="A28" s="208"/>
      <c r="B28" s="209"/>
      <c r="C28" s="209"/>
      <c r="D28" s="209"/>
      <c r="E28" s="209"/>
      <c r="F28" s="209"/>
      <c r="G28" s="209"/>
      <c r="H28" s="209"/>
      <c r="I28" s="210"/>
      <c r="J28" s="205"/>
      <c r="K28" s="206"/>
      <c r="L28" s="207"/>
      <c r="M28" s="203"/>
      <c r="N28" s="204"/>
      <c r="O28" s="240" t="s">
        <v>186</v>
      </c>
      <c r="P28" s="240"/>
      <c r="Q28" s="240"/>
      <c r="R28" s="240"/>
      <c r="S28" s="240"/>
      <c r="T28" s="240"/>
      <c r="U28" s="255"/>
      <c r="V28" s="255"/>
      <c r="W28" s="255"/>
      <c r="X28" s="255"/>
      <c r="Y28" s="240" t="s">
        <v>188</v>
      </c>
      <c r="Z28" s="240"/>
      <c r="AA28" s="256" t="e">
        <f>U28/C4</f>
        <v>#DIV/0!</v>
      </c>
      <c r="AB28" s="257"/>
    </row>
    <row r="29" spans="1:28" ht="40.049999999999997" customHeight="1">
      <c r="A29" s="243" t="s">
        <v>187</v>
      </c>
      <c r="B29" s="243"/>
      <c r="C29" s="244" t="s">
        <v>233</v>
      </c>
      <c r="D29" s="245"/>
      <c r="E29" s="245"/>
      <c r="F29" s="245"/>
      <c r="G29" s="245"/>
      <c r="H29" s="245"/>
      <c r="I29" s="245"/>
      <c r="J29" s="245"/>
      <c r="K29" s="168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</row>
  </sheetData>
  <sheetProtection algorithmName="SHA-512" hashValue="xI0Db0vs6PLbgpjH2/q2YhbQhWgrlk5PFCLuMDM/Fhh2L8gGcBKl8X9ceg5O8ODyl8W4qTQyved7xHS2XVKkZg==" saltValue="eKg/5yS3KNoAxn89sAE6OA==" spinCount="100000" sheet="1" objects="1" scenarios="1"/>
  <mergeCells count="98">
    <mergeCell ref="M1:AB1"/>
    <mergeCell ref="M2:N9"/>
    <mergeCell ref="T2:X2"/>
    <mergeCell ref="Y2:AB3"/>
    <mergeCell ref="Y4:AB6"/>
    <mergeCell ref="Y7:AB9"/>
    <mergeCell ref="O24:P24"/>
    <mergeCell ref="Q24:R24"/>
    <mergeCell ref="S24:T24"/>
    <mergeCell ref="AA28:AB28"/>
    <mergeCell ref="G2:H2"/>
    <mergeCell ref="G3:J3"/>
    <mergeCell ref="J15:K15"/>
    <mergeCell ref="Y22:AB22"/>
    <mergeCell ref="AA20:AB20"/>
    <mergeCell ref="O2:O3"/>
    <mergeCell ref="P2:S2"/>
    <mergeCell ref="M12:N19"/>
    <mergeCell ref="O16:O19"/>
    <mergeCell ref="J16:K16"/>
    <mergeCell ref="A7:K7"/>
    <mergeCell ref="C13:E13"/>
    <mergeCell ref="M11:AB11"/>
    <mergeCell ref="M22:N28"/>
    <mergeCell ref="O28:T28"/>
    <mergeCell ref="U28:X28"/>
    <mergeCell ref="O25:P25"/>
    <mergeCell ref="Q25:R25"/>
    <mergeCell ref="S25:T25"/>
    <mergeCell ref="O26:P26"/>
    <mergeCell ref="Q26:R26"/>
    <mergeCell ref="S26:T26"/>
    <mergeCell ref="U23:X23"/>
    <mergeCell ref="O22:P22"/>
    <mergeCell ref="Q22:R22"/>
    <mergeCell ref="S22:T22"/>
    <mergeCell ref="U22:X22"/>
    <mergeCell ref="U24:X24"/>
    <mergeCell ref="S23:T23"/>
    <mergeCell ref="U25:X25"/>
    <mergeCell ref="U26:X26"/>
    <mergeCell ref="Y25:AB25"/>
    <mergeCell ref="Y26:AB26"/>
    <mergeCell ref="Y28:Z28"/>
    <mergeCell ref="Y23:AB23"/>
    <mergeCell ref="Y24:AB24"/>
    <mergeCell ref="A29:B29"/>
    <mergeCell ref="C29:J29"/>
    <mergeCell ref="B24:H24"/>
    <mergeCell ref="H26:H27"/>
    <mergeCell ref="A23:I23"/>
    <mergeCell ref="A24:A25"/>
    <mergeCell ref="O27:P27"/>
    <mergeCell ref="Q27:R27"/>
    <mergeCell ref="S27:T27"/>
    <mergeCell ref="U27:X27"/>
    <mergeCell ref="Y27:AB27"/>
    <mergeCell ref="O23:P23"/>
    <mergeCell ref="Q23:R23"/>
    <mergeCell ref="A1:B1"/>
    <mergeCell ref="A3:B3"/>
    <mergeCell ref="A8:B16"/>
    <mergeCell ref="A4:B4"/>
    <mergeCell ref="C15:E15"/>
    <mergeCell ref="C10:E10"/>
    <mergeCell ref="C12:E12"/>
    <mergeCell ref="A6:D6"/>
    <mergeCell ref="C8:E8"/>
    <mergeCell ref="C9:E9"/>
    <mergeCell ref="M21:AB21"/>
    <mergeCell ref="O12:X12"/>
    <mergeCell ref="S13:X13"/>
    <mergeCell ref="O13:O14"/>
    <mergeCell ref="P13:P14"/>
    <mergeCell ref="Q13:Q14"/>
    <mergeCell ref="R13:R14"/>
    <mergeCell ref="Y20:Z20"/>
    <mergeCell ref="Y12:AB19"/>
    <mergeCell ref="A17:I17"/>
    <mergeCell ref="I2:J2"/>
    <mergeCell ref="A5:D5"/>
    <mergeCell ref="A18:B19"/>
    <mergeCell ref="J17:L28"/>
    <mergeCell ref="A28:I28"/>
    <mergeCell ref="A20:I21"/>
    <mergeCell ref="C18:E18"/>
    <mergeCell ref="C19:E19"/>
    <mergeCell ref="A22:E22"/>
    <mergeCell ref="F22:I22"/>
    <mergeCell ref="F18:G18"/>
    <mergeCell ref="F19:G19"/>
    <mergeCell ref="K1:L1"/>
    <mergeCell ref="K2:L2"/>
    <mergeCell ref="C16:E16"/>
    <mergeCell ref="C1:D1"/>
    <mergeCell ref="E1:F1"/>
    <mergeCell ref="G1:H1"/>
    <mergeCell ref="I1:J1"/>
  </mergeCells>
  <conditionalFormatting sqref="D4">
    <cfRule type="cellIs" dxfId="60" priority="50" operator="between">
      <formula>18.6</formula>
      <formula>24.9</formula>
    </cfRule>
    <cfRule type="cellIs" dxfId="59" priority="49" operator="between">
      <formula>25</formula>
      <formula>29.9</formula>
    </cfRule>
    <cfRule type="cellIs" dxfId="58" priority="47" operator="greaterThanOrEqual">
      <formula>35</formula>
    </cfRule>
    <cfRule type="cellIs" dxfId="57" priority="48" operator="between">
      <formula>30</formula>
      <formula>34.9</formula>
    </cfRule>
    <cfRule type="cellIs" dxfId="56" priority="51" operator="lessThanOrEqual">
      <formula>18.5</formula>
    </cfRule>
  </conditionalFormatting>
  <conditionalFormatting sqref="F22:I22">
    <cfRule type="cellIs" dxfId="55" priority="54" operator="between">
      <formula>0%</formula>
      <formula>9.99%</formula>
    </cfRule>
    <cfRule type="cellIs" dxfId="54" priority="55" operator="between">
      <formula>0%</formula>
      <formula>-9.99%</formula>
    </cfRule>
    <cfRule type="cellIs" dxfId="53" priority="53" operator="between">
      <formula>-10%</formula>
      <formula>-9999%</formula>
    </cfRule>
    <cfRule type="cellIs" dxfId="52" priority="52" operator="between">
      <formula>10%</formula>
      <formula>9999%</formula>
    </cfRule>
  </conditionalFormatting>
  <conditionalFormatting sqref="J5">
    <cfRule type="cellIs" dxfId="51" priority="1" operator="greaterThanOrEqual">
      <formula>10%</formula>
    </cfRule>
    <cfRule type="cellIs" dxfId="50" priority="2" operator="between">
      <formula>-10%</formula>
      <formula>-9999%</formula>
    </cfRule>
    <cfRule type="cellIs" dxfId="49" priority="3" operator="between">
      <formula>-9.99%</formula>
      <formula>-5.1%</formula>
    </cfRule>
    <cfRule type="cellIs" dxfId="48" priority="4" operator="between">
      <formula>9.99%</formula>
      <formula>5.1%</formula>
    </cfRule>
    <cfRule type="cellIs" dxfId="47" priority="5" operator="between">
      <formula>-5%</formula>
      <formula>0%</formula>
    </cfRule>
    <cfRule type="cellIs" dxfId="46" priority="6" operator="between">
      <formula>0%</formula>
      <formula>5%</formula>
    </cfRule>
  </conditionalFormatting>
  <conditionalFormatting sqref="J16">
    <cfRule type="cellIs" dxfId="45" priority="61" operator="between">
      <formula>0%</formula>
      <formula>5%</formula>
    </cfRule>
    <cfRule type="cellIs" dxfId="44" priority="60" operator="between">
      <formula>-5%</formula>
      <formula>0%</formula>
    </cfRule>
    <cfRule type="cellIs" dxfId="43" priority="59" operator="between">
      <formula>9.99%</formula>
      <formula>5.1%</formula>
    </cfRule>
    <cfRule type="cellIs" dxfId="42" priority="58" operator="between">
      <formula>-9.99%</formula>
      <formula>-5.1%</formula>
    </cfRule>
    <cfRule type="cellIs" dxfId="41" priority="57" operator="between">
      <formula>-10%</formula>
      <formula>-9999%</formula>
    </cfRule>
    <cfRule type="cellIs" dxfId="40" priority="56" operator="greaterThanOrEqual">
      <formula>10%</formula>
    </cfRule>
  </conditionalFormatting>
  <conditionalFormatting sqref="K10">
    <cfRule type="expression" dxfId="39" priority="43">
      <formula>AND($G$2="DONNA", $I$2="COMUNE", K10&gt;40)</formula>
    </cfRule>
    <cfRule type="expression" dxfId="38" priority="44">
      <formula>AND($G$2="DONNA", $I$2="ATLETA", K10&gt;55)</formula>
    </cfRule>
    <cfRule type="expression" dxfId="37" priority="45">
      <formula>AND($G$2="UOMO", $I$2="COMUNE", K10&gt;50)</formula>
    </cfRule>
    <cfRule type="expression" dxfId="36" priority="46">
      <formula>AND($G$2="UOMO", $I$2="ATLETA", K10&gt;65)</formula>
    </cfRule>
    <cfRule type="expression" dxfId="35" priority="31">
      <formula>AND($G$2="DONNA", $I$2="COMUNE", K10&gt;=22, K10&lt;=27.99)</formula>
    </cfRule>
    <cfRule type="expression" dxfId="34" priority="27">
      <formula>AND($G$2="DONNA", $I$2="COMUNE", K10&lt;21.99)</formula>
    </cfRule>
    <cfRule type="expression" dxfId="33" priority="28">
      <formula>AND($G$2="DONNA", $I$2="ATLETA", K10&lt;36)</formula>
    </cfRule>
    <cfRule type="expression" dxfId="32" priority="29">
      <formula>AND($G$2="UOMO", $I$2="COMUNE", K10&lt;31.99)</formula>
    </cfRule>
    <cfRule type="expression" dxfId="31" priority="30">
      <formula>AND($G$2="UOMO", $I$2="ATLETA", K10&lt;46)</formula>
    </cfRule>
    <cfRule type="expression" dxfId="30" priority="38">
      <formula>AND($G$2="UOMO", $I$2="ATLETA", K10&gt;=52, K10&lt;=57.99)</formula>
    </cfRule>
    <cfRule type="expression" dxfId="29" priority="32">
      <formula>AND($G$2="DONNA", $I$2="ATLETA", K10&gt;=36, K10&lt;=41.99)</formula>
    </cfRule>
    <cfRule type="expression" dxfId="28" priority="33">
      <formula>AND($G$2="UOMO", $I$2="COMUNE", K10&gt;=32, K10&lt;=37.99)</formula>
    </cfRule>
    <cfRule type="expression" dxfId="27" priority="34">
      <formula>AND($G$2="UOMO", $I$2="ATLETA", K10&gt;=46, K10&lt;=51.99)</formula>
    </cfRule>
    <cfRule type="expression" dxfId="26" priority="35">
      <formula>AND($G$2="DONNA", $I$2="COMUNE", K10&gt;=28, K10&lt;=33.99)</formula>
    </cfRule>
    <cfRule type="expression" dxfId="25" priority="36">
      <formula>AND($G$2="DONNA", $I$2="ATLETA", K10&gt;=42, K10&lt;=47.99)</formula>
    </cfRule>
    <cfRule type="expression" dxfId="24" priority="37">
      <formula>AND($G$2="UOMO", $I$2="COMUNE", K10&gt;=38, K10&lt;=43.99)</formula>
    </cfRule>
    <cfRule type="expression" dxfId="23" priority="39">
      <formula>AND($G$2="DONNA", $I$2="COMUNE", K10&gt;=34, K10&lt;=39.99)</formula>
    </cfRule>
    <cfRule type="expression" dxfId="22" priority="40">
      <formula>AND($G$2="DONNA", $I$2="ATLETA", K10&gt;=48, K10&lt;=54.99)</formula>
    </cfRule>
    <cfRule type="expression" dxfId="21" priority="41">
      <formula>AND($G$2="UOMO", $I$2="COMUNE", K10&gt;=44, K10&lt;=49.99)</formula>
    </cfRule>
    <cfRule type="expression" dxfId="20" priority="42">
      <formula>AND($G$2="UOMO", $I$2="ATLETA", K10&gt;=58, K10&lt;=64.99)</formula>
    </cfRule>
  </conditionalFormatting>
  <conditionalFormatting sqref="X15">
    <cfRule type="expression" dxfId="19" priority="7">
      <formula>AND($G$2="DONNA", $I$2="ATLETA", X15&lt;=25.9)</formula>
    </cfRule>
    <cfRule type="expression" dxfId="18" priority="9">
      <formula>AND($G$2="DONNA", $I$2="COMUNE", X15&lt;=19.9)</formula>
    </cfRule>
    <cfRule type="expression" dxfId="17" priority="10">
      <formula>AND($G$2="UOMO", $I$2="COMUNE", X15&lt;=21.9)</formula>
    </cfRule>
    <cfRule type="expression" dxfId="16" priority="11">
      <formula>AND($G$2="DONNA", $I$2="ATLETA", X15&gt;=26, X15&lt;=31.9)</formula>
    </cfRule>
    <cfRule type="expression" dxfId="15" priority="24">
      <formula>AND($G$2="UOMO", $I$2="ATLETA", X15&gt;=55)</formula>
    </cfRule>
    <cfRule type="expression" dxfId="14" priority="26">
      <formula>AND($G$2="UOMO", $I$2="COMUNE", X15&gt;=40)</formula>
    </cfRule>
    <cfRule type="expression" dxfId="13" priority="25">
      <formula>AND($G$2="DONNA", $I$2="COMUNE", X15&gt;=35)</formula>
    </cfRule>
    <cfRule type="expression" dxfId="12" priority="23">
      <formula>AND($G$2="DONNA", $I$2="ATLETA", X15&gt;=45)</formula>
    </cfRule>
    <cfRule type="expression" dxfId="11" priority="22">
      <formula>AND($G$2="UOMO", $I$2="COMUNE", X15&gt;=34, X15&lt;=39.9)</formula>
    </cfRule>
    <cfRule type="expression" dxfId="10" priority="21">
      <formula>AND($G$2="DONNA", $I$2="COMUNE", X15&gt;=32, X15&lt;=34.9)</formula>
    </cfRule>
    <cfRule type="expression" dxfId="9" priority="20">
      <formula>AND($G$2="UOMO", $I$2="ATLETA", X15&gt;=48, X15&lt;=54.9)</formula>
    </cfRule>
    <cfRule type="expression" dxfId="8" priority="19">
      <formula>AND($G$2="DONNA", $I$2="ATLETA", X15&gt;=38, X15&lt;=44.9)</formula>
    </cfRule>
    <cfRule type="expression" dxfId="7" priority="8">
      <formula>AND($G$2="UOMO", $I$2="ATLETA", X15&lt;=33.9)</formula>
    </cfRule>
    <cfRule type="expression" dxfId="6" priority="18">
      <formula>AND($G$2="UOMO", $I$2="COMUNE", X15&gt;=28, X15&lt;=33.9)</formula>
    </cfRule>
    <cfRule type="expression" dxfId="5" priority="17">
      <formula>AND($G$2="DONNA", $I$2="COMUNE", X15&gt;=26, X15&lt;=31.9)</formula>
    </cfRule>
    <cfRule type="expression" dxfId="4" priority="16">
      <formula>AND($G$2="UOMO", $I$2="ATLETA", X15&gt;=40, X15&lt;=47.9)</formula>
    </cfRule>
    <cfRule type="expression" dxfId="3" priority="15">
      <formula>AND($G$2="DONNA", $I$2="ATLETA", X15&gt;=32, X15&lt;=37.9)</formula>
    </cfRule>
    <cfRule type="expression" dxfId="2" priority="14">
      <formula>AND($G$2="UOMO", $I$2="COMUNE", X15&gt;=22, X15&lt;=27.9)</formula>
    </cfRule>
    <cfRule type="expression" dxfId="1" priority="13">
      <formula>AND($G$2="DONNA", $I$2="COMUNE", X15&gt;=20, X15&lt;=25.9)</formula>
    </cfRule>
    <cfRule type="expression" dxfId="0" priority="12">
      <formula>AND($G$2="UOMO", $I$2="ATLETA", X15&gt;=34, X15&lt;=39.9)</formula>
    </cfRule>
  </conditionalFormatting>
  <dataValidations count="3">
    <dataValidation type="list" allowBlank="1" showInputMessage="1" showErrorMessage="1" sqref="G2:H2" xr:uid="{E13B3F14-C4F9-4FFF-A576-377F5408681A}">
      <formula1>"UOMO, DONNA"</formula1>
    </dataValidation>
    <dataValidation type="list" allowBlank="1" showInputMessage="1" showErrorMessage="1" sqref="I2:J2" xr:uid="{28B97F25-2E55-45D4-B597-5BF417CD868A}">
      <formula1>"COMUNE, ATLETA"</formula1>
    </dataValidation>
    <dataValidation type="list" allowBlank="1" showInputMessage="1" showErrorMessage="1" sqref="K2:L2" xr:uid="{E9F85993-F0B2-48E1-AC20-05DF4F7AB771}">
      <formula1>"PALLEGGIATORE, OPPOSTO, SCHIACCIATORE, CENTRALE, LIBERO, UNIVERSALE, MURATORE, DIFENSORE,"</formula1>
    </dataValidation>
  </dataValidation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2"/>
  <dimension ref="A1:U28"/>
  <sheetViews>
    <sheetView showGridLines="0" zoomScaleNormal="100" workbookViewId="0">
      <selection activeCell="D2" sqref="D2"/>
    </sheetView>
  </sheetViews>
  <sheetFormatPr defaultColWidth="8.8125" defaultRowHeight="13.05" customHeight="1"/>
  <cols>
    <col min="1" max="1" width="8.8125" style="3" customWidth="1"/>
    <col min="2" max="2" width="9" style="3" customWidth="1"/>
    <col min="3" max="3" width="17.1875" style="3" customWidth="1"/>
    <col min="4" max="4" width="14.1875" style="3" customWidth="1"/>
    <col min="5" max="5" width="13.8125" style="3" customWidth="1"/>
    <col min="6" max="6" width="15.5" style="3" customWidth="1"/>
    <col min="7" max="17" width="8.8125" style="3" customWidth="1"/>
    <col min="18" max="18" width="12.1875" style="3" customWidth="1"/>
    <col min="19" max="22" width="8.8125" style="3" customWidth="1"/>
    <col min="23" max="16384" width="8.8125" style="3"/>
  </cols>
  <sheetData>
    <row r="1" spans="1:21" s="182" customFormat="1" ht="30" customHeight="1" thickBot="1">
      <c r="A1" s="290" t="s">
        <v>240</v>
      </c>
      <c r="B1" s="291"/>
      <c r="C1" s="291"/>
      <c r="D1" s="291"/>
      <c r="E1" s="291"/>
      <c r="F1" s="292"/>
      <c r="G1" s="18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</row>
    <row r="2" spans="1:21" ht="17" customHeight="1">
      <c r="A2" s="184"/>
      <c r="B2" s="184"/>
      <c r="C2" s="184"/>
      <c r="D2" s="184"/>
      <c r="E2" s="184"/>
      <c r="F2" s="184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8" customHeight="1">
      <c r="A3" s="2"/>
      <c r="B3" s="4">
        <v>-0.67</v>
      </c>
      <c r="C3" s="4">
        <v>1</v>
      </c>
      <c r="D3" s="5"/>
      <c r="E3" s="5"/>
      <c r="F3" s="5"/>
      <c r="G3" s="35"/>
      <c r="H3" s="36" cm="1">
        <f t="array" ref="H3">SLOPE(I8:I9,H8:H9)</f>
        <v>-0.42000000000000004</v>
      </c>
      <c r="I3" s="36" cm="1">
        <f t="array" ref="I3">INTERCEPT(I8:I9,H8:H9)</f>
        <v>1</v>
      </c>
      <c r="J3" s="35"/>
      <c r="K3" s="35"/>
      <c r="L3" s="37">
        <v>0.46</v>
      </c>
      <c r="M3" s="37" cm="1">
        <f t="array" ref="M3">4.425*L3^0.5</f>
        <v>3.001181017532931</v>
      </c>
      <c r="N3" s="35"/>
      <c r="O3" s="35"/>
      <c r="P3" s="35"/>
      <c r="Q3" s="35"/>
      <c r="R3" s="35"/>
      <c r="S3" s="35"/>
      <c r="T3" s="35"/>
      <c r="U3" s="35"/>
    </row>
    <row r="4" spans="1:21" ht="18" customHeight="1">
      <c r="A4" s="2"/>
      <c r="B4" s="5"/>
      <c r="C4" s="5"/>
      <c r="D4" s="5"/>
      <c r="E4" s="5"/>
      <c r="F4" s="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8" customHeight="1">
      <c r="A5" s="2"/>
      <c r="B5" s="6" t="s">
        <v>37</v>
      </c>
      <c r="C5" s="6" t="s">
        <v>105</v>
      </c>
      <c r="D5" s="6" t="s">
        <v>38</v>
      </c>
      <c r="E5" s="7" t="s">
        <v>39</v>
      </c>
      <c r="F5" s="7" t="s">
        <v>40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8" customHeight="1">
      <c r="A6" s="8"/>
      <c r="B6" s="48">
        <f>ATLETA!C4</f>
        <v>0</v>
      </c>
      <c r="C6" s="47">
        <v>0</v>
      </c>
      <c r="D6" s="50">
        <f>ATLETA!W15</f>
        <v>0</v>
      </c>
      <c r="E6" s="10" cm="1">
        <f t="array" ref="E6">4.425*(D6*0.01)^0.5</f>
        <v>0</v>
      </c>
      <c r="F6" s="11" cm="1">
        <f t="array" ref="F6">(D6/122.5)^0.5</f>
        <v>0</v>
      </c>
      <c r="G6" s="35"/>
      <c r="H6" s="35"/>
      <c r="I6" s="35"/>
      <c r="J6" s="38" t="s">
        <v>41</v>
      </c>
      <c r="K6" s="39" t="s">
        <v>42</v>
      </c>
      <c r="L6" s="39" t="s">
        <v>43</v>
      </c>
      <c r="M6" s="35"/>
      <c r="N6" s="35"/>
      <c r="O6" s="35"/>
      <c r="P6" s="35"/>
      <c r="Q6" s="35"/>
      <c r="R6" s="39" t="s">
        <v>44</v>
      </c>
      <c r="S6" s="40">
        <v>0.36199999999999999</v>
      </c>
      <c r="T6" s="40">
        <v>0.17799999999999999</v>
      </c>
      <c r="U6" s="36" cm="1">
        <f t="array" ref="U6">T6/S6</f>
        <v>0.49171270718232041</v>
      </c>
    </row>
    <row r="7" spans="1:21" ht="18" customHeight="1">
      <c r="A7" s="2"/>
      <c r="B7" s="13" t="s">
        <v>45</v>
      </c>
      <c r="C7" s="13" t="s">
        <v>46</v>
      </c>
      <c r="D7" s="14"/>
      <c r="E7" s="5"/>
      <c r="F7" s="5"/>
      <c r="G7" s="35"/>
      <c r="H7" s="39" t="s">
        <v>45</v>
      </c>
      <c r="I7" s="41" t="s">
        <v>47</v>
      </c>
      <c r="J7" s="42">
        <v>2.7</v>
      </c>
      <c r="K7" s="43" cm="1">
        <f t="array" ref="K7">5.1*J7^2</f>
        <v>37.179000000000002</v>
      </c>
      <c r="L7" s="40" cm="1">
        <f t="array" ref="L7">J7/4.9</f>
        <v>0.55102040816326525</v>
      </c>
      <c r="M7" s="35"/>
      <c r="N7" s="35"/>
      <c r="O7" s="35"/>
      <c r="P7" s="35"/>
      <c r="Q7" s="35"/>
      <c r="R7" s="39" t="s">
        <v>48</v>
      </c>
      <c r="S7" s="40">
        <v>0.37619047619047602</v>
      </c>
      <c r="T7" s="40">
        <v>0.24357142857142899</v>
      </c>
      <c r="U7" s="36" cm="1">
        <f t="array" ref="U7">T7/S7</f>
        <v>0.6474683544303812</v>
      </c>
    </row>
    <row r="8" spans="1:21" ht="18" customHeight="1">
      <c r="A8" s="2"/>
      <c r="B8" s="4">
        <v>0</v>
      </c>
      <c r="C8" s="15">
        <v>1</v>
      </c>
      <c r="D8" s="16"/>
      <c r="E8" s="5"/>
      <c r="F8" s="5"/>
      <c r="G8" s="35"/>
      <c r="H8" s="37">
        <v>0</v>
      </c>
      <c r="I8" s="36">
        <v>1</v>
      </c>
      <c r="J8" s="44"/>
      <c r="K8" s="35"/>
      <c r="L8" s="35"/>
      <c r="M8" s="35"/>
      <c r="N8" s="35"/>
      <c r="O8" s="35"/>
      <c r="P8" s="35"/>
      <c r="Q8" s="35"/>
      <c r="R8" s="35"/>
      <c r="S8" s="35"/>
      <c r="T8" s="35"/>
      <c r="U8" s="36" t="e" cm="1">
        <f t="array" ref="U8">T8/S8</f>
        <v>#DIV/0!</v>
      </c>
    </row>
    <row r="9" spans="1:21" ht="18" customHeight="1">
      <c r="A9" s="12" t="s">
        <v>49</v>
      </c>
      <c r="B9" s="17" t="e" cm="1">
        <f t="array" ref="B9">C6/B6</f>
        <v>#DIV/0!</v>
      </c>
      <c r="C9" s="18" t="e" cm="1">
        <f t="array" ref="C9">D10</f>
        <v>#DIV/0!</v>
      </c>
      <c r="D9" s="9">
        <v>16.22</v>
      </c>
      <c r="E9" s="19" cm="1">
        <f t="array" ref="E9">4.425*(D9*0.01)^0.5</f>
        <v>1.7821272050558006</v>
      </c>
      <c r="F9" s="20" cm="1">
        <f t="array" ref="F9">(D9/122.5)^0.5</f>
        <v>0.36387932514132498</v>
      </c>
      <c r="G9" s="35"/>
      <c r="H9" s="36">
        <v>1</v>
      </c>
      <c r="I9" s="36">
        <v>0.57999999999999996</v>
      </c>
      <c r="J9" s="39" t="s">
        <v>50</v>
      </c>
      <c r="K9" s="35"/>
      <c r="L9" s="35"/>
      <c r="M9" s="35"/>
      <c r="N9" s="35"/>
      <c r="O9" s="35"/>
      <c r="P9" s="35"/>
      <c r="Q9" s="35"/>
      <c r="R9" s="39" t="s">
        <v>51</v>
      </c>
      <c r="S9" s="40">
        <v>0.35875000000000001</v>
      </c>
      <c r="T9" s="40">
        <v>0.17899999999999999</v>
      </c>
      <c r="U9" s="36" cm="1">
        <f t="array" ref="U9">T9/S9</f>
        <v>0.49895470383275259</v>
      </c>
    </row>
    <row r="10" spans="1:21" ht="18" customHeight="1">
      <c r="A10" s="2"/>
      <c r="B10" s="21"/>
      <c r="C10" s="14"/>
      <c r="D10" s="22" t="e" cm="1">
        <f t="array" ref="D10">D9/D6</f>
        <v>#DIV/0!</v>
      </c>
      <c r="E10" s="23" t="e" cm="1">
        <f t="array" ref="E10">E9/E6</f>
        <v>#DIV/0!</v>
      </c>
      <c r="F10" s="23" t="e" cm="1">
        <f t="array" ref="F10">F9/F6</f>
        <v>#DIV/0!</v>
      </c>
      <c r="G10" s="35"/>
      <c r="H10" s="36"/>
      <c r="I10" s="35"/>
      <c r="J10" s="36"/>
      <c r="K10" s="35"/>
      <c r="L10" s="35"/>
      <c r="M10" s="35"/>
      <c r="N10" s="35"/>
      <c r="O10" s="35"/>
      <c r="P10" s="35"/>
      <c r="Q10" s="35"/>
      <c r="R10" s="39" t="s">
        <v>52</v>
      </c>
      <c r="S10" s="40">
        <v>0.36</v>
      </c>
      <c r="T10" s="40">
        <v>0.221</v>
      </c>
      <c r="U10" s="36" cm="1">
        <f t="array" ref="U10">T10/S10</f>
        <v>0.61388888888888893</v>
      </c>
    </row>
    <row r="11" spans="1:21" ht="18" customHeight="1">
      <c r="A11" s="7" t="s">
        <v>53</v>
      </c>
      <c r="B11" s="21" t="e" cm="1">
        <f t="array" ref="B11">B9</f>
        <v>#DIV/0!</v>
      </c>
      <c r="C11" s="17" t="e" cm="1">
        <f t="array" ref="C11">B3*B9+1</f>
        <v>#DIV/0!</v>
      </c>
      <c r="D11" s="24" t="e" cm="1">
        <f t="array" ref="D11">D$6*C11</f>
        <v>#DIV/0!</v>
      </c>
      <c r="E11" s="24" t="e" cm="1">
        <f t="array" ref="E11">4.425*(D11*0.01)^0.5</f>
        <v>#DIV/0!</v>
      </c>
      <c r="F11" s="25" t="e" cm="1">
        <f t="array" ref="F11">(D11/122.5)^0.5</f>
        <v>#DIV/0!</v>
      </c>
      <c r="G11" s="45"/>
      <c r="H11" s="39" t="s">
        <v>54</v>
      </c>
      <c r="I11" s="39" t="s">
        <v>55</v>
      </c>
      <c r="J11" s="39" t="s">
        <v>56</v>
      </c>
      <c r="K11" s="39" t="s">
        <v>57</v>
      </c>
      <c r="L11" s="39" t="s">
        <v>58</v>
      </c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8" customHeight="1">
      <c r="A12" s="2"/>
      <c r="B12" s="2"/>
      <c r="C12" s="17"/>
      <c r="D12" s="26" t="e" cm="1">
        <f t="array" ref="D12">D11/D6</f>
        <v>#DIV/0!</v>
      </c>
      <c r="E12" s="26" t="e" cm="1">
        <f t="array" ref="E12">E11/E6</f>
        <v>#DIV/0!</v>
      </c>
      <c r="F12" s="26" t="e" cm="1">
        <f t="array" ref="F12">F11/F6</f>
        <v>#DIV/0!</v>
      </c>
      <c r="G12" s="45"/>
      <c r="H12" s="36"/>
      <c r="I12" s="35"/>
      <c r="J12" s="36"/>
      <c r="K12" s="35"/>
      <c r="L12" s="36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18" customHeight="1">
      <c r="A13" s="2"/>
      <c r="B13" s="2"/>
      <c r="C13" s="21"/>
      <c r="D13" s="27"/>
      <c r="E13" s="27"/>
      <c r="F13" s="28"/>
      <c r="G13" s="35"/>
      <c r="H13" s="36"/>
      <c r="I13" s="35"/>
      <c r="J13" s="36"/>
      <c r="K13" s="35"/>
      <c r="L13" s="36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8" customHeight="1">
      <c r="A14" s="2"/>
      <c r="B14" s="6" t="s">
        <v>54</v>
      </c>
      <c r="C14" s="6" t="s">
        <v>59</v>
      </c>
      <c r="D14" s="7" t="s">
        <v>60</v>
      </c>
      <c r="E14" s="7" t="s">
        <v>57</v>
      </c>
      <c r="F14" s="7" t="s">
        <v>58</v>
      </c>
      <c r="G14" s="35"/>
      <c r="H14" s="36">
        <v>0.1</v>
      </c>
      <c r="I14" s="36" cm="1">
        <f t="array" ref="I14">H$3*H14+I$3</f>
        <v>0.95799999999999996</v>
      </c>
      <c r="J14" s="46" cm="1">
        <f t="array" ref="J14">J$7*I14</f>
        <v>2.5866000000000002</v>
      </c>
      <c r="K14" s="46" cm="1">
        <f t="array" ref="K14">5.1*J14^2</f>
        <v>34.121547756000005</v>
      </c>
      <c r="L14" s="40" cm="1">
        <f t="array" ref="L14">J14/4.9</f>
        <v>0.52787755102040812</v>
      </c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18" customHeight="1">
      <c r="A15" s="8"/>
      <c r="B15" s="1">
        <v>0.1</v>
      </c>
      <c r="C15" s="1" cm="1">
        <f t="array" ref="C15">B$3*B15+C$3</f>
        <v>0.93300000000000005</v>
      </c>
      <c r="D15" s="10" cm="1">
        <f t="array" ref="D15">D$6*C15</f>
        <v>0</v>
      </c>
      <c r="E15" s="29" cm="1">
        <f t="array" ref="E15">4.425*(D15*0.01)^0.5</f>
        <v>0</v>
      </c>
      <c r="F15" s="11" cm="1">
        <f t="array" ref="F15">E15/4.9</f>
        <v>0</v>
      </c>
      <c r="G15" s="35"/>
      <c r="H15" s="36">
        <v>0.2</v>
      </c>
      <c r="I15" s="36" cm="1">
        <f t="array" ref="I15">H$3*H15+I$3</f>
        <v>0.91599999999999993</v>
      </c>
      <c r="J15" s="46" cm="1">
        <f t="array" ref="J15">J$7*I15</f>
        <v>2.4731999999999998</v>
      </c>
      <c r="K15" s="46" cm="1">
        <f t="array" ref="K15">5.1*J15^2</f>
        <v>31.195263023999992</v>
      </c>
      <c r="L15" s="40" cm="1">
        <f t="array" ref="L15">J15/4.9</f>
        <v>0.50473469387755099</v>
      </c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18" customHeight="1">
      <c r="A16" s="8"/>
      <c r="B16" s="1">
        <v>0.2</v>
      </c>
      <c r="C16" s="1" cm="1">
        <f t="array" ref="C16">B$3*B16+C$3</f>
        <v>0.86599999999999999</v>
      </c>
      <c r="D16" s="10" cm="1">
        <f t="array" ref="D16">D$6*C16</f>
        <v>0</v>
      </c>
      <c r="E16" s="29" cm="1">
        <f t="array" ref="E16">4.425*(D16*0.01)^0.5</f>
        <v>0</v>
      </c>
      <c r="F16" s="11" cm="1">
        <f t="array" ref="F16">E16/4.9</f>
        <v>0</v>
      </c>
      <c r="G16" s="35"/>
      <c r="H16" s="36">
        <v>0.33</v>
      </c>
      <c r="I16" s="36" cm="1">
        <f t="array" ref="I16">H$3*H16+I$3</f>
        <v>0.86139999999999994</v>
      </c>
      <c r="J16" s="46" cm="1">
        <f t="array" ref="J16">J$7*I16</f>
        <v>2.32578</v>
      </c>
      <c r="K16" s="46" cm="1">
        <f t="array" ref="K16">5.1*J16^2</f>
        <v>27.587188302839998</v>
      </c>
      <c r="L16" s="40" cm="1">
        <f t="array" ref="L16">J16/4.9</f>
        <v>0.47464897959183672</v>
      </c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8" customHeight="1">
      <c r="A17" s="8"/>
      <c r="B17" s="1">
        <v>0.3</v>
      </c>
      <c r="C17" s="1" cm="1">
        <f t="array" ref="C17">B$3*B17+C$3</f>
        <v>0.79899999999999993</v>
      </c>
      <c r="D17" s="10" cm="1">
        <f t="array" ref="D17">D$6*C17</f>
        <v>0</v>
      </c>
      <c r="E17" s="29" cm="1">
        <f t="array" ref="E17">4.425*(D17*0.01)^0.5</f>
        <v>0</v>
      </c>
      <c r="F17" s="11" cm="1">
        <f t="array" ref="F17">E17/4.9</f>
        <v>0</v>
      </c>
      <c r="G17" s="35"/>
      <c r="H17" s="36">
        <v>0.4</v>
      </c>
      <c r="I17" s="36" cm="1">
        <f t="array" ref="I17">H$3*H17+I$3</f>
        <v>0.83199999999999996</v>
      </c>
      <c r="J17" s="46" cm="1">
        <f t="array" ref="J17">J$7*I17</f>
        <v>2.2464</v>
      </c>
      <c r="K17" s="46" cm="1">
        <f t="array" ref="K17">5.1*J17^2</f>
        <v>25.736196095999997</v>
      </c>
      <c r="L17" s="40" cm="1">
        <f t="array" ref="L17">J17/4.9</f>
        <v>0.45844897959183667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8" customHeight="1">
      <c r="A18" s="8"/>
      <c r="B18" s="1">
        <v>0.4</v>
      </c>
      <c r="C18" s="1" cm="1">
        <f t="array" ref="C18">B$3*B18+C$3</f>
        <v>0.73199999999999998</v>
      </c>
      <c r="D18" s="30" cm="1">
        <f t="array" ref="D18">D$6*C18</f>
        <v>0</v>
      </c>
      <c r="E18" s="29" cm="1">
        <f t="array" ref="E18">4.425*(D18*0.01)^0.5</f>
        <v>0</v>
      </c>
      <c r="F18" s="11" cm="1">
        <f t="array" ref="F18">E18/4.9</f>
        <v>0</v>
      </c>
      <c r="G18" s="35"/>
      <c r="H18" s="36">
        <v>0.5</v>
      </c>
      <c r="I18" s="36" cm="1">
        <f t="array" ref="I18">H$3*H18+I$3</f>
        <v>0.79</v>
      </c>
      <c r="J18" s="46" cm="1">
        <f t="array" ref="J18">J$7*I18</f>
        <v>2.1330000000000005</v>
      </c>
      <c r="K18" s="46" cm="1">
        <f t="array" ref="K18">5.1*J18^2</f>
        <v>23.203413900000008</v>
      </c>
      <c r="L18" s="40" cm="1">
        <f t="array" ref="L18">J18/4.9</f>
        <v>0.43530612244897965</v>
      </c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8" customHeight="1">
      <c r="A19" s="8"/>
      <c r="B19" s="1">
        <v>0.5</v>
      </c>
      <c r="C19" s="1" cm="1">
        <f t="array" ref="C19">B$3*B19+C$3</f>
        <v>0.66500000000000004</v>
      </c>
      <c r="D19" s="31" cm="1">
        <f t="array" ref="D19">D$6*C19</f>
        <v>0</v>
      </c>
      <c r="E19" s="10" cm="1">
        <f t="array" ref="E19">4.425*(D19*0.01)^0.5</f>
        <v>0</v>
      </c>
      <c r="F19" s="11" cm="1">
        <f t="array" ref="F19">E19/4.9</f>
        <v>0</v>
      </c>
      <c r="G19" s="35"/>
      <c r="H19" s="36">
        <v>0.6</v>
      </c>
      <c r="I19" s="36" cm="1">
        <f t="array" ref="I19">H$3*H19+I$3</f>
        <v>0.748</v>
      </c>
      <c r="J19" s="46" cm="1">
        <f t="array" ref="J19">J$7*I19</f>
        <v>2.0196000000000001</v>
      </c>
      <c r="K19" s="46" cm="1">
        <f t="array" ref="K19">5.1*J19^2</f>
        <v>20.801799216000003</v>
      </c>
      <c r="L19" s="40" cm="1">
        <f t="array" ref="L19">J19/4.9</f>
        <v>0.41216326530612241</v>
      </c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8" customHeight="1">
      <c r="A20" s="8"/>
      <c r="B20" s="1">
        <v>0.6</v>
      </c>
      <c r="C20" s="1" cm="1">
        <f t="array" ref="C20">B$3*B20+C$3</f>
        <v>0.59799999999999998</v>
      </c>
      <c r="D20" s="32" cm="1">
        <f t="array" ref="D20">D$6*C20</f>
        <v>0</v>
      </c>
      <c r="E20" s="29" cm="1">
        <f t="array" ref="E20">4.425*(D20*0.01)^0.5</f>
        <v>0</v>
      </c>
      <c r="F20" s="11" cm="1">
        <f t="array" ref="F20">E20/4.9</f>
        <v>0</v>
      </c>
      <c r="G20" s="35"/>
      <c r="H20" s="36">
        <v>0.7</v>
      </c>
      <c r="I20" s="36" cm="1">
        <f t="array" ref="I20">H$3*H20+I$3</f>
        <v>0.70599999999999996</v>
      </c>
      <c r="J20" s="46" cm="1">
        <f t="array" ref="J20">J$7*I20</f>
        <v>1.9062000000000001</v>
      </c>
      <c r="K20" s="46" cm="1">
        <f t="array" ref="K20">5.1*J20^2</f>
        <v>18.531352044000002</v>
      </c>
      <c r="L20" s="40" cm="1">
        <f t="array" ref="L20">J20/4.9</f>
        <v>0.38902040816326527</v>
      </c>
      <c r="M20" s="35"/>
      <c r="N20" s="35"/>
      <c r="O20" s="35"/>
      <c r="P20" s="37" cm="1">
        <f t="array" ref="P20">4.42*0.155^0.5</f>
        <v>1.7401557401566103</v>
      </c>
      <c r="Q20" s="37" cm="1">
        <f t="array" ref="Q20">P20/3</f>
        <v>0.58005191338553674</v>
      </c>
      <c r="R20" s="35"/>
      <c r="S20" s="35"/>
      <c r="T20" s="35"/>
      <c r="U20" s="35"/>
    </row>
    <row r="21" spans="1:21" ht="18" customHeight="1">
      <c r="A21" s="8"/>
      <c r="B21" s="1">
        <v>0.7</v>
      </c>
      <c r="C21" s="1" cm="1">
        <f t="array" ref="C21">B$3*B21+C$3</f>
        <v>0.53100000000000003</v>
      </c>
      <c r="D21" s="10" cm="1">
        <f t="array" ref="D21">D$6*C21</f>
        <v>0</v>
      </c>
      <c r="E21" s="29" cm="1">
        <f t="array" ref="E21">4.425*(D21*0.01)^0.5</f>
        <v>0</v>
      </c>
      <c r="F21" s="11" cm="1">
        <f t="array" ref="F21">E21/4.9</f>
        <v>0</v>
      </c>
      <c r="G21" s="35"/>
      <c r="H21" s="36">
        <v>0.8</v>
      </c>
      <c r="I21" s="36" cm="1">
        <f t="array" ref="I21">H$3*H21+I$3</f>
        <v>0.66399999999999992</v>
      </c>
      <c r="J21" s="46" cm="1">
        <f t="array" ref="J21">J$7*I21</f>
        <v>1.7927999999999999</v>
      </c>
      <c r="K21" s="46" cm="1">
        <f t="array" ref="K21">5.1*J21^2</f>
        <v>16.392072383999999</v>
      </c>
      <c r="L21" s="40" cm="1">
        <f t="array" ref="L21">J21/4.9</f>
        <v>0.36587755102040814</v>
      </c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8" customHeight="1">
      <c r="A22" s="8"/>
      <c r="B22" s="1">
        <v>0.8</v>
      </c>
      <c r="C22" s="1" cm="1">
        <f t="array" ref="C22">B$3*B22+C$3</f>
        <v>0.46399999999999997</v>
      </c>
      <c r="D22" s="10" cm="1">
        <f t="array" ref="D22">D$6*C22</f>
        <v>0</v>
      </c>
      <c r="E22" s="29" cm="1">
        <f t="array" ref="E22">4.425*(D22*0.01)^0.5</f>
        <v>0</v>
      </c>
      <c r="F22" s="11" cm="1">
        <f t="array" ref="F22">E22/4.9</f>
        <v>0</v>
      </c>
      <c r="G22" s="35"/>
      <c r="H22" s="36">
        <v>0.9</v>
      </c>
      <c r="I22" s="36" cm="1">
        <f t="array" ref="I22">H$3*H22+I$3</f>
        <v>0.62199999999999989</v>
      </c>
      <c r="J22" s="46" cm="1">
        <f t="array" ref="J22">J$7*I22</f>
        <v>1.6793999999999998</v>
      </c>
      <c r="K22" s="46" cm="1">
        <f t="array" ref="K22">5.1*J22^2</f>
        <v>14.383960235999997</v>
      </c>
      <c r="L22" s="40" cm="1">
        <f t="array" ref="L22">J22/4.9</f>
        <v>0.34273469387755096</v>
      </c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8" customHeight="1">
      <c r="A23" s="8"/>
      <c r="B23" s="1">
        <v>0.9</v>
      </c>
      <c r="C23" s="1" cm="1">
        <f t="array" ref="C23">B$3*B23+C$3</f>
        <v>0.39699999999999991</v>
      </c>
      <c r="D23" s="10" cm="1">
        <f t="array" ref="D23">D$6*C23</f>
        <v>0</v>
      </c>
      <c r="E23" s="29" cm="1">
        <f t="array" ref="E23">4.425*(D23*0.01)^0.5</f>
        <v>0</v>
      </c>
      <c r="F23" s="11" cm="1">
        <f t="array" ref="F23">E23/4.9</f>
        <v>0</v>
      </c>
      <c r="G23" s="35"/>
      <c r="H23" s="36">
        <v>1</v>
      </c>
      <c r="I23" s="36" cm="1">
        <f t="array" ref="I23">H$3*H23+I$3</f>
        <v>0.57999999999999996</v>
      </c>
      <c r="J23" s="46" cm="1">
        <f t="array" ref="J23">J$7*I23</f>
        <v>1.5660000000000001</v>
      </c>
      <c r="K23" s="46" cm="1">
        <f t="array" ref="K23">5.1*J23^2</f>
        <v>12.507015599999999</v>
      </c>
      <c r="L23" s="40" cm="1">
        <f t="array" ref="L23">J23/4.9</f>
        <v>0.31959183673469388</v>
      </c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8" customHeight="1">
      <c r="A24" s="8"/>
      <c r="B24" s="1">
        <v>1</v>
      </c>
      <c r="C24" s="1" cm="1">
        <f t="array" ref="C24">B$3*B24+C$3</f>
        <v>0.32999999999999996</v>
      </c>
      <c r="D24" s="10" cm="1">
        <f t="array" ref="D24">D$6*C24</f>
        <v>0</v>
      </c>
      <c r="E24" s="29" cm="1">
        <f t="array" ref="E24">4.425*(D24*0.01)^0.5</f>
        <v>0</v>
      </c>
      <c r="F24" s="11" cm="1">
        <f t="array" ref="F24">E24/4.9</f>
        <v>0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8" customHeight="1">
      <c r="A25" s="8"/>
      <c r="B25" s="33" t="e" cm="1">
        <f t="array" ref="B25">B9</f>
        <v>#DIV/0!</v>
      </c>
      <c r="C25" s="34" t="e" cm="1">
        <f t="array" ref="C25">B$3*B25+C$3</f>
        <v>#DIV/0!</v>
      </c>
      <c r="D25" s="29" t="e" cm="1">
        <f t="array" ref="D25">D$6*C25</f>
        <v>#DIV/0!</v>
      </c>
      <c r="E25" s="29" t="e" cm="1">
        <f t="array" ref="E25">4.425*(D25*0.01)^0.5</f>
        <v>#DIV/0!</v>
      </c>
      <c r="F25" s="11" t="e" cm="1">
        <f t="array" ref="F25">E25/4.9</f>
        <v>#DIV/0!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8" customHeight="1">
      <c r="A26" s="2"/>
      <c r="B26" s="14"/>
      <c r="C26" s="5"/>
      <c r="D26" s="5"/>
      <c r="E26" s="5"/>
      <c r="F26" s="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281" t="s">
        <v>106</v>
      </c>
      <c r="T26" s="282"/>
      <c r="U26" s="283"/>
    </row>
    <row r="27" spans="1:21" ht="18" customHeight="1">
      <c r="A27" s="2"/>
      <c r="B27" s="5"/>
      <c r="C27" s="5"/>
      <c r="D27" s="5"/>
      <c r="E27" s="5"/>
      <c r="F27" s="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284"/>
      <c r="T27" s="285"/>
      <c r="U27" s="286"/>
    </row>
    <row r="28" spans="1:21" ht="18" customHeight="1">
      <c r="A28" s="2"/>
      <c r="B28" s="5"/>
      <c r="C28" s="4" cm="1">
        <f t="array" ref="C28">30/91</f>
        <v>0.32967032967032966</v>
      </c>
      <c r="D28" s="5"/>
      <c r="E28" s="5"/>
      <c r="F28" s="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287"/>
      <c r="T28" s="288"/>
      <c r="U28" s="289"/>
    </row>
  </sheetData>
  <sheetProtection algorithmName="SHA-512" hashValue="1Jbr8KdTSj6K9CIVh8UK70VWu0L4824cYTBAGn3+DzyCEDcz4uS5/RK1yBfY4JI7AY3uV/N5I7MipUQdAC5saQ==" saltValue="mVa6stWKywVOSKkr0IHNGA==" spinCount="100000" sheet="1" objects="1" scenarios="1"/>
  <mergeCells count="2">
    <mergeCell ref="S26:U28"/>
    <mergeCell ref="A1:F1"/>
  </mergeCells>
  <pageMargins left="0.75" right="0.75" top="1" bottom="1" header="0.5" footer="0.5"/>
  <pageSetup orientation="portrait" r:id="rId1"/>
  <headerFooter>
    <oddHeader>&amp;L&amp;"Aptos Narrow,Regular"&amp;12&amp;K000000SJ BW calcoli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5203-3996-884C-8DBA-5FFAD8527B90}">
  <sheetPr codeName="Foglio3">
    <pageSetUpPr fitToPage="1"/>
  </sheetPr>
  <dimension ref="A1:AB782"/>
  <sheetViews>
    <sheetView zoomScale="80" zoomScaleNormal="80" zoomScalePageLayoutView="170" workbookViewId="0">
      <selection activeCell="C5" sqref="C5"/>
    </sheetView>
  </sheetViews>
  <sheetFormatPr defaultColWidth="10.8125" defaultRowHeight="13.15"/>
  <cols>
    <col min="1" max="1" width="18.8125" style="65" bestFit="1" customWidth="1"/>
    <col min="2" max="2" width="26" style="65" bestFit="1" customWidth="1"/>
    <col min="3" max="3" width="19.8125" style="65" customWidth="1"/>
    <col min="4" max="4" width="12.5" style="65" customWidth="1"/>
    <col min="5" max="5" width="10.8125" style="65" customWidth="1"/>
    <col min="6" max="7" width="12.5" style="65" customWidth="1"/>
    <col min="8" max="8" width="12" style="65" customWidth="1"/>
    <col min="9" max="9" width="13.6875" style="65" bestFit="1" customWidth="1"/>
    <col min="10" max="10" width="10.8125" style="65"/>
    <col min="11" max="11" width="17.1875" style="65" bestFit="1" customWidth="1"/>
    <col min="12" max="13" width="10.8125" style="65"/>
    <col min="14" max="14" width="13.8125" style="65" bestFit="1" customWidth="1"/>
    <col min="15" max="15" width="10.8125" style="65"/>
    <col min="16" max="16" width="18.3125" style="65" bestFit="1" customWidth="1"/>
    <col min="17" max="24" width="10.8125" style="65"/>
    <col min="25" max="25" width="12.5" style="65" bestFit="1" customWidth="1"/>
    <col min="26" max="16384" width="10.8125" style="65"/>
  </cols>
  <sheetData>
    <row r="1" spans="1:28" ht="13.5" thickBot="1">
      <c r="A1" s="63" t="s">
        <v>104</v>
      </c>
      <c r="B1" s="113">
        <f>ATLETA!F2</f>
        <v>0</v>
      </c>
      <c r="Q1" s="66"/>
      <c r="R1" s="66"/>
      <c r="S1" s="324" t="s">
        <v>103</v>
      </c>
      <c r="T1" s="324"/>
      <c r="U1" s="324"/>
      <c r="V1" s="324"/>
      <c r="W1" s="324"/>
      <c r="X1" s="324"/>
      <c r="Y1" s="324"/>
      <c r="Z1" s="324"/>
      <c r="AA1" s="324"/>
      <c r="AB1" s="324"/>
    </row>
    <row r="2" spans="1:28" ht="16.149999999999999" customHeight="1" thickBot="1">
      <c r="A2" s="67" t="s">
        <v>102</v>
      </c>
      <c r="B2" s="68"/>
      <c r="D2" s="298" t="s">
        <v>101</v>
      </c>
      <c r="E2" s="300">
        <f>ATLETA!E1</f>
        <v>0</v>
      </c>
      <c r="F2" s="301"/>
      <c r="G2" s="304" t="s">
        <v>100</v>
      </c>
      <c r="H2" s="305"/>
      <c r="I2" s="64">
        <f>ATLETA!C4</f>
        <v>0</v>
      </c>
      <c r="K2" s="357" t="s">
        <v>241</v>
      </c>
      <c r="L2" s="358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</row>
    <row r="3" spans="1:28" ht="15.75" customHeight="1">
      <c r="D3" s="299"/>
      <c r="E3" s="302"/>
      <c r="F3" s="303"/>
      <c r="G3" s="306" t="s">
        <v>99</v>
      </c>
      <c r="H3" s="307"/>
      <c r="I3" s="70">
        <f>ATLETA!E5/100</f>
        <v>0</v>
      </c>
      <c r="K3" s="359"/>
      <c r="L3" s="360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1:28" ht="15.75" customHeight="1">
      <c r="A4" s="71"/>
      <c r="D4" s="299" t="s">
        <v>98</v>
      </c>
      <c r="E4" s="309">
        <f>ATLETA!C1</f>
        <v>0</v>
      </c>
      <c r="F4" s="310"/>
      <c r="G4" s="306" t="s">
        <v>97</v>
      </c>
      <c r="H4" s="307"/>
      <c r="I4" s="70">
        <f>ATLETA!E6/100</f>
        <v>0</v>
      </c>
      <c r="K4" s="359"/>
      <c r="L4" s="360"/>
      <c r="Q4" s="66"/>
      <c r="R4" s="66"/>
      <c r="S4" s="66" t="s">
        <v>78</v>
      </c>
      <c r="T4" s="66">
        <v>30</v>
      </c>
      <c r="U4" s="66">
        <f>9.81*SIN(RADIANS(T4))</f>
        <v>4.9049999999999994</v>
      </c>
      <c r="V4" s="66"/>
      <c r="W4" s="66"/>
      <c r="X4" s="66"/>
      <c r="Y4" s="66"/>
      <c r="Z4" s="66"/>
      <c r="AA4" s="66"/>
      <c r="AB4" s="66"/>
    </row>
    <row r="5" spans="1:28" ht="16.149999999999999" customHeight="1" thickBot="1">
      <c r="A5" s="71"/>
      <c r="D5" s="308"/>
      <c r="E5" s="311"/>
      <c r="F5" s="312"/>
      <c r="G5" s="313" t="s">
        <v>96</v>
      </c>
      <c r="H5" s="314"/>
      <c r="I5" s="68">
        <f>I3-I4</f>
        <v>0</v>
      </c>
      <c r="K5" s="361"/>
      <c r="L5" s="362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 spans="1:28" ht="13.5" thickBot="1">
      <c r="Q6" s="66"/>
      <c r="R6" s="66"/>
      <c r="S6" s="66" t="s">
        <v>75</v>
      </c>
      <c r="T6" s="66" t="s">
        <v>74</v>
      </c>
      <c r="U6" s="66" t="s">
        <v>73</v>
      </c>
      <c r="V6" s="66"/>
      <c r="W6" s="66" t="s">
        <v>72</v>
      </c>
      <c r="X6" s="66"/>
      <c r="Y6" s="66"/>
      <c r="Z6" s="66" t="s">
        <v>71</v>
      </c>
      <c r="AA6" s="66" t="s">
        <v>70</v>
      </c>
      <c r="AB6" s="66"/>
    </row>
    <row r="7" spans="1:28" ht="15.75">
      <c r="A7" s="73" t="s">
        <v>95</v>
      </c>
      <c r="B7" s="74" t="s">
        <v>94</v>
      </c>
      <c r="C7" s="74" t="s">
        <v>93</v>
      </c>
      <c r="D7" s="74" t="s">
        <v>92</v>
      </c>
      <c r="E7" s="74" t="s">
        <v>91</v>
      </c>
      <c r="F7" s="74" t="s">
        <v>90</v>
      </c>
      <c r="G7" s="74" t="s">
        <v>89</v>
      </c>
      <c r="H7" s="74" t="s">
        <v>88</v>
      </c>
      <c r="I7" s="74" t="s">
        <v>87</v>
      </c>
      <c r="J7" s="75" t="s">
        <v>86</v>
      </c>
      <c r="K7" s="63" t="s">
        <v>85</v>
      </c>
      <c r="L7" s="76" t="e">
        <f>RSQ(H8:H13,I8:I13)</f>
        <v>#DIV/0!</v>
      </c>
      <c r="Q7" s="66"/>
      <c r="R7" s="66"/>
      <c r="S7" s="77" t="e">
        <f>(-($U$4^6)*$I$5^6-18*$U$4^3*$I$5^5*$L$15^2-54*$I$5^4*$L$15^4+6*SQRT(3)*SQRT(2*$U$4^3*$I$5^9*$L$15^6+27*$I$5^8*$L$15^8))^(1/3)</f>
        <v>#DIV/0!</v>
      </c>
      <c r="T7" s="78" t="e">
        <f>-($U$4^2/(3*$L$15))-(-($U$4^4)*$I$5^4-12*$U$4*$I$5^3*$L$15^2)/(3*$I$5^2*$L$15*$S$7)+$S$7/(3*$I$5^2*$L$15)</f>
        <v>#DIV/0!</v>
      </c>
      <c r="U7" s="79" t="e">
        <f>L12/T7</f>
        <v>#DIV/0!</v>
      </c>
      <c r="V7" s="66"/>
      <c r="W7" s="66" t="s">
        <v>68</v>
      </c>
      <c r="X7" s="66"/>
      <c r="Y7" s="66"/>
      <c r="Z7" s="78" t="e">
        <f>2*SQRT(-L15*T7)</f>
        <v>#DIV/0!</v>
      </c>
      <c r="AA7" s="78" t="e">
        <f>4*L15/Z7</f>
        <v>#DIV/0!</v>
      </c>
      <c r="AB7" s="66"/>
    </row>
    <row r="8" spans="1:28" ht="14.25">
      <c r="A8" s="80">
        <f>ATLETA!P15</f>
        <v>0</v>
      </c>
      <c r="B8" s="180">
        <f>ATLETA!R15</f>
        <v>0</v>
      </c>
      <c r="C8" s="81">
        <f>B8+$I$2</f>
        <v>0</v>
      </c>
      <c r="D8" s="82">
        <f>ATLETA!S15/100</f>
        <v>0</v>
      </c>
      <c r="E8" s="82">
        <f>ATLETA!T15/100</f>
        <v>0</v>
      </c>
      <c r="F8" s="82">
        <f>ATLETA!U15/100</f>
        <v>0</v>
      </c>
      <c r="G8" s="83">
        <f>MAX(D8:F8)</f>
        <v>0</v>
      </c>
      <c r="H8" s="84" t="e">
        <f>C8*9.81*((G8/$I$5)+1)</f>
        <v>#DIV/0!</v>
      </c>
      <c r="I8" s="85">
        <f>SQRT((9.81*G8)/2)</f>
        <v>0</v>
      </c>
      <c r="J8" s="86" t="e">
        <f>I8*H8</f>
        <v>#DIV/0!</v>
      </c>
      <c r="K8" s="69" t="s">
        <v>84</v>
      </c>
      <c r="L8" s="87" t="e">
        <f>CORREL(H8:H13,I8:I13)</f>
        <v>#DIV/0!</v>
      </c>
      <c r="Q8" s="66"/>
      <c r="R8" s="66"/>
      <c r="S8" s="66"/>
      <c r="T8" s="66"/>
      <c r="U8" s="66"/>
      <c r="V8" s="66"/>
      <c r="W8" s="66" t="s">
        <v>67</v>
      </c>
      <c r="X8" s="66" t="s">
        <v>66</v>
      </c>
      <c r="Y8" s="66" t="s">
        <v>65</v>
      </c>
      <c r="Z8" s="66"/>
      <c r="AA8" s="66"/>
      <c r="AB8" s="66"/>
    </row>
    <row r="9" spans="1:28" ht="14.25">
      <c r="A9" s="80">
        <f>ATLETA!P16</f>
        <v>0.25</v>
      </c>
      <c r="B9" s="180">
        <f>ATLETA!R16</f>
        <v>0</v>
      </c>
      <c r="C9" s="81">
        <f>B9+$I$2</f>
        <v>0</v>
      </c>
      <c r="D9" s="82">
        <f>ATLETA!S16/100</f>
        <v>0</v>
      </c>
      <c r="E9" s="82">
        <f>ATLETA!T16/100</f>
        <v>0</v>
      </c>
      <c r="F9" s="82">
        <f>ATLETA!U16/100</f>
        <v>0</v>
      </c>
      <c r="G9" s="83">
        <f>MAX(D9:F9)</f>
        <v>0</v>
      </c>
      <c r="H9" s="84" t="e">
        <f>C9*9.81*((G9/$I$5)+1)</f>
        <v>#DIV/0!</v>
      </c>
      <c r="I9" s="85">
        <f>SQRT((9.81*G9)/2)</f>
        <v>0</v>
      </c>
      <c r="J9" s="86" t="e">
        <f>I9*H9</f>
        <v>#DIV/0!</v>
      </c>
      <c r="K9" s="69" t="s">
        <v>83</v>
      </c>
      <c r="L9" s="88" t="e">
        <f>INTERCEPT(H8:H13,I8:I13)</f>
        <v>#DIV/0!</v>
      </c>
      <c r="Q9" s="66"/>
      <c r="R9" s="66"/>
      <c r="S9" s="66"/>
      <c r="T9" s="66"/>
      <c r="U9" s="66"/>
      <c r="V9" s="66"/>
      <c r="W9" s="66"/>
      <c r="X9" s="78">
        <v>0</v>
      </c>
      <c r="Y9" s="66" t="e">
        <f>($T$7*X9+$Z$7)*$I$2/I2</f>
        <v>#DIV/0!</v>
      </c>
      <c r="Z9" s="66"/>
      <c r="AA9" s="66"/>
      <c r="AB9" s="66"/>
    </row>
    <row r="10" spans="1:28" ht="14.25">
      <c r="A10" s="80">
        <f>ATLETA!P17</f>
        <v>0.5</v>
      </c>
      <c r="B10" s="180">
        <f>ATLETA!R17</f>
        <v>0</v>
      </c>
      <c r="C10" s="81">
        <f>B10+$I$2</f>
        <v>0</v>
      </c>
      <c r="D10" s="82">
        <f>ATLETA!S17/100</f>
        <v>0</v>
      </c>
      <c r="E10" s="82">
        <f>ATLETA!T17/100</f>
        <v>0</v>
      </c>
      <c r="F10" s="82">
        <f>ATLETA!U17/100</f>
        <v>0</v>
      </c>
      <c r="G10" s="83">
        <f>MAX(D10:F10)</f>
        <v>0</v>
      </c>
      <c r="H10" s="84" t="e">
        <f>C10*9.81*((G10/$I$5)+1)</f>
        <v>#DIV/0!</v>
      </c>
      <c r="I10" s="85">
        <f>SQRT((9.81*G10)/2)</f>
        <v>0</v>
      </c>
      <c r="J10" s="86" t="e">
        <f>I10*H10</f>
        <v>#DIV/0!</v>
      </c>
      <c r="K10" s="69" t="s">
        <v>82</v>
      </c>
      <c r="L10" s="89" t="e">
        <f>L9/I2</f>
        <v>#DIV/0!</v>
      </c>
      <c r="Q10" s="66"/>
      <c r="R10" s="66"/>
      <c r="S10" s="78"/>
      <c r="T10" s="78"/>
      <c r="U10" s="78"/>
      <c r="V10" s="66"/>
      <c r="W10" s="66"/>
      <c r="X10" s="78" t="e">
        <f>AA7</f>
        <v>#DIV/0!</v>
      </c>
      <c r="Y10" s="66" t="e">
        <f>($T$7*X10+$Z$7)*$I$2</f>
        <v>#DIV/0!</v>
      </c>
      <c r="Z10" s="66"/>
      <c r="AA10" s="66"/>
      <c r="AB10" s="66"/>
    </row>
    <row r="11" spans="1:28" ht="14.25">
      <c r="A11" s="80">
        <f>ATLETA!P18</f>
        <v>0.75</v>
      </c>
      <c r="B11" s="180">
        <f>ATLETA!R18</f>
        <v>0</v>
      </c>
      <c r="C11" s="81">
        <f>B11+$I$2</f>
        <v>0</v>
      </c>
      <c r="D11" s="82">
        <f>ATLETA!S18/100</f>
        <v>0</v>
      </c>
      <c r="E11" s="82">
        <f>ATLETA!T18/100</f>
        <v>0</v>
      </c>
      <c r="F11" s="82">
        <f>ATLETA!U18/100</f>
        <v>0</v>
      </c>
      <c r="G11" s="83">
        <f>MAX(D11:F11)</f>
        <v>0</v>
      </c>
      <c r="H11" s="84" t="e">
        <f>C11*9.81*((G11/$I$5)+1)</f>
        <v>#DIV/0!</v>
      </c>
      <c r="I11" s="85">
        <f>SQRT((9.81*G11)/2)</f>
        <v>0</v>
      </c>
      <c r="J11" s="86" t="e">
        <f>I11*H11</f>
        <v>#DIV/0!</v>
      </c>
      <c r="K11" s="69" t="s">
        <v>81</v>
      </c>
      <c r="L11" s="88" t="e">
        <f>SLOPE(H8:H13,I8:I13)</f>
        <v>#DIV/0!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</row>
    <row r="12" spans="1:28" ht="14.25">
      <c r="A12" s="80">
        <f>ATLETA!P19</f>
        <v>1</v>
      </c>
      <c r="B12" s="180">
        <f>ATLETA!R19</f>
        <v>0</v>
      </c>
      <c r="C12" s="81">
        <f>B12+$I$2</f>
        <v>0</v>
      </c>
      <c r="D12" s="82">
        <f>ATLETA!S19/100</f>
        <v>0</v>
      </c>
      <c r="E12" s="82">
        <f>ATLETA!T19/100</f>
        <v>0</v>
      </c>
      <c r="F12" s="82">
        <f>ATLETA!U19/100</f>
        <v>0</v>
      </c>
      <c r="G12" s="83">
        <f>MAX(D12:F12)</f>
        <v>0</v>
      </c>
      <c r="H12" s="84" t="e">
        <f>C12*9.81*((G12/$I$5)+1)</f>
        <v>#DIV/0!</v>
      </c>
      <c r="I12" s="85">
        <f>SQRT((9.81*G12)/2)</f>
        <v>0</v>
      </c>
      <c r="J12" s="86" t="e">
        <f>I12*H12</f>
        <v>#DIV/0!</v>
      </c>
      <c r="K12" s="69" t="s">
        <v>80</v>
      </c>
      <c r="L12" s="87" t="e">
        <f>L11/I2</f>
        <v>#DIV/0!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</row>
    <row r="13" spans="1:28" ht="14.65" thickBot="1">
      <c r="A13" s="90"/>
      <c r="B13" s="91"/>
      <c r="C13" s="92"/>
      <c r="D13" s="93"/>
      <c r="E13" s="93"/>
      <c r="F13" s="93"/>
      <c r="G13" s="93"/>
      <c r="H13" s="94"/>
      <c r="I13" s="95"/>
      <c r="J13" s="96"/>
      <c r="K13" s="69" t="s">
        <v>79</v>
      </c>
      <c r="L13" s="87" t="e">
        <f>-L9/L11</f>
        <v>#DIV/0!</v>
      </c>
      <c r="Q13" s="66"/>
      <c r="R13" s="66"/>
      <c r="S13" s="66" t="s">
        <v>78</v>
      </c>
      <c r="T13" s="66">
        <v>90</v>
      </c>
      <c r="U13" s="66">
        <f>9.81*SIN(RADIANS(T13))</f>
        <v>9.81</v>
      </c>
      <c r="V13" s="66"/>
      <c r="W13" s="66"/>
      <c r="X13" s="66"/>
      <c r="Y13" s="66"/>
      <c r="Z13" s="66"/>
      <c r="AA13" s="66"/>
      <c r="AB13" s="66"/>
    </row>
    <row r="14" spans="1:28" ht="14.25">
      <c r="A14" s="97"/>
      <c r="B14" s="97"/>
      <c r="C14" s="98"/>
      <c r="H14" s="99"/>
      <c r="I14" s="100"/>
      <c r="J14" s="101"/>
      <c r="K14" s="69" t="s">
        <v>77</v>
      </c>
      <c r="L14" s="88" t="e">
        <f>(L9*L13)/4</f>
        <v>#DIV/0!</v>
      </c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 spans="1:28" ht="14.65" thickBot="1">
      <c r="A15" s="97"/>
      <c r="B15" s="97"/>
      <c r="C15" s="98"/>
      <c r="H15" s="99"/>
      <c r="I15" s="100"/>
      <c r="J15" s="101"/>
      <c r="K15" s="186" t="s">
        <v>76</v>
      </c>
      <c r="L15" s="102" t="e">
        <f>L14/I2</f>
        <v>#DIV/0!</v>
      </c>
      <c r="Q15" s="66"/>
      <c r="R15" s="66"/>
      <c r="S15" s="66" t="s">
        <v>75</v>
      </c>
      <c r="T15" s="66" t="s">
        <v>74</v>
      </c>
      <c r="U15" s="66" t="s">
        <v>73</v>
      </c>
      <c r="V15" s="66"/>
      <c r="W15" s="66" t="s">
        <v>72</v>
      </c>
      <c r="X15" s="66"/>
      <c r="Y15" s="66"/>
      <c r="Z15" s="66" t="s">
        <v>71</v>
      </c>
      <c r="AA15" s="66" t="s">
        <v>70</v>
      </c>
      <c r="AB15" s="66"/>
    </row>
    <row r="16" spans="1:28" ht="16.149999999999999" thickBot="1">
      <c r="A16" s="65">
        <f>I2</f>
        <v>0</v>
      </c>
      <c r="K16" s="187" t="s">
        <v>69</v>
      </c>
      <c r="L16" s="185" t="e">
        <f>T16</f>
        <v>#DIV/0!</v>
      </c>
      <c r="Q16" s="66"/>
      <c r="R16" s="66"/>
      <c r="S16" s="77" t="e">
        <f>(-($U$13^6)*$I$5^6-18*$U$13^3*$I$5^5*$L$15^2-54*$I$5^4*$L$15^4+6*SQRT(3)*SQRT(2*$U$13^3*$I$5^9*$L$15^6+27*$I$5^8*$L$15^8))^(1/3)</f>
        <v>#DIV/0!</v>
      </c>
      <c r="T16" s="78" t="e">
        <f>-($U$13^2/(3*$L$15))-(-($U$13^4)*$I$5^4-12*$U$13*$I$5^3*$L$15^2)/(3*$I$5^2*$L$15*$S$16)+$S$16/(3*$I$5^2*$L$15)</f>
        <v>#DIV/0!</v>
      </c>
      <c r="U16" s="79" t="e">
        <f>L12/T16</f>
        <v>#DIV/0!</v>
      </c>
      <c r="V16" s="66"/>
      <c r="W16" s="66" t="s">
        <v>68</v>
      </c>
      <c r="X16" s="66"/>
      <c r="Y16" s="66"/>
      <c r="Z16" s="78" t="e">
        <f>2*SQRT(-L15*T16)</f>
        <v>#DIV/0!</v>
      </c>
      <c r="AA16" s="78" t="e">
        <f>4*L15/Z16</f>
        <v>#DIV/0!</v>
      </c>
      <c r="AB16" s="66"/>
    </row>
    <row r="17" spans="4:28">
      <c r="D17" s="315" t="str">
        <f>K10</f>
        <v>Fo (N/kg)</v>
      </c>
      <c r="E17" s="316"/>
      <c r="F17" s="319" t="e">
        <f>L10</f>
        <v>#DIV/0!</v>
      </c>
      <c r="G17" s="103"/>
      <c r="K17" s="100"/>
      <c r="Q17" s="66"/>
      <c r="R17" s="66"/>
      <c r="S17" s="66"/>
      <c r="T17" s="66"/>
      <c r="U17" s="66"/>
      <c r="V17" s="66"/>
      <c r="W17" s="66" t="s">
        <v>67</v>
      </c>
      <c r="X17" s="66" t="s">
        <v>66</v>
      </c>
      <c r="Y17" s="66" t="s">
        <v>65</v>
      </c>
      <c r="Z17" s="66"/>
      <c r="AA17" s="66"/>
      <c r="AB17" s="66"/>
    </row>
    <row r="18" spans="4:28" ht="12.75" customHeight="1" thickBot="1">
      <c r="D18" s="317"/>
      <c r="E18" s="318"/>
      <c r="F18" s="320"/>
      <c r="G18" s="104"/>
      <c r="K18" s="101"/>
      <c r="Q18" s="66"/>
      <c r="R18" s="66"/>
      <c r="S18" s="66"/>
      <c r="T18" s="66"/>
      <c r="U18" s="66"/>
      <c r="V18" s="66"/>
      <c r="W18" s="66"/>
      <c r="X18" s="78">
        <v>0</v>
      </c>
      <c r="Y18" s="66" t="e">
        <f>($T$16*X18+$Z$16)*$I$2/I2</f>
        <v>#DIV/0!</v>
      </c>
      <c r="Z18" s="66"/>
      <c r="AA18" s="66"/>
      <c r="AB18" s="66"/>
    </row>
    <row r="19" spans="4:28" ht="12.75" customHeight="1">
      <c r="D19" s="315" t="str">
        <f>K13</f>
        <v>Vo (m/s)</v>
      </c>
      <c r="E19" s="316"/>
      <c r="F19" s="322" t="e">
        <f>L13</f>
        <v>#DIV/0!</v>
      </c>
      <c r="G19" s="103"/>
      <c r="K19" s="101"/>
      <c r="L19" s="100"/>
      <c r="Q19" s="66"/>
      <c r="R19" s="66"/>
      <c r="S19" s="78"/>
      <c r="T19" s="78"/>
      <c r="U19" s="78"/>
      <c r="V19" s="66"/>
      <c r="W19" s="66"/>
      <c r="X19" s="78" t="e">
        <f>AA16</f>
        <v>#DIV/0!</v>
      </c>
      <c r="Y19" s="66" t="e">
        <f>($T$16*X19+$Z$16)*$I$2</f>
        <v>#DIV/0!</v>
      </c>
      <c r="Z19" s="66"/>
      <c r="AA19" s="66"/>
      <c r="AB19" s="66"/>
    </row>
    <row r="20" spans="4:28" ht="12.75" customHeight="1" thickBot="1">
      <c r="D20" s="297"/>
      <c r="E20" s="321"/>
      <c r="F20" s="295"/>
      <c r="G20" s="72"/>
      <c r="K20" s="100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</row>
    <row r="21" spans="4:28" ht="12.75" customHeight="1">
      <c r="D21" s="315" t="str">
        <f>K15</f>
        <v>Pmax (W/kg)</v>
      </c>
      <c r="E21" s="316"/>
      <c r="F21" s="319" t="e">
        <f>L15</f>
        <v>#DIV/0!</v>
      </c>
      <c r="G21" s="103"/>
      <c r="K21" s="101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</row>
    <row r="22" spans="4:28" ht="12.75" customHeight="1" thickBot="1">
      <c r="D22" s="297"/>
      <c r="E22" s="321"/>
      <c r="F22" s="323"/>
      <c r="G22" s="72"/>
      <c r="K22" s="99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</row>
    <row r="23" spans="4:28" ht="12.75" customHeight="1">
      <c r="D23" s="293" t="str">
        <f>K12</f>
        <v>Sfv (N.s/m/kg)</v>
      </c>
      <c r="E23" s="294"/>
      <c r="F23" s="293" t="e">
        <f>L12</f>
        <v>#DIV/0!</v>
      </c>
      <c r="G23" s="104"/>
      <c r="Q23" s="66"/>
      <c r="R23" s="66"/>
      <c r="S23" s="66"/>
      <c r="T23" s="66"/>
      <c r="U23" s="66"/>
      <c r="V23" s="66"/>
      <c r="W23" s="66"/>
      <c r="X23" s="105" t="s">
        <v>66</v>
      </c>
      <c r="Y23" s="66" t="s">
        <v>65</v>
      </c>
      <c r="Z23" s="66"/>
      <c r="AA23" s="66"/>
      <c r="AB23" s="66"/>
    </row>
    <row r="24" spans="4:28" ht="13.5" thickBot="1">
      <c r="D24" s="295"/>
      <c r="E24" s="296"/>
      <c r="F24" s="297"/>
      <c r="G24" s="72"/>
      <c r="Q24" s="66"/>
      <c r="R24" s="66"/>
      <c r="S24" s="66"/>
      <c r="T24" s="66"/>
      <c r="U24" s="66"/>
      <c r="V24" s="66"/>
      <c r="W24" s="66"/>
      <c r="X24" s="106">
        <v>0</v>
      </c>
      <c r="Y24" s="105" t="e">
        <f>L9/I2</f>
        <v>#DIV/0!</v>
      </c>
      <c r="Z24" s="66"/>
      <c r="AA24" s="66"/>
      <c r="AB24" s="66"/>
    </row>
    <row r="25" spans="4:28">
      <c r="D25" s="107"/>
      <c r="E25" s="108"/>
      <c r="F25" s="335" t="s">
        <v>64</v>
      </c>
      <c r="G25" s="336"/>
      <c r="Q25" s="66"/>
      <c r="R25" s="66"/>
      <c r="S25" s="66"/>
      <c r="T25" s="66"/>
      <c r="U25" s="66"/>
      <c r="V25" s="66"/>
      <c r="W25" s="66"/>
      <c r="X25" s="78" t="e">
        <f>L13</f>
        <v>#DIV/0!</v>
      </c>
      <c r="Y25" s="66">
        <v>0</v>
      </c>
      <c r="Z25" s="66"/>
      <c r="AA25" s="66"/>
      <c r="AB25" s="66"/>
    </row>
    <row r="26" spans="4:28" ht="12.75" customHeight="1">
      <c r="D26" s="109"/>
      <c r="F26" s="337"/>
      <c r="G26" s="338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</row>
    <row r="27" spans="4:28" ht="12.75" customHeight="1">
      <c r="D27" s="109"/>
      <c r="F27" s="339" t="e">
        <f>U7</f>
        <v>#DIV/0!</v>
      </c>
      <c r="G27" s="340"/>
    </row>
    <row r="28" spans="4:28" ht="12.75" customHeight="1">
      <c r="D28" s="109"/>
      <c r="F28" s="339"/>
      <c r="G28" s="340"/>
    </row>
    <row r="29" spans="4:28" ht="12.75" customHeight="1">
      <c r="D29" s="109"/>
      <c r="F29" s="347" t="s">
        <v>63</v>
      </c>
      <c r="G29" s="348"/>
    </row>
    <row r="30" spans="4:28" ht="13.5" thickBot="1">
      <c r="D30" s="109"/>
      <c r="F30" s="349"/>
      <c r="G30" s="350"/>
    </row>
    <row r="31" spans="4:28">
      <c r="D31" s="109"/>
      <c r="F31" s="351" t="e">
        <f>IF(F27&lt;1,"FORCE is to be developped","VELOCITY is to be developped")</f>
        <v>#DIV/0!</v>
      </c>
      <c r="G31" s="352"/>
    </row>
    <row r="32" spans="4:28">
      <c r="D32" s="109"/>
      <c r="F32" s="353"/>
      <c r="G32" s="354"/>
    </row>
    <row r="33" spans="1:7" ht="13.5" thickBot="1">
      <c r="D33" s="110"/>
      <c r="E33" s="111"/>
      <c r="F33" s="355"/>
      <c r="G33" s="356"/>
    </row>
    <row r="34" spans="1:7">
      <c r="D34" s="107"/>
      <c r="E34" s="108"/>
      <c r="F34" s="341" t="s">
        <v>62</v>
      </c>
      <c r="G34" s="342"/>
    </row>
    <row r="35" spans="1:7">
      <c r="D35" s="109"/>
      <c r="F35" s="343"/>
      <c r="G35" s="344"/>
    </row>
    <row r="36" spans="1:7">
      <c r="D36" s="109"/>
      <c r="F36" s="345" t="e">
        <f>U16</f>
        <v>#DIV/0!</v>
      </c>
      <c r="G36" s="346"/>
    </row>
    <row r="37" spans="1:7">
      <c r="D37" s="109"/>
      <c r="F37" s="345"/>
      <c r="G37" s="346"/>
    </row>
    <row r="38" spans="1:7">
      <c r="D38" s="109"/>
      <c r="F38" s="325" t="s">
        <v>61</v>
      </c>
      <c r="G38" s="326"/>
    </row>
    <row r="39" spans="1:7" ht="13.5" thickBot="1">
      <c r="D39" s="109"/>
      <c r="F39" s="327"/>
      <c r="G39" s="328"/>
    </row>
    <row r="40" spans="1:7" ht="12.75" customHeight="1">
      <c r="D40" s="109"/>
      <c r="F40" s="329" t="e">
        <f>IF(F36&lt;1,"FORCE is to be developped","VELOCITY is to be developped")</f>
        <v>#DIV/0!</v>
      </c>
      <c r="G40" s="330"/>
    </row>
    <row r="41" spans="1:7" ht="12.75" customHeight="1">
      <c r="D41" s="109"/>
      <c r="F41" s="331"/>
      <c r="G41" s="332"/>
    </row>
    <row r="42" spans="1:7" ht="13.5" customHeight="1" thickBot="1">
      <c r="D42" s="110"/>
      <c r="E42" s="111"/>
      <c r="F42" s="333"/>
      <c r="G42" s="334"/>
    </row>
    <row r="45" spans="1:7">
      <c r="B45" s="71"/>
    </row>
    <row r="47" spans="1:7">
      <c r="A47" s="112"/>
    </row>
    <row r="49" spans="2:2" ht="19.25" customHeight="1">
      <c r="B49" s="71"/>
    </row>
    <row r="50" spans="2:2" ht="18" customHeight="1">
      <c r="B50" s="71"/>
    </row>
    <row r="51" spans="2:2" ht="21" customHeight="1">
      <c r="B51" s="71"/>
    </row>
    <row r="52" spans="2:2" ht="21" customHeight="1">
      <c r="B52" s="71"/>
    </row>
    <row r="53" spans="2:2" ht="17.55" customHeight="1">
      <c r="B53" s="71"/>
    </row>
    <row r="54" spans="2:2" ht="21" customHeight="1"/>
    <row r="65" s="65" customFormat="1"/>
    <row r="66" s="65" customFormat="1"/>
    <row r="67" s="65" customFormat="1"/>
    <row r="68" s="65" customFormat="1"/>
    <row r="69" s="65" customFormat="1"/>
    <row r="70" s="65" customFormat="1"/>
    <row r="71" s="65" customFormat="1"/>
    <row r="72" s="65" customFormat="1"/>
    <row r="73" s="65" customFormat="1"/>
    <row r="74" s="65" customFormat="1"/>
    <row r="75" s="65" customFormat="1"/>
    <row r="76" s="65" customFormat="1"/>
    <row r="77" s="65" customFormat="1"/>
    <row r="78" s="65" customFormat="1"/>
    <row r="79" s="65" customFormat="1"/>
    <row r="80" s="65" customFormat="1"/>
    <row r="81" s="65" customFormat="1"/>
    <row r="82" s="65" customFormat="1"/>
    <row r="83" s="65" customFormat="1"/>
    <row r="84" s="65" customFormat="1"/>
    <row r="85" s="65" customFormat="1"/>
    <row r="86" s="65" customFormat="1"/>
    <row r="87" s="65" customFormat="1"/>
    <row r="88" s="65" customFormat="1"/>
    <row r="89" s="65" customFormat="1"/>
    <row r="90" s="65" customFormat="1"/>
    <row r="91" s="65" customFormat="1"/>
    <row r="92" s="65" customFormat="1"/>
    <row r="93" s="65" customFormat="1"/>
    <row r="94" s="65" customFormat="1"/>
    <row r="95" s="65" customFormat="1"/>
    <row r="96" s="65" customFormat="1"/>
    <row r="97" s="65" customFormat="1"/>
    <row r="98" s="65" customFormat="1"/>
    <row r="99" s="65" customFormat="1"/>
    <row r="100" s="65" customFormat="1"/>
    <row r="101" s="65" customFormat="1"/>
    <row r="102" s="65" customFormat="1"/>
    <row r="103" s="65" customFormat="1"/>
    <row r="104" s="65" customFormat="1"/>
    <row r="105" s="65" customFormat="1"/>
    <row r="106" s="65" customFormat="1"/>
    <row r="107" s="65" customFormat="1"/>
    <row r="108" s="65" customFormat="1"/>
    <row r="109" s="65" customFormat="1"/>
    <row r="110" s="65" customFormat="1"/>
    <row r="111" s="65" customFormat="1"/>
    <row r="112" s="65" customFormat="1"/>
    <row r="113" s="65" customFormat="1"/>
    <row r="114" s="65" customFormat="1"/>
    <row r="115" s="65" customFormat="1"/>
    <row r="116" s="65" customFormat="1"/>
    <row r="117" s="65" customFormat="1"/>
    <row r="118" s="65" customFormat="1"/>
    <row r="119" s="65" customFormat="1"/>
    <row r="120" s="65" customFormat="1"/>
    <row r="121" s="65" customFormat="1"/>
    <row r="122" s="65" customFormat="1"/>
    <row r="123" s="65" customFormat="1"/>
    <row r="124" s="65" customFormat="1"/>
    <row r="125" s="65" customFormat="1"/>
    <row r="126" s="65" customFormat="1"/>
    <row r="127" s="65" customFormat="1"/>
    <row r="128" s="65" customFormat="1"/>
    <row r="129" s="65" customFormat="1"/>
    <row r="130" s="65" customFormat="1"/>
    <row r="131" s="65" customFormat="1"/>
    <row r="132" s="65" customFormat="1"/>
    <row r="133" s="65" customFormat="1"/>
    <row r="134" s="65" customFormat="1"/>
    <row r="135" s="65" customFormat="1"/>
    <row r="136" s="65" customFormat="1"/>
    <row r="137" s="65" customFormat="1"/>
    <row r="138" s="65" customFormat="1"/>
    <row r="139" s="65" customFormat="1"/>
    <row r="140" s="65" customFormat="1"/>
    <row r="141" s="65" customFormat="1"/>
    <row r="142" s="65" customFormat="1"/>
    <row r="143" s="65" customFormat="1"/>
    <row r="144" s="65" customFormat="1"/>
    <row r="145" s="65" customFormat="1"/>
    <row r="146" s="65" customFormat="1"/>
    <row r="147" s="65" customFormat="1"/>
    <row r="148" s="65" customFormat="1"/>
    <row r="149" s="65" customFormat="1"/>
    <row r="150" s="65" customFormat="1"/>
    <row r="151" s="65" customFormat="1"/>
    <row r="152" s="65" customFormat="1"/>
    <row r="153" s="65" customFormat="1"/>
    <row r="154" s="65" customFormat="1"/>
    <row r="155" s="65" customFormat="1"/>
    <row r="156" s="65" customFormat="1"/>
    <row r="157" s="65" customFormat="1"/>
    <row r="158" s="65" customFormat="1"/>
    <row r="159" s="65" customFormat="1"/>
    <row r="160" s="65" customFormat="1"/>
    <row r="161" s="65" customFormat="1"/>
    <row r="162" s="65" customFormat="1"/>
    <row r="163" s="65" customFormat="1"/>
    <row r="164" s="65" customFormat="1"/>
    <row r="165" s="65" customFormat="1"/>
    <row r="166" s="65" customFormat="1"/>
    <row r="167" s="65" customFormat="1"/>
    <row r="168" s="65" customFormat="1"/>
    <row r="169" s="65" customFormat="1"/>
    <row r="170" s="65" customFormat="1"/>
    <row r="171" s="65" customFormat="1"/>
    <row r="172" s="65" customFormat="1"/>
    <row r="173" s="65" customFormat="1"/>
    <row r="174" s="65" customFormat="1"/>
    <row r="175" s="65" customFormat="1"/>
    <row r="176" s="65" customFormat="1"/>
    <row r="177" s="65" customFormat="1"/>
    <row r="178" s="65" customFormat="1"/>
    <row r="179" s="65" customFormat="1"/>
    <row r="180" s="65" customFormat="1"/>
    <row r="181" s="65" customFormat="1"/>
    <row r="182" s="65" customFormat="1"/>
    <row r="183" s="65" customFormat="1"/>
    <row r="184" s="65" customFormat="1"/>
    <row r="185" s="65" customFormat="1"/>
    <row r="186" s="65" customFormat="1"/>
    <row r="187" s="65" customFormat="1"/>
    <row r="188" s="65" customFormat="1"/>
    <row r="189" s="65" customFormat="1"/>
    <row r="190" s="65" customFormat="1"/>
    <row r="191" s="65" customFormat="1"/>
    <row r="192" s="65" customFormat="1"/>
    <row r="193" s="65" customFormat="1"/>
    <row r="194" s="65" customFormat="1"/>
    <row r="195" s="65" customFormat="1"/>
    <row r="196" s="65" customFormat="1"/>
    <row r="197" s="65" customFormat="1"/>
    <row r="198" s="65" customFormat="1"/>
    <row r="199" s="65" customFormat="1"/>
    <row r="200" s="65" customFormat="1"/>
    <row r="201" s="65" customFormat="1"/>
    <row r="202" s="65" customFormat="1"/>
    <row r="203" s="65" customFormat="1"/>
    <row r="204" s="65" customFormat="1"/>
    <row r="205" s="65" customFormat="1"/>
    <row r="206" s="65" customFormat="1"/>
    <row r="207" s="65" customFormat="1"/>
    <row r="208" s="65" customFormat="1"/>
    <row r="209" s="65" customFormat="1"/>
    <row r="210" s="65" customFormat="1"/>
    <row r="211" s="65" customFormat="1"/>
    <row r="212" s="65" customFormat="1"/>
    <row r="213" s="65" customFormat="1"/>
    <row r="214" s="65" customFormat="1"/>
    <row r="215" s="65" customFormat="1"/>
    <row r="216" s="65" customFormat="1"/>
    <row r="217" s="65" customFormat="1"/>
    <row r="218" s="65" customFormat="1"/>
    <row r="219" s="65" customFormat="1"/>
    <row r="220" s="65" customFormat="1"/>
    <row r="221" s="65" customFormat="1"/>
    <row r="222" s="65" customFormat="1"/>
    <row r="223" s="65" customFormat="1"/>
    <row r="224" s="65" customFormat="1"/>
    <row r="225" s="65" customFormat="1"/>
    <row r="226" s="65" customFormat="1"/>
    <row r="227" s="65" customFormat="1"/>
    <row r="228" s="65" customFormat="1"/>
    <row r="229" s="65" customFormat="1"/>
    <row r="230" s="65" customFormat="1"/>
    <row r="231" s="65" customFormat="1"/>
    <row r="232" s="65" customFormat="1"/>
    <row r="233" s="65" customFormat="1"/>
    <row r="234" s="65" customFormat="1"/>
    <row r="235" s="65" customFormat="1"/>
    <row r="236" s="65" customFormat="1"/>
    <row r="237" s="65" customFormat="1"/>
    <row r="238" s="65" customFormat="1"/>
    <row r="239" s="65" customFormat="1"/>
    <row r="240" s="65" customFormat="1"/>
    <row r="241" s="65" customFormat="1"/>
    <row r="242" s="65" customFormat="1"/>
    <row r="243" s="65" customFormat="1"/>
    <row r="244" s="65" customFormat="1"/>
    <row r="245" s="65" customFormat="1"/>
    <row r="246" s="65" customFormat="1"/>
    <row r="247" s="65" customFormat="1"/>
    <row r="248" s="65" customFormat="1"/>
    <row r="249" s="65" customFormat="1"/>
    <row r="250" s="65" customFormat="1"/>
    <row r="251" s="65" customFormat="1"/>
    <row r="252" s="65" customFormat="1"/>
    <row r="253" s="65" customFormat="1"/>
    <row r="254" s="65" customFormat="1"/>
    <row r="255" s="65" customFormat="1"/>
    <row r="256" s="65" customFormat="1"/>
    <row r="257" s="65" customFormat="1"/>
    <row r="258" s="65" customFormat="1"/>
    <row r="259" s="65" customFormat="1"/>
    <row r="260" s="65" customFormat="1"/>
    <row r="261" s="65" customFormat="1"/>
    <row r="262" s="65" customFormat="1"/>
    <row r="263" s="65" customFormat="1"/>
    <row r="264" s="65" customFormat="1"/>
    <row r="265" s="65" customFormat="1"/>
    <row r="266" s="65" customFormat="1"/>
    <row r="267" s="65" customFormat="1"/>
    <row r="268" s="65" customFormat="1"/>
    <row r="269" s="65" customFormat="1"/>
    <row r="270" s="65" customFormat="1"/>
    <row r="271" s="65" customFormat="1"/>
    <row r="272" s="65" customFormat="1"/>
    <row r="273" s="65" customFormat="1"/>
    <row r="274" s="65" customFormat="1"/>
    <row r="275" s="65" customFormat="1"/>
    <row r="276" s="65" customFormat="1"/>
    <row r="277" s="65" customFormat="1"/>
    <row r="278" s="65" customFormat="1"/>
    <row r="279" s="65" customFormat="1"/>
    <row r="280" s="65" customFormat="1"/>
    <row r="281" s="65" customFormat="1"/>
    <row r="282" s="65" customFormat="1"/>
    <row r="283" s="65" customFormat="1"/>
    <row r="284" s="65" customFormat="1"/>
    <row r="285" s="65" customFormat="1"/>
    <row r="286" s="65" customFormat="1"/>
    <row r="287" s="65" customFormat="1"/>
    <row r="288" s="65" customFormat="1"/>
    <row r="289" s="65" customFormat="1"/>
    <row r="290" s="65" customFormat="1"/>
    <row r="291" s="65" customFormat="1"/>
    <row r="292" s="65" customFormat="1"/>
    <row r="293" s="65" customFormat="1"/>
    <row r="294" s="65" customFormat="1"/>
    <row r="295" s="65" customFormat="1"/>
    <row r="296" s="65" customFormat="1"/>
    <row r="297" s="65" customFormat="1"/>
    <row r="298" s="65" customFormat="1"/>
    <row r="299" s="65" customFormat="1"/>
    <row r="300" s="65" customFormat="1"/>
    <row r="301" s="65" customFormat="1"/>
    <row r="302" s="65" customFormat="1"/>
    <row r="303" s="65" customFormat="1"/>
    <row r="304" s="65" customFormat="1"/>
    <row r="305" s="65" customFormat="1"/>
    <row r="306" s="65" customFormat="1"/>
    <row r="307" s="65" customFormat="1"/>
    <row r="308" s="65" customFormat="1"/>
    <row r="309" s="65" customFormat="1"/>
    <row r="310" s="65" customFormat="1"/>
    <row r="311" s="65" customFormat="1"/>
    <row r="312" s="65" customFormat="1"/>
    <row r="313" s="65" customFormat="1"/>
    <row r="314" s="65" customFormat="1"/>
    <row r="315" s="65" customFormat="1"/>
    <row r="316" s="65" customFormat="1"/>
    <row r="317" s="65" customFormat="1"/>
    <row r="318" s="65" customFormat="1"/>
    <row r="319" s="65" customFormat="1"/>
    <row r="320" s="65" customFormat="1"/>
    <row r="321" s="65" customFormat="1"/>
    <row r="322" s="65" customFormat="1"/>
    <row r="323" s="65" customFormat="1"/>
    <row r="324" s="65" customFormat="1"/>
    <row r="325" s="65" customFormat="1"/>
    <row r="326" s="65" customFormat="1"/>
    <row r="327" s="65" customFormat="1"/>
    <row r="328" s="65" customFormat="1"/>
    <row r="329" s="65" customFormat="1"/>
    <row r="330" s="65" customFormat="1"/>
    <row r="331" s="65" customFormat="1"/>
    <row r="332" s="65" customFormat="1"/>
    <row r="333" s="65" customFormat="1"/>
    <row r="334" s="65" customFormat="1"/>
    <row r="335" s="65" customFormat="1"/>
    <row r="336" s="65" customFormat="1"/>
    <row r="337" s="65" customFormat="1"/>
    <row r="338" s="65" customFormat="1"/>
    <row r="339" s="65" customFormat="1"/>
    <row r="340" s="65" customFormat="1"/>
    <row r="341" s="65" customFormat="1"/>
    <row r="342" s="65" customFormat="1"/>
    <row r="343" s="65" customFormat="1"/>
    <row r="344" s="65" customFormat="1"/>
    <row r="345" s="65" customFormat="1"/>
    <row r="346" s="65" customFormat="1"/>
    <row r="347" s="65" customFormat="1"/>
    <row r="348" s="65" customFormat="1"/>
    <row r="349" s="65" customFormat="1"/>
    <row r="350" s="65" customFormat="1"/>
    <row r="351" s="65" customFormat="1"/>
    <row r="352" s="65" customFormat="1"/>
    <row r="353" s="65" customFormat="1"/>
    <row r="354" s="65" customFormat="1"/>
    <row r="355" s="65" customFormat="1"/>
    <row r="356" s="65" customFormat="1"/>
    <row r="357" s="65" customFormat="1"/>
    <row r="358" s="65" customFormat="1"/>
    <row r="359" s="65" customFormat="1"/>
    <row r="360" s="65" customFormat="1"/>
    <row r="361" s="65" customFormat="1"/>
    <row r="362" s="65" customFormat="1"/>
    <row r="363" s="65" customFormat="1"/>
    <row r="364" s="65" customFormat="1"/>
    <row r="365" s="65" customFormat="1"/>
    <row r="366" s="65" customFormat="1"/>
    <row r="367" s="65" customFormat="1"/>
    <row r="368" s="65" customFormat="1"/>
    <row r="369" s="65" customFormat="1"/>
    <row r="370" s="65" customFormat="1"/>
    <row r="371" s="65" customFormat="1"/>
    <row r="372" s="65" customFormat="1"/>
    <row r="373" s="65" customFormat="1"/>
    <row r="374" s="65" customFormat="1"/>
    <row r="375" s="65" customFormat="1"/>
    <row r="376" s="65" customFormat="1"/>
    <row r="377" s="65" customFormat="1"/>
    <row r="378" s="65" customFormat="1"/>
    <row r="379" s="65" customFormat="1"/>
    <row r="380" s="65" customFormat="1"/>
    <row r="381" s="65" customFormat="1"/>
    <row r="382" s="65" customFormat="1"/>
    <row r="383" s="65" customFormat="1"/>
    <row r="384" s="65" customFormat="1"/>
    <row r="385" s="65" customFormat="1"/>
    <row r="386" s="65" customFormat="1"/>
    <row r="387" s="65" customFormat="1"/>
    <row r="388" s="65" customFormat="1"/>
    <row r="389" s="65" customFormat="1"/>
    <row r="390" s="65" customFormat="1"/>
    <row r="391" s="65" customFormat="1"/>
    <row r="392" s="65" customFormat="1"/>
    <row r="393" s="65" customFormat="1"/>
    <row r="394" s="65" customFormat="1"/>
    <row r="395" s="65" customFormat="1"/>
    <row r="396" s="65" customFormat="1"/>
    <row r="397" s="65" customFormat="1"/>
    <row r="398" s="65" customFormat="1"/>
    <row r="399" s="65" customFormat="1"/>
    <row r="400" s="65" customFormat="1"/>
    <row r="401" s="65" customFormat="1"/>
    <row r="402" s="65" customFormat="1"/>
    <row r="403" s="65" customFormat="1"/>
    <row r="404" s="65" customFormat="1"/>
    <row r="405" s="65" customFormat="1"/>
    <row r="406" s="65" customFormat="1"/>
    <row r="407" s="65" customFormat="1"/>
    <row r="408" s="65" customFormat="1"/>
    <row r="409" s="65" customFormat="1"/>
    <row r="410" s="65" customFormat="1"/>
    <row r="411" s="65" customFormat="1"/>
    <row r="412" s="65" customFormat="1"/>
    <row r="413" s="65" customFormat="1"/>
    <row r="414" s="65" customFormat="1"/>
    <row r="415" s="65" customFormat="1"/>
    <row r="416" s="65" customFormat="1"/>
    <row r="417" s="65" customFormat="1"/>
    <row r="418" s="65" customFormat="1"/>
    <row r="419" s="65" customFormat="1"/>
    <row r="420" s="65" customFormat="1"/>
    <row r="421" s="65" customFormat="1"/>
    <row r="422" s="65" customFormat="1"/>
    <row r="423" s="65" customFormat="1"/>
    <row r="424" s="65" customFormat="1"/>
    <row r="425" s="65" customFormat="1"/>
    <row r="426" s="65" customFormat="1"/>
    <row r="427" s="65" customFormat="1"/>
    <row r="428" s="65" customFormat="1"/>
    <row r="429" s="65" customFormat="1"/>
    <row r="430" s="65" customFormat="1"/>
    <row r="431" s="65" customFormat="1"/>
    <row r="432" s="65" customFormat="1"/>
    <row r="433" s="65" customFormat="1"/>
    <row r="434" s="65" customFormat="1"/>
    <row r="435" s="65" customFormat="1"/>
    <row r="436" s="65" customFormat="1"/>
    <row r="437" s="65" customFormat="1"/>
    <row r="438" s="65" customFormat="1"/>
    <row r="439" s="65" customFormat="1"/>
    <row r="440" s="65" customFormat="1"/>
    <row r="441" s="65" customFormat="1"/>
    <row r="442" s="65" customFormat="1"/>
    <row r="443" s="65" customFormat="1"/>
    <row r="444" s="65" customFormat="1"/>
    <row r="445" s="65" customFormat="1"/>
    <row r="446" s="65" customFormat="1"/>
    <row r="447" s="65" customFormat="1"/>
    <row r="448" s="65" customFormat="1"/>
    <row r="449" s="65" customFormat="1"/>
    <row r="450" s="65" customFormat="1"/>
    <row r="451" s="65" customFormat="1"/>
    <row r="452" s="65" customFormat="1"/>
    <row r="453" s="65" customFormat="1"/>
    <row r="454" s="65" customFormat="1"/>
    <row r="455" s="65" customFormat="1"/>
    <row r="456" s="65" customFormat="1"/>
    <row r="457" s="65" customFormat="1"/>
    <row r="458" s="65" customFormat="1"/>
    <row r="459" s="65" customFormat="1"/>
    <row r="460" s="65" customFormat="1"/>
    <row r="461" s="65" customFormat="1"/>
    <row r="462" s="65" customFormat="1"/>
    <row r="463" s="65" customFormat="1"/>
    <row r="464" s="65" customFormat="1"/>
    <row r="465" s="65" customFormat="1"/>
    <row r="466" s="65" customFormat="1"/>
    <row r="467" s="65" customFormat="1"/>
    <row r="468" s="65" customFormat="1"/>
    <row r="469" s="65" customFormat="1"/>
    <row r="470" s="65" customFormat="1"/>
    <row r="471" s="65" customFormat="1"/>
    <row r="472" s="65" customFormat="1"/>
    <row r="473" s="65" customFormat="1"/>
    <row r="474" s="65" customFormat="1"/>
    <row r="475" s="65" customFormat="1"/>
    <row r="476" s="65" customFormat="1"/>
    <row r="477" s="65" customFormat="1"/>
    <row r="478" s="65" customFormat="1"/>
    <row r="479" s="65" customFormat="1"/>
    <row r="480" s="65" customFormat="1"/>
    <row r="481" s="65" customFormat="1"/>
    <row r="482" s="65" customFormat="1"/>
    <row r="483" s="65" customFormat="1"/>
    <row r="484" s="65" customFormat="1"/>
    <row r="485" s="65" customFormat="1"/>
    <row r="486" s="65" customFormat="1"/>
    <row r="487" s="65" customFormat="1"/>
    <row r="488" s="65" customFormat="1"/>
    <row r="489" s="65" customFormat="1"/>
    <row r="490" s="65" customFormat="1"/>
    <row r="491" s="65" customFormat="1"/>
    <row r="492" s="65" customFormat="1"/>
    <row r="493" s="65" customFormat="1"/>
    <row r="494" s="65" customFormat="1"/>
    <row r="495" s="65" customFormat="1"/>
    <row r="496" s="65" customFormat="1"/>
    <row r="497" s="65" customFormat="1"/>
    <row r="498" s="65" customFormat="1"/>
    <row r="499" s="65" customFormat="1"/>
    <row r="500" s="65" customFormat="1"/>
    <row r="501" s="65" customFormat="1"/>
    <row r="502" s="65" customFormat="1"/>
    <row r="503" s="65" customFormat="1"/>
    <row r="504" s="65" customFormat="1"/>
    <row r="505" s="65" customFormat="1"/>
    <row r="506" s="65" customFormat="1"/>
    <row r="507" s="65" customFormat="1"/>
    <row r="508" s="65" customFormat="1"/>
    <row r="509" s="65" customFormat="1"/>
    <row r="510" s="65" customFormat="1"/>
    <row r="511" s="65" customFormat="1"/>
    <row r="512" s="65" customFormat="1"/>
    <row r="513" s="65" customFormat="1"/>
    <row r="514" s="65" customFormat="1"/>
    <row r="515" s="65" customFormat="1"/>
    <row r="516" s="65" customFormat="1"/>
    <row r="517" s="65" customFormat="1"/>
    <row r="518" s="65" customFormat="1"/>
    <row r="519" s="65" customFormat="1"/>
    <row r="520" s="65" customFormat="1"/>
    <row r="521" s="65" customFormat="1"/>
    <row r="522" s="65" customFormat="1"/>
    <row r="523" s="65" customFormat="1"/>
    <row r="524" s="65" customFormat="1"/>
    <row r="525" s="65" customFormat="1"/>
    <row r="526" s="65" customFormat="1"/>
    <row r="527" s="65" customFormat="1"/>
    <row r="528" s="65" customFormat="1"/>
    <row r="529" s="65" customFormat="1"/>
    <row r="530" s="65" customFormat="1"/>
    <row r="531" s="65" customFormat="1"/>
    <row r="532" s="65" customFormat="1"/>
    <row r="533" s="65" customFormat="1"/>
    <row r="534" s="65" customFormat="1"/>
    <row r="535" s="65" customFormat="1"/>
    <row r="536" s="65" customFormat="1"/>
    <row r="537" s="65" customFormat="1"/>
    <row r="538" s="65" customFormat="1"/>
    <row r="539" s="65" customFormat="1"/>
    <row r="540" s="65" customFormat="1"/>
    <row r="541" s="65" customFormat="1"/>
    <row r="542" s="65" customFormat="1"/>
    <row r="543" s="65" customFormat="1"/>
    <row r="544" s="65" customFormat="1"/>
    <row r="545" s="65" customFormat="1"/>
    <row r="546" s="65" customFormat="1"/>
    <row r="547" s="65" customFormat="1"/>
    <row r="548" s="65" customFormat="1"/>
    <row r="549" s="65" customFormat="1"/>
    <row r="550" s="65" customFormat="1"/>
    <row r="551" s="65" customFormat="1"/>
    <row r="552" s="65" customFormat="1"/>
    <row r="553" s="65" customFormat="1"/>
    <row r="554" s="65" customFormat="1"/>
    <row r="555" s="65" customFormat="1"/>
    <row r="556" s="65" customFormat="1"/>
    <row r="557" s="65" customFormat="1"/>
    <row r="558" s="65" customFormat="1"/>
    <row r="559" s="65" customFormat="1"/>
    <row r="560" s="65" customFormat="1"/>
    <row r="561" s="65" customFormat="1"/>
    <row r="562" s="65" customFormat="1"/>
    <row r="563" s="65" customFormat="1"/>
    <row r="564" s="65" customFormat="1"/>
    <row r="565" s="65" customFormat="1"/>
    <row r="566" s="65" customFormat="1"/>
    <row r="567" s="65" customFormat="1"/>
    <row r="568" s="65" customFormat="1"/>
    <row r="569" s="65" customFormat="1"/>
    <row r="570" s="65" customFormat="1"/>
    <row r="571" s="65" customFormat="1"/>
    <row r="572" s="65" customFormat="1"/>
    <row r="573" s="65" customFormat="1"/>
    <row r="574" s="65" customFormat="1"/>
    <row r="575" s="65" customFormat="1"/>
    <row r="576" s="65" customFormat="1"/>
    <row r="577" s="65" customFormat="1"/>
    <row r="578" s="65" customFormat="1"/>
    <row r="579" s="65" customFormat="1"/>
    <row r="580" s="65" customFormat="1"/>
    <row r="581" s="65" customFormat="1"/>
    <row r="582" s="65" customFormat="1"/>
    <row r="583" s="65" customFormat="1"/>
    <row r="584" s="65" customFormat="1"/>
    <row r="585" s="65" customFormat="1"/>
    <row r="586" s="65" customFormat="1"/>
    <row r="587" s="65" customFormat="1"/>
    <row r="588" s="65" customFormat="1"/>
    <row r="589" s="65" customFormat="1"/>
    <row r="590" s="65" customFormat="1"/>
    <row r="591" s="65" customFormat="1"/>
    <row r="592" s="65" customFormat="1"/>
    <row r="593" s="65" customFormat="1"/>
    <row r="594" s="65" customFormat="1"/>
    <row r="595" s="65" customFormat="1"/>
    <row r="596" s="65" customFormat="1"/>
    <row r="597" s="65" customFormat="1"/>
    <row r="598" s="65" customFormat="1"/>
    <row r="599" s="65" customFormat="1"/>
    <row r="600" s="65" customFormat="1"/>
    <row r="601" s="65" customFormat="1"/>
    <row r="602" s="65" customFormat="1"/>
    <row r="603" s="65" customFormat="1"/>
    <row r="604" s="65" customFormat="1"/>
    <row r="605" s="65" customFormat="1"/>
    <row r="606" s="65" customFormat="1"/>
    <row r="607" s="65" customFormat="1"/>
    <row r="608" s="65" customFormat="1"/>
    <row r="609" s="65" customFormat="1"/>
    <row r="610" s="65" customFormat="1"/>
    <row r="611" s="65" customFormat="1"/>
    <row r="612" s="65" customFormat="1"/>
    <row r="613" s="65" customFormat="1"/>
    <row r="614" s="65" customFormat="1"/>
    <row r="615" s="65" customFormat="1"/>
    <row r="616" s="65" customFormat="1"/>
    <row r="617" s="65" customFormat="1"/>
    <row r="618" s="65" customFormat="1"/>
    <row r="619" s="65" customFormat="1"/>
    <row r="620" s="65" customFormat="1"/>
    <row r="621" s="65" customFormat="1"/>
    <row r="622" s="65" customFormat="1"/>
    <row r="623" s="65" customFormat="1"/>
    <row r="624" s="65" customFormat="1"/>
    <row r="625" s="65" customFormat="1"/>
    <row r="626" s="65" customFormat="1"/>
    <row r="627" s="65" customFormat="1"/>
    <row r="628" s="65" customFormat="1"/>
    <row r="629" s="65" customFormat="1"/>
    <row r="630" s="65" customFormat="1"/>
    <row r="631" s="65" customFormat="1"/>
    <row r="632" s="65" customFormat="1"/>
    <row r="633" s="65" customFormat="1"/>
    <row r="634" s="65" customFormat="1"/>
    <row r="635" s="65" customFormat="1"/>
    <row r="636" s="65" customFormat="1"/>
    <row r="637" s="65" customFormat="1"/>
    <row r="638" s="65" customFormat="1"/>
    <row r="639" s="65" customFormat="1"/>
    <row r="640" s="65" customFormat="1"/>
    <row r="641" s="65" customFormat="1"/>
    <row r="642" s="65" customFormat="1"/>
    <row r="643" s="65" customFormat="1"/>
    <row r="644" s="65" customFormat="1"/>
    <row r="645" s="65" customFormat="1"/>
    <row r="646" s="65" customFormat="1"/>
    <row r="647" s="65" customFormat="1"/>
    <row r="648" s="65" customFormat="1"/>
    <row r="649" s="65" customFormat="1"/>
    <row r="650" s="65" customFormat="1"/>
    <row r="651" s="65" customFormat="1"/>
    <row r="652" s="65" customFormat="1"/>
    <row r="653" s="65" customFormat="1"/>
    <row r="654" s="65" customFormat="1"/>
    <row r="655" s="65" customFormat="1"/>
    <row r="656" s="65" customFormat="1"/>
    <row r="657" s="65" customFormat="1"/>
    <row r="658" s="65" customFormat="1"/>
    <row r="659" s="65" customFormat="1"/>
    <row r="660" s="65" customFormat="1"/>
    <row r="661" s="65" customFormat="1"/>
    <row r="662" s="65" customFormat="1"/>
    <row r="663" s="65" customFormat="1"/>
    <row r="664" s="65" customFormat="1"/>
    <row r="665" s="65" customFormat="1"/>
    <row r="666" s="65" customFormat="1"/>
    <row r="667" s="65" customFormat="1"/>
    <row r="668" s="65" customFormat="1"/>
    <row r="669" s="65" customFormat="1"/>
    <row r="670" s="65" customFormat="1"/>
    <row r="671" s="65" customFormat="1"/>
    <row r="672" s="65" customFormat="1"/>
    <row r="673" s="65" customFormat="1"/>
    <row r="674" s="65" customFormat="1"/>
    <row r="675" s="65" customFormat="1"/>
    <row r="676" s="65" customFormat="1"/>
    <row r="677" s="65" customFormat="1"/>
    <row r="678" s="65" customFormat="1"/>
    <row r="679" s="65" customFormat="1"/>
    <row r="680" s="65" customFormat="1"/>
    <row r="681" s="65" customFormat="1"/>
    <row r="682" s="65" customFormat="1"/>
    <row r="683" s="65" customFormat="1"/>
    <row r="684" s="65" customFormat="1"/>
    <row r="685" s="65" customFormat="1"/>
    <row r="686" s="65" customFormat="1"/>
    <row r="687" s="65" customFormat="1"/>
    <row r="688" s="65" customFormat="1"/>
    <row r="689" s="65" customFormat="1"/>
    <row r="690" s="65" customFormat="1"/>
    <row r="691" s="65" customFormat="1"/>
    <row r="692" s="65" customFormat="1"/>
    <row r="693" s="65" customFormat="1"/>
    <row r="694" s="65" customFormat="1"/>
    <row r="695" s="65" customFormat="1"/>
    <row r="696" s="65" customFormat="1"/>
    <row r="697" s="65" customFormat="1"/>
    <row r="698" s="65" customFormat="1"/>
    <row r="699" s="65" customFormat="1"/>
    <row r="700" s="65" customFormat="1"/>
    <row r="701" s="65" customFormat="1"/>
    <row r="702" s="65" customFormat="1"/>
    <row r="703" s="65" customFormat="1"/>
    <row r="704" s="65" customFormat="1"/>
    <row r="705" s="65" customFormat="1"/>
    <row r="706" s="65" customFormat="1"/>
    <row r="707" s="65" customFormat="1"/>
    <row r="708" s="65" customFormat="1"/>
    <row r="709" s="65" customFormat="1"/>
    <row r="710" s="65" customFormat="1"/>
    <row r="711" s="65" customFormat="1"/>
    <row r="712" s="65" customFormat="1"/>
    <row r="713" s="65" customFormat="1"/>
    <row r="714" s="65" customFormat="1"/>
    <row r="715" s="65" customFormat="1"/>
    <row r="716" s="65" customFormat="1"/>
    <row r="717" s="65" customFormat="1"/>
    <row r="718" s="65" customFormat="1"/>
    <row r="719" s="65" customFormat="1"/>
    <row r="720" s="65" customFormat="1"/>
    <row r="721" s="65" customFormat="1"/>
    <row r="722" s="65" customFormat="1"/>
    <row r="723" s="65" customFormat="1"/>
    <row r="724" s="65" customFormat="1"/>
    <row r="725" s="65" customFormat="1"/>
    <row r="726" s="65" customFormat="1"/>
    <row r="727" s="65" customFormat="1"/>
    <row r="728" s="65" customFormat="1"/>
    <row r="729" s="65" customFormat="1"/>
    <row r="730" s="65" customFormat="1"/>
    <row r="731" s="65" customFormat="1"/>
    <row r="732" s="65" customFormat="1"/>
    <row r="733" s="65" customFormat="1"/>
    <row r="734" s="65" customFormat="1"/>
    <row r="735" s="65" customFormat="1"/>
    <row r="736" s="65" customFormat="1"/>
    <row r="737" s="65" customFormat="1"/>
    <row r="738" s="65" customFormat="1"/>
    <row r="739" s="65" customFormat="1"/>
    <row r="740" s="65" customFormat="1"/>
    <row r="741" s="65" customFormat="1"/>
    <row r="742" s="65" customFormat="1"/>
    <row r="743" s="65" customFormat="1"/>
    <row r="744" s="65" customFormat="1"/>
    <row r="745" s="65" customFormat="1"/>
    <row r="746" s="65" customFormat="1"/>
    <row r="747" s="65" customFormat="1"/>
    <row r="748" s="65" customFormat="1"/>
    <row r="749" s="65" customFormat="1"/>
    <row r="750" s="65" customFormat="1"/>
    <row r="751" s="65" customFormat="1"/>
    <row r="752" s="65" customFormat="1"/>
    <row r="753" s="65" customFormat="1"/>
    <row r="754" s="65" customFormat="1"/>
    <row r="755" s="65" customFormat="1"/>
    <row r="756" s="65" customFormat="1"/>
    <row r="757" s="65" customFormat="1"/>
    <row r="758" s="65" customFormat="1"/>
    <row r="759" s="65" customFormat="1"/>
    <row r="760" s="65" customFormat="1"/>
    <row r="761" s="65" customFormat="1"/>
    <row r="762" s="65" customFormat="1"/>
    <row r="763" s="65" customFormat="1"/>
    <row r="764" s="65" customFormat="1"/>
    <row r="765" s="65" customFormat="1"/>
    <row r="766" s="65" customFormat="1"/>
    <row r="767" s="65" customFormat="1"/>
    <row r="768" s="65" customFormat="1"/>
    <row r="769" s="65" customFormat="1"/>
    <row r="770" s="65" customFormat="1"/>
    <row r="771" s="65" customFormat="1"/>
    <row r="772" s="65" customFormat="1"/>
    <row r="773" s="65" customFormat="1"/>
    <row r="774" s="65" customFormat="1"/>
    <row r="775" s="65" customFormat="1"/>
    <row r="776" s="65" customFormat="1"/>
    <row r="777" s="65" customFormat="1"/>
    <row r="778" s="65" customFormat="1"/>
    <row r="779" s="65" customFormat="1"/>
    <row r="780" s="65" customFormat="1"/>
    <row r="781" s="65" customFormat="1"/>
    <row r="782" s="65" customFormat="1"/>
  </sheetData>
  <sheetProtection algorithmName="SHA-512" hashValue="ARtKEHjGwCyaq6uaIYzIr/GfEB8D0HCrMM8aQQekrEnrQulrEZhkDfKXW/T/JfXAKde6V4A+oMNAHiQi65VRKw==" saltValue="PLVyGEC2PFpWgeh9+98m5g==" spinCount="100000" sheet="1" objects="1" scenarios="1"/>
  <mergeCells count="26">
    <mergeCell ref="S1:AB1"/>
    <mergeCell ref="F38:G39"/>
    <mergeCell ref="F40:G42"/>
    <mergeCell ref="F25:G26"/>
    <mergeCell ref="F27:G28"/>
    <mergeCell ref="F34:G35"/>
    <mergeCell ref="F36:G37"/>
    <mergeCell ref="F29:G30"/>
    <mergeCell ref="F31:G33"/>
    <mergeCell ref="K2:L5"/>
    <mergeCell ref="D23:E24"/>
    <mergeCell ref="F23:F24"/>
    <mergeCell ref="D2:D3"/>
    <mergeCell ref="E2:F3"/>
    <mergeCell ref="G2:H2"/>
    <mergeCell ref="G3:H3"/>
    <mergeCell ref="D4:D5"/>
    <mergeCell ref="E4:F5"/>
    <mergeCell ref="G4:H4"/>
    <mergeCell ref="G5:H5"/>
    <mergeCell ref="D17:E18"/>
    <mergeCell ref="F17:F18"/>
    <mergeCell ref="D19:E20"/>
    <mergeCell ref="F19:F20"/>
    <mergeCell ref="D21:E22"/>
    <mergeCell ref="F21:F22"/>
  </mergeCells>
  <pageMargins left="0.75000000000000011" right="0.75000000000000011" top="1" bottom="1" header="0.49" footer="0.49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1759-0656-4B7F-96E7-BA97A898459A}">
  <sheetPr codeName="Foglio4"/>
  <dimension ref="A1:I25"/>
  <sheetViews>
    <sheetView zoomScaleNormal="100" workbookViewId="0">
      <selection activeCell="H19" sqref="H19"/>
    </sheetView>
  </sheetViews>
  <sheetFormatPr defaultColWidth="15.5625" defaultRowHeight="18" customHeight="1"/>
  <cols>
    <col min="1" max="1" width="20.5625" style="49" customWidth="1"/>
    <col min="2" max="6" width="15.5625" style="49"/>
    <col min="7" max="7" width="15.5625" style="49" customWidth="1"/>
    <col min="8" max="16384" width="15.5625" style="49"/>
  </cols>
  <sheetData>
    <row r="1" spans="1:9" ht="18" customHeight="1">
      <c r="A1" s="363" t="s">
        <v>111</v>
      </c>
      <c r="B1" s="363"/>
      <c r="C1" s="363"/>
      <c r="D1" s="363"/>
      <c r="E1" s="363"/>
      <c r="G1" s="364" t="s">
        <v>178</v>
      </c>
      <c r="H1" s="365"/>
      <c r="I1" s="365"/>
    </row>
    <row r="2" spans="1:9" ht="18" customHeight="1">
      <c r="A2" s="376" t="s">
        <v>110</v>
      </c>
      <c r="B2" s="373" t="s">
        <v>125</v>
      </c>
      <c r="C2" s="374"/>
      <c r="D2" s="375" t="s">
        <v>109</v>
      </c>
      <c r="E2" s="373"/>
      <c r="G2" s="366" t="s">
        <v>180</v>
      </c>
      <c r="H2" s="367"/>
      <c r="I2" s="114" t="s">
        <v>179</v>
      </c>
    </row>
    <row r="3" spans="1:9" ht="18" customHeight="1">
      <c r="A3" s="376"/>
      <c r="B3" s="51" t="s">
        <v>128</v>
      </c>
      <c r="C3" s="53" t="s">
        <v>134</v>
      </c>
      <c r="D3" s="60" t="s">
        <v>128</v>
      </c>
      <c r="E3" s="51" t="s">
        <v>134</v>
      </c>
      <c r="G3" s="368" t="s">
        <v>182</v>
      </c>
      <c r="H3" s="369"/>
      <c r="I3" s="114" t="s">
        <v>183</v>
      </c>
    </row>
    <row r="4" spans="1:9" ht="18" customHeight="1">
      <c r="A4" s="121" t="s">
        <v>113</v>
      </c>
      <c r="B4" s="52" t="s">
        <v>129</v>
      </c>
      <c r="C4" s="54" t="s">
        <v>135</v>
      </c>
      <c r="D4" s="61" t="s">
        <v>145</v>
      </c>
      <c r="E4" s="52" t="s">
        <v>150</v>
      </c>
      <c r="G4" s="370" t="s">
        <v>181</v>
      </c>
      <c r="H4" s="371"/>
      <c r="I4" s="114" t="s">
        <v>184</v>
      </c>
    </row>
    <row r="5" spans="1:9" ht="18" customHeight="1">
      <c r="A5" s="122" t="s">
        <v>114</v>
      </c>
      <c r="B5" s="52" t="s">
        <v>130</v>
      </c>
      <c r="C5" s="54" t="s">
        <v>136</v>
      </c>
      <c r="D5" s="61" t="s">
        <v>146</v>
      </c>
      <c r="E5" s="52" t="s">
        <v>151</v>
      </c>
    </row>
    <row r="6" spans="1:9" ht="18" customHeight="1">
      <c r="A6" s="115" t="s">
        <v>115</v>
      </c>
      <c r="B6" s="52" t="s">
        <v>131</v>
      </c>
      <c r="C6" s="54" t="s">
        <v>137</v>
      </c>
      <c r="D6" s="61" t="s">
        <v>147</v>
      </c>
      <c r="E6" s="52" t="s">
        <v>152</v>
      </c>
    </row>
    <row r="7" spans="1:9" ht="18" customHeight="1">
      <c r="A7" s="123" t="s">
        <v>116</v>
      </c>
      <c r="B7" s="52" t="s">
        <v>132</v>
      </c>
      <c r="C7" s="54" t="s">
        <v>138</v>
      </c>
      <c r="D7" s="61" t="s">
        <v>148</v>
      </c>
      <c r="E7" s="52" t="s">
        <v>153</v>
      </c>
      <c r="G7" s="363" t="s">
        <v>189</v>
      </c>
      <c r="H7" s="363"/>
      <c r="I7" s="363"/>
    </row>
    <row r="8" spans="1:9" ht="18" customHeight="1">
      <c r="A8" s="124" t="s">
        <v>117</v>
      </c>
      <c r="B8" s="52" t="s">
        <v>133</v>
      </c>
      <c r="C8" s="54" t="s">
        <v>139</v>
      </c>
      <c r="D8" s="61" t="s">
        <v>149</v>
      </c>
      <c r="E8" s="52" t="s">
        <v>154</v>
      </c>
      <c r="G8" s="120" t="s">
        <v>190</v>
      </c>
      <c r="H8" s="120" t="s">
        <v>191</v>
      </c>
      <c r="I8" s="120" t="s">
        <v>192</v>
      </c>
    </row>
    <row r="9" spans="1:9" ht="18" customHeight="1">
      <c r="A9" s="56"/>
      <c r="B9" s="57"/>
      <c r="C9" s="57"/>
      <c r="D9" s="57"/>
      <c r="E9" s="57"/>
      <c r="G9" s="114" t="s">
        <v>160</v>
      </c>
      <c r="H9" s="119" t="s">
        <v>193</v>
      </c>
      <c r="I9" s="119" t="s">
        <v>200</v>
      </c>
    </row>
    <row r="10" spans="1:9" ht="18" customHeight="1">
      <c r="A10" s="58"/>
      <c r="B10" s="59"/>
      <c r="C10" s="59"/>
      <c r="D10" s="59"/>
      <c r="E10" s="59"/>
      <c r="G10" s="114" t="s">
        <v>161</v>
      </c>
      <c r="H10" s="119" t="s">
        <v>194</v>
      </c>
      <c r="I10" s="119" t="s">
        <v>201</v>
      </c>
    </row>
    <row r="11" spans="1:9" ht="18" customHeight="1">
      <c r="A11" s="363" t="s">
        <v>112</v>
      </c>
      <c r="B11" s="372"/>
      <c r="C11" s="372"/>
      <c r="D11" s="372"/>
      <c r="E11" s="372"/>
      <c r="G11" s="114" t="s">
        <v>162</v>
      </c>
      <c r="H11" s="119" t="s">
        <v>195</v>
      </c>
      <c r="I11" s="119" t="s">
        <v>202</v>
      </c>
    </row>
    <row r="12" spans="1:9" ht="18" customHeight="1">
      <c r="A12" s="376" t="s">
        <v>110</v>
      </c>
      <c r="B12" s="373" t="s">
        <v>125</v>
      </c>
      <c r="C12" s="374"/>
      <c r="D12" s="375" t="s">
        <v>109</v>
      </c>
      <c r="E12" s="373"/>
      <c r="G12" s="114" t="s">
        <v>163</v>
      </c>
      <c r="H12" s="119" t="s">
        <v>196</v>
      </c>
      <c r="I12" s="119" t="s">
        <v>203</v>
      </c>
    </row>
    <row r="13" spans="1:9" ht="18" customHeight="1">
      <c r="A13" s="376"/>
      <c r="B13" s="51" t="s">
        <v>128</v>
      </c>
      <c r="C13" s="53" t="s">
        <v>134</v>
      </c>
      <c r="D13" s="60" t="s">
        <v>128</v>
      </c>
      <c r="E13" s="51" t="s">
        <v>134</v>
      </c>
      <c r="G13" s="114" t="s">
        <v>164</v>
      </c>
      <c r="H13" s="119" t="s">
        <v>197</v>
      </c>
      <c r="I13" s="119" t="s">
        <v>204</v>
      </c>
    </row>
    <row r="14" spans="1:9" ht="18" customHeight="1">
      <c r="A14" s="121" t="s">
        <v>113</v>
      </c>
      <c r="B14" s="52" t="s">
        <v>135</v>
      </c>
      <c r="C14" s="54" t="s">
        <v>140</v>
      </c>
      <c r="D14" s="61" t="s">
        <v>150</v>
      </c>
      <c r="E14" s="52" t="s">
        <v>157</v>
      </c>
      <c r="G14" s="114" t="s">
        <v>165</v>
      </c>
      <c r="H14" s="119" t="s">
        <v>198</v>
      </c>
      <c r="I14" s="119" t="s">
        <v>205</v>
      </c>
    </row>
    <row r="15" spans="1:9" ht="18" customHeight="1">
      <c r="A15" s="122" t="s">
        <v>114</v>
      </c>
      <c r="B15" s="52" t="s">
        <v>136</v>
      </c>
      <c r="C15" s="62" t="s">
        <v>141</v>
      </c>
      <c r="D15" s="55" t="s">
        <v>151</v>
      </c>
      <c r="E15" s="52" t="s">
        <v>158</v>
      </c>
      <c r="G15" s="114" t="s">
        <v>166</v>
      </c>
      <c r="H15" s="119" t="s">
        <v>199</v>
      </c>
      <c r="I15" s="119" t="s">
        <v>199</v>
      </c>
    </row>
    <row r="16" spans="1:9" ht="18" customHeight="1">
      <c r="A16" s="115" t="s">
        <v>115</v>
      </c>
      <c r="B16" s="52" t="s">
        <v>137</v>
      </c>
      <c r="C16" s="62" t="s">
        <v>142</v>
      </c>
      <c r="D16" s="55" t="s">
        <v>155</v>
      </c>
      <c r="E16" s="52" t="s">
        <v>132</v>
      </c>
    </row>
    <row r="17" spans="1:5" ht="18" customHeight="1">
      <c r="A17" s="123" t="s">
        <v>116</v>
      </c>
      <c r="B17" s="52" t="s">
        <v>138</v>
      </c>
      <c r="C17" s="54" t="s">
        <v>143</v>
      </c>
      <c r="D17" s="61" t="s">
        <v>136</v>
      </c>
      <c r="E17" s="52" t="s">
        <v>142</v>
      </c>
    </row>
    <row r="18" spans="1:5" ht="18" customHeight="1">
      <c r="A18" s="124" t="s">
        <v>117</v>
      </c>
      <c r="B18" s="52" t="s">
        <v>139</v>
      </c>
      <c r="C18" s="54" t="s">
        <v>144</v>
      </c>
      <c r="D18" s="61" t="s">
        <v>156</v>
      </c>
      <c r="E18" s="52" t="s">
        <v>159</v>
      </c>
    </row>
    <row r="21" spans="1:5" ht="18" customHeight="1">
      <c r="A21" s="363" t="s">
        <v>218</v>
      </c>
      <c r="B21" s="363"/>
      <c r="C21" s="363"/>
      <c r="D21" s="363"/>
    </row>
    <row r="22" spans="1:5" ht="18" customHeight="1">
      <c r="A22" s="125" t="s">
        <v>19</v>
      </c>
      <c r="B22" s="377" t="s">
        <v>207</v>
      </c>
      <c r="C22" s="377"/>
      <c r="D22" s="377"/>
    </row>
    <row r="23" spans="1:5" ht="18" customHeight="1">
      <c r="A23" s="125" t="s">
        <v>208</v>
      </c>
      <c r="B23" s="126" t="s">
        <v>209</v>
      </c>
      <c r="C23" s="125" t="s">
        <v>210</v>
      </c>
      <c r="D23" s="125" t="s">
        <v>211</v>
      </c>
    </row>
    <row r="24" spans="1:5" ht="18" customHeight="1">
      <c r="A24" s="125" t="s">
        <v>128</v>
      </c>
      <c r="B24" s="127" t="s">
        <v>212</v>
      </c>
      <c r="C24" s="127" t="s">
        <v>213</v>
      </c>
      <c r="D24" s="127" t="s">
        <v>214</v>
      </c>
    </row>
    <row r="25" spans="1:5" ht="18" customHeight="1">
      <c r="A25" s="125" t="s">
        <v>134</v>
      </c>
      <c r="B25" s="127" t="s">
        <v>215</v>
      </c>
      <c r="C25" s="127" t="s">
        <v>216</v>
      </c>
      <c r="D25" s="127" t="s">
        <v>217</v>
      </c>
    </row>
  </sheetData>
  <sheetProtection algorithmName="SHA-512" hashValue="xDF3TXJn7pOHHqSOfHuRqX6p8omI8lySF8OtyMEL19wX8WPlEkkb4vZu86UJ0l7fS13bKSnb/FALDeSOJ+uShg==" saltValue="LfFA5dJHpWN+kzIsTb5cDA==" spinCount="100000" sheet="1" objects="1" scenarios="1"/>
  <mergeCells count="15">
    <mergeCell ref="B22:D22"/>
    <mergeCell ref="A21:D21"/>
    <mergeCell ref="A12:A13"/>
    <mergeCell ref="B12:C12"/>
    <mergeCell ref="D12:E12"/>
    <mergeCell ref="A11:E11"/>
    <mergeCell ref="A1:E1"/>
    <mergeCell ref="B2:C2"/>
    <mergeCell ref="D2:E2"/>
    <mergeCell ref="A2:A3"/>
    <mergeCell ref="G7:I7"/>
    <mergeCell ref="G1:I1"/>
    <mergeCell ref="G2:H2"/>
    <mergeCell ref="G3:H3"/>
    <mergeCell ref="G4:H4"/>
  </mergeCells>
  <phoneticPr fontId="2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ATLETA</vt:lpstr>
      <vt:lpstr>SJi BW - COLLI</vt:lpstr>
      <vt:lpstr>FVP profile - MORIN</vt:lpstr>
      <vt:lpstr>TABELLE NORMATIVE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Tommaso Monterisi</cp:lastModifiedBy>
  <dcterms:modified xsi:type="dcterms:W3CDTF">2026-02-19T20:38:36Z</dcterms:modified>
</cp:coreProperties>
</file>