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marcofking/Downloads/"/>
    </mc:Choice>
  </mc:AlternateContent>
  <xr:revisionPtr revIDLastSave="0" documentId="13_ncr:1_{5B499FA4-B201-B443-BD8C-FBC634AE38F9}" xr6:coauthVersionLast="47" xr6:coauthVersionMax="47" xr10:uidLastSave="{00000000-0000-0000-0000-000000000000}"/>
  <bookViews>
    <workbookView xWindow="1260" yWindow="-42120" windowWidth="49340" windowHeight="31240" activeTab="6" xr2:uid="{00000000-000D-0000-FFFF-FFFF00000000}"/>
  </bookViews>
  <sheets>
    <sheet name="26.04.2023" sheetId="1" r:id="rId1"/>
    <sheet name="Sheet2" sheetId="2" r:id="rId2"/>
    <sheet name="04.05.2023" sheetId="3" r:id="rId3"/>
    <sheet name="04.05.2023-corrected" sheetId="4" r:id="rId4"/>
    <sheet name="05.05.2023" sheetId="5" r:id="rId5"/>
    <sheet name="10.05.2023" sheetId="6" r:id="rId6"/>
    <sheet name="30.06.2023" sheetId="7" r:id="rId7"/>
    <sheet name="Variable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8" i="7" l="1"/>
  <c r="A45" i="7"/>
  <c r="A35" i="7"/>
  <c r="A32" i="7"/>
  <c r="A22" i="7"/>
  <c r="A19" i="7"/>
  <c r="O11" i="7"/>
  <c r="N11" i="7"/>
  <c r="M11" i="7"/>
  <c r="M23" i="7" l="1"/>
  <c r="N23" i="7"/>
  <c r="O23" i="7"/>
  <c r="N96" i="6" l="1"/>
  <c r="N95" i="6"/>
  <c r="M96" i="6"/>
  <c r="M95" i="6"/>
  <c r="L96" i="6"/>
  <c r="L95" i="6"/>
  <c r="N72" i="6"/>
  <c r="N84" i="6"/>
  <c r="N83" i="6"/>
  <c r="M84" i="6"/>
  <c r="M83" i="6"/>
  <c r="L84" i="6"/>
  <c r="L83" i="6"/>
  <c r="N71" i="6"/>
  <c r="M72" i="6"/>
  <c r="M71" i="6"/>
  <c r="L72" i="6"/>
  <c r="L71" i="6"/>
  <c r="N60" i="6"/>
  <c r="N59" i="6"/>
  <c r="M60" i="6"/>
  <c r="M59" i="6"/>
  <c r="L60" i="6"/>
  <c r="L59" i="6"/>
  <c r="N48" i="6"/>
  <c r="N47" i="6"/>
  <c r="M48" i="6"/>
  <c r="M47" i="6"/>
  <c r="L48" i="6"/>
  <c r="L47" i="6"/>
  <c r="N36" i="6"/>
  <c r="N35" i="6"/>
  <c r="M36" i="6"/>
  <c r="M35" i="6"/>
  <c r="L36" i="6"/>
  <c r="L35" i="6"/>
  <c r="N24" i="6"/>
  <c r="N23" i="6"/>
  <c r="M24" i="6"/>
  <c r="M23" i="6"/>
  <c r="L24" i="6"/>
  <c r="L23" i="6"/>
  <c r="G132" i="2" l="1"/>
  <c r="F132" i="2"/>
  <c r="E132" i="2"/>
  <c r="D132" i="2"/>
  <c r="G113" i="2"/>
  <c r="F113" i="2"/>
  <c r="E113" i="2"/>
  <c r="D113" i="2"/>
  <c r="G94" i="2"/>
  <c r="F94" i="2"/>
  <c r="E94" i="2"/>
  <c r="D94" i="2"/>
  <c r="G75" i="2"/>
  <c r="F75" i="2"/>
  <c r="E75" i="2"/>
  <c r="D75" i="2"/>
  <c r="G56" i="2"/>
  <c r="F56" i="2"/>
  <c r="E56" i="2"/>
  <c r="D56" i="2"/>
  <c r="G37" i="2"/>
  <c r="F37" i="2"/>
  <c r="E37" i="2"/>
  <c r="D37" i="2"/>
  <c r="G18" i="2"/>
  <c r="F18" i="2"/>
  <c r="E18" i="2"/>
  <c r="D18" i="2"/>
</calcChain>
</file>

<file path=xl/sharedStrings.xml><?xml version="1.0" encoding="utf-8"?>
<sst xmlns="http://schemas.openxmlformats.org/spreadsheetml/2006/main" count="563" uniqueCount="91">
  <si>
    <t>JN_ad_mp</t>
  </si>
  <si>
    <t>JN_ad_fm</t>
  </si>
  <si>
    <t>JN_pd_fm</t>
  </si>
  <si>
    <t>VMN_ad_mp</t>
  </si>
  <si>
    <t>VMN_ad_fm</t>
  </si>
  <si>
    <t>VMN_pd_mp</t>
  </si>
  <si>
    <t>V</t>
  </si>
  <si>
    <t>Pre-neb time</t>
  </si>
  <si>
    <t>Noise (sigma)</t>
  </si>
  <si>
    <t>E_estimate</t>
  </si>
  <si>
    <t>k_estimate</t>
  </si>
  <si>
    <t>lambda_estimate</t>
  </si>
  <si>
    <t>p</t>
  </si>
  <si>
    <t>pop size</t>
  </si>
  <si>
    <t>k_fraction</t>
  </si>
  <si>
    <t>max_nr_pop</t>
  </si>
  <si>
    <t>E_model</t>
  </si>
  <si>
    <t>k_model</t>
  </si>
  <si>
    <t>lambda_model</t>
  </si>
  <si>
    <t>Column1</t>
  </si>
  <si>
    <t>VMN_pd_fm</t>
  </si>
  <si>
    <t>Max Mass conc.</t>
  </si>
  <si>
    <t>name</t>
  </si>
  <si>
    <t>E</t>
  </si>
  <si>
    <t>k</t>
  </si>
  <si>
    <t>lambda_</t>
  </si>
  <si>
    <t>w</t>
  </si>
  <si>
    <t>Average</t>
  </si>
  <si>
    <t>Emission rate from raw data</t>
  </si>
  <si>
    <t>Decay rate from raw data</t>
  </si>
  <si>
    <t>+</t>
  </si>
  <si>
    <t>-</t>
  </si>
  <si>
    <t>Neb Scenario</t>
  </si>
  <si>
    <t>26.04.2023</t>
  </si>
  <si>
    <t>04.05.2023</t>
  </si>
  <si>
    <t>Good</t>
  </si>
  <si>
    <t>Comparison</t>
  </si>
  <si>
    <t>Very off</t>
  </si>
  <si>
    <t>Off</t>
  </si>
  <si>
    <t>Inital Conc.</t>
  </si>
  <si>
    <t>good</t>
  </si>
  <si>
    <t>05.05.2023</t>
  </si>
  <si>
    <t>updated code - 2 part model</t>
  </si>
  <si>
    <t>lambda_1</t>
  </si>
  <si>
    <t>lambda_2</t>
  </si>
  <si>
    <t>lambda_12</t>
  </si>
  <si>
    <t>lambda_23</t>
  </si>
  <si>
    <t>Very Good</t>
  </si>
  <si>
    <t>n1</t>
  </si>
  <si>
    <t>n2</t>
  </si>
  <si>
    <t>n3</t>
  </si>
  <si>
    <t>n4</t>
  </si>
  <si>
    <t>n5</t>
  </si>
  <si>
    <t>StDev</t>
  </si>
  <si>
    <t>For t=6, instead of t=5</t>
  </si>
  <si>
    <t>For t=7, instead of t=5</t>
  </si>
  <si>
    <t>Including ambient levels</t>
  </si>
  <si>
    <t>Excluding ambient levels</t>
  </si>
  <si>
    <t>BEDROOM</t>
  </si>
  <si>
    <t>variables for ODE</t>
  </si>
  <si>
    <t>Nebuliser</t>
  </si>
  <si>
    <t>Jet Neb</t>
  </si>
  <si>
    <t>VMN</t>
  </si>
  <si>
    <t>Interface</t>
  </si>
  <si>
    <t>Mouthpiece</t>
  </si>
  <si>
    <t>Facemask</t>
  </si>
  <si>
    <t>Patient</t>
  </si>
  <si>
    <t>Adult</t>
  </si>
  <si>
    <t>Paediatric</t>
  </si>
  <si>
    <t>Number of patients</t>
  </si>
  <si>
    <t>Openings</t>
  </si>
  <si>
    <t>No opening</t>
  </si>
  <si>
    <t>1 window open</t>
  </si>
  <si>
    <t>1 window and 1 door open</t>
  </si>
  <si>
    <t>v = 28</t>
  </si>
  <si>
    <t>0.55 + 5.95 + 0</t>
  </si>
  <si>
    <t>0.55 + 0.75 + 0</t>
  </si>
  <si>
    <t>1.1 + 5.95 + 0</t>
  </si>
  <si>
    <t>Changed</t>
  </si>
  <si>
    <t>volume, lambda 1 and 2 (1 window open)</t>
  </si>
  <si>
    <t>1.65 + 5.95 + 0</t>
  </si>
  <si>
    <t>1.1 + 0.75 + 0</t>
  </si>
  <si>
    <t>volume, lambda 1 and 2 (window and door open)</t>
  </si>
  <si>
    <t>LABORATORY</t>
  </si>
  <si>
    <t>volume (m^3)</t>
  </si>
  <si>
    <t>v = 38.42</t>
  </si>
  <si>
    <t>AER = Air Exchange Rate</t>
  </si>
  <si>
    <t>lambda_1 = AER + DR + MF</t>
  </si>
  <si>
    <t>DF = Deposition Rate</t>
  </si>
  <si>
    <t>lambda_2 = AER + DR + MF</t>
  </si>
  <si>
    <t>Mixing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</si>
</sst>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</fills>
  <borders count="4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2" borderId="0" xfId="0" applyFont="1" applyFill="1" applyAlignment="1">
      <alignment horizontal="right" vertical="center" wrapText="1"/>
    </xf>
    <xf numFmtId="0" fontId="4" fillId="2" borderId="0" xfId="0" applyFont="1" applyFill="1" applyAlignment="1">
      <alignment horizontal="right" vertical="center" wrapText="1"/>
    </xf>
    <xf numFmtId="0" fontId="0" fillId="3" borderId="0" xfId="0" applyFill="1"/>
    <xf numFmtId="2" fontId="0" fillId="4" borderId="0" xfId="0" applyNumberFormat="1" applyFill="1"/>
    <xf numFmtId="0" fontId="0" fillId="0" borderId="0" xfId="0" applyAlignment="1">
      <alignment horizontal="center"/>
    </xf>
    <xf numFmtId="164" fontId="0" fillId="0" borderId="0" xfId="0" applyNumberFormat="1"/>
    <xf numFmtId="0" fontId="0" fillId="5" borderId="0" xfId="0" applyFill="1"/>
    <xf numFmtId="0" fontId="0" fillId="0" borderId="0" xfId="0" applyFill="1"/>
    <xf numFmtId="2" fontId="0" fillId="0" borderId="0" xfId="0" applyNumberFormat="1" applyFill="1"/>
    <xf numFmtId="165" fontId="0" fillId="4" borderId="0" xfId="0" applyNumberFormat="1" applyFill="1"/>
    <xf numFmtId="0" fontId="0" fillId="0" borderId="0" xfId="0" applyNumberFormat="1"/>
    <xf numFmtId="0" fontId="5" fillId="0" borderId="0" xfId="0" applyFont="1"/>
    <xf numFmtId="0" fontId="6" fillId="7" borderId="1" xfId="0" applyFont="1" applyFill="1" applyBorder="1"/>
    <xf numFmtId="0" fontId="0" fillId="6" borderId="1" xfId="0" applyFont="1" applyFill="1" applyBorder="1"/>
    <xf numFmtId="0" fontId="0" fillId="0" borderId="1" xfId="0" applyFont="1" applyBorder="1"/>
    <xf numFmtId="0" fontId="6" fillId="7" borderId="2" xfId="0" applyFont="1" applyFill="1" applyBorder="1"/>
    <xf numFmtId="0" fontId="6" fillId="7" borderId="3" xfId="0" applyFont="1" applyFill="1" applyBorder="1"/>
    <xf numFmtId="2" fontId="0" fillId="4" borderId="2" xfId="0" applyNumberFormat="1" applyFont="1" applyFill="1" applyBorder="1"/>
    <xf numFmtId="2" fontId="0" fillId="4" borderId="3" xfId="0" applyNumberFormat="1" applyFont="1" applyFill="1" applyBorder="1"/>
    <xf numFmtId="0" fontId="6" fillId="7" borderId="0" xfId="0" applyFont="1" applyFill="1" applyBorder="1"/>
    <xf numFmtId="2" fontId="0" fillId="4" borderId="0" xfId="0" applyNumberFormat="1" applyFont="1" applyFill="1" applyBorder="1"/>
  </cellXfs>
  <cellStyles count="1">
    <cellStyle name="Normal" xfId="0" builtinId="0"/>
  </cellStyles>
  <dxfs count="170"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0.0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0.0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0.0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numFmt numFmtId="2" formatCode="0.00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ill>
        <patternFill patternType="solid">
          <fgColor indexed="64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11</xdr:row>
      <xdr:rowOff>9525</xdr:rowOff>
    </xdr:from>
    <xdr:to>
      <xdr:col>5</xdr:col>
      <xdr:colOff>894863</xdr:colOff>
      <xdr:row>24</xdr:row>
      <xdr:rowOff>190168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105025"/>
          <a:ext cx="3895238" cy="2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752475</xdr:colOff>
      <xdr:row>11</xdr:row>
      <xdr:rowOff>57150</xdr:rowOff>
    </xdr:from>
    <xdr:to>
      <xdr:col>11</xdr:col>
      <xdr:colOff>218589</xdr:colOff>
      <xdr:row>25</xdr:row>
      <xdr:rowOff>18721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2152650"/>
          <a:ext cx="3885714" cy="2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16</xdr:col>
      <xdr:colOff>342408</xdr:colOff>
      <xdr:row>25</xdr:row>
      <xdr:rowOff>28238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0575" y="2095500"/>
          <a:ext cx="3933333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828184</xdr:colOff>
      <xdr:row>39</xdr:row>
      <xdr:rowOff>94929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3923809" cy="2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790575</xdr:colOff>
      <xdr:row>26</xdr:row>
      <xdr:rowOff>0</xdr:rowOff>
    </xdr:from>
    <xdr:to>
      <xdr:col>11</xdr:col>
      <xdr:colOff>180499</xdr:colOff>
      <xdr:row>39</xdr:row>
      <xdr:rowOff>152071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29100" y="4953000"/>
          <a:ext cx="3809524" cy="2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16</xdr:col>
      <xdr:colOff>380504</xdr:colOff>
      <xdr:row>40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0575" y="4953000"/>
          <a:ext cx="3971429" cy="2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22</xdr:col>
      <xdr:colOff>228114</xdr:colOff>
      <xdr:row>40</xdr:row>
      <xdr:rowOff>47286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96825" y="4953000"/>
          <a:ext cx="3885714" cy="2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6</xdr:col>
      <xdr:colOff>294808</xdr:colOff>
      <xdr:row>32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619500"/>
          <a:ext cx="3733333" cy="2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13</xdr:col>
      <xdr:colOff>132876</xdr:colOff>
      <xdr:row>32</xdr:row>
      <xdr:rowOff>133024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3619500"/>
          <a:ext cx="3790476" cy="2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20</xdr:col>
      <xdr:colOff>275733</xdr:colOff>
      <xdr:row>32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0" y="3619500"/>
          <a:ext cx="3933333" cy="2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33</xdr:row>
      <xdr:rowOff>9525</xdr:rowOff>
    </xdr:from>
    <xdr:to>
      <xdr:col>13</xdr:col>
      <xdr:colOff>170973</xdr:colOff>
      <xdr:row>46</xdr:row>
      <xdr:rowOff>180644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33925" y="6296025"/>
          <a:ext cx="3819048" cy="26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581025</xdr:colOff>
      <xdr:row>33</xdr:row>
      <xdr:rowOff>19050</xdr:rowOff>
    </xdr:from>
    <xdr:to>
      <xdr:col>27</xdr:col>
      <xdr:colOff>209063</xdr:colOff>
      <xdr:row>46</xdr:row>
      <xdr:rowOff>142550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0225" y="6305550"/>
          <a:ext cx="3895238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33</xdr:row>
      <xdr:rowOff>47625</xdr:rowOff>
    </xdr:from>
    <xdr:to>
      <xdr:col>20</xdr:col>
      <xdr:colOff>161446</xdr:colOff>
      <xdr:row>47</xdr:row>
      <xdr:rowOff>28244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82075" y="6334125"/>
          <a:ext cx="3828571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33</xdr:row>
      <xdr:rowOff>19050</xdr:rowOff>
    </xdr:from>
    <xdr:to>
      <xdr:col>6</xdr:col>
      <xdr:colOff>399561</xdr:colOff>
      <xdr:row>47</xdr:row>
      <xdr:rowOff>18717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6305550"/>
          <a:ext cx="3914286" cy="2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18</xdr:row>
      <xdr:rowOff>161925</xdr:rowOff>
    </xdr:from>
    <xdr:to>
      <xdr:col>6</xdr:col>
      <xdr:colOff>85230</xdr:colOff>
      <xdr:row>32</xdr:row>
      <xdr:rowOff>142544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3590925"/>
          <a:ext cx="3961905" cy="2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18</xdr:row>
      <xdr:rowOff>123825</xdr:rowOff>
    </xdr:from>
    <xdr:to>
      <xdr:col>12</xdr:col>
      <xdr:colOff>285268</xdr:colOff>
      <xdr:row>32</xdr:row>
      <xdr:rowOff>123492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3850" y="3552825"/>
          <a:ext cx="3857143" cy="2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18</xdr:row>
      <xdr:rowOff>123825</xdr:rowOff>
    </xdr:from>
    <xdr:to>
      <xdr:col>18</xdr:col>
      <xdr:colOff>551957</xdr:colOff>
      <xdr:row>32</xdr:row>
      <xdr:rowOff>152063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3552825"/>
          <a:ext cx="3942857" cy="26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32</xdr:row>
      <xdr:rowOff>142875</xdr:rowOff>
    </xdr:from>
    <xdr:to>
      <xdr:col>18</xdr:col>
      <xdr:colOff>323367</xdr:colOff>
      <xdr:row>46</xdr:row>
      <xdr:rowOff>104446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6238875"/>
          <a:ext cx="3866667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</xdr:row>
      <xdr:rowOff>161925</xdr:rowOff>
    </xdr:from>
    <xdr:to>
      <xdr:col>6</xdr:col>
      <xdr:colOff>28071</xdr:colOff>
      <xdr:row>46</xdr:row>
      <xdr:rowOff>152068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" y="6257925"/>
          <a:ext cx="4028571" cy="2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32</xdr:row>
      <xdr:rowOff>104775</xdr:rowOff>
    </xdr:from>
    <xdr:to>
      <xdr:col>12</xdr:col>
      <xdr:colOff>228109</xdr:colOff>
      <xdr:row>46</xdr:row>
      <xdr:rowOff>113965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10025" y="6200775"/>
          <a:ext cx="3923809" cy="26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32</xdr:row>
      <xdr:rowOff>152400</xdr:rowOff>
    </xdr:from>
    <xdr:to>
      <xdr:col>24</xdr:col>
      <xdr:colOff>580533</xdr:colOff>
      <xdr:row>46</xdr:row>
      <xdr:rowOff>123495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68125" y="6248400"/>
          <a:ext cx="3933333" cy="2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276225</xdr:colOff>
      <xdr:row>31</xdr:row>
      <xdr:rowOff>114300</xdr:rowOff>
    </xdr:from>
    <xdr:to>
      <xdr:col>10</xdr:col>
      <xdr:colOff>656730</xdr:colOff>
      <xdr:row>45</xdr:row>
      <xdr:rowOff>85395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" y="6019800"/>
          <a:ext cx="3961905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180975</xdr:rowOff>
    </xdr:from>
    <xdr:to>
      <xdr:col>5</xdr:col>
      <xdr:colOff>351943</xdr:colOff>
      <xdr:row>45</xdr:row>
      <xdr:rowOff>152070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86475"/>
          <a:ext cx="3857143" cy="26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17</xdr:row>
      <xdr:rowOff>85725</xdr:rowOff>
    </xdr:from>
    <xdr:to>
      <xdr:col>16</xdr:col>
      <xdr:colOff>456720</xdr:colOff>
      <xdr:row>31</xdr:row>
      <xdr:rowOff>75868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324225"/>
          <a:ext cx="3838095" cy="2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31</xdr:row>
      <xdr:rowOff>104775</xdr:rowOff>
    </xdr:from>
    <xdr:to>
      <xdr:col>16</xdr:col>
      <xdr:colOff>551961</xdr:colOff>
      <xdr:row>45</xdr:row>
      <xdr:rowOff>18727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8100" y="6010275"/>
          <a:ext cx="3914286" cy="25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600075</xdr:colOff>
      <xdr:row>31</xdr:row>
      <xdr:rowOff>114300</xdr:rowOff>
    </xdr:from>
    <xdr:to>
      <xdr:col>22</xdr:col>
      <xdr:colOff>294795</xdr:colOff>
      <xdr:row>45</xdr:row>
      <xdr:rowOff>94919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77625" y="6019800"/>
          <a:ext cx="3838095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5</xdr:col>
      <xdr:colOff>332895</xdr:colOff>
      <xdr:row>31</xdr:row>
      <xdr:rowOff>171119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29000"/>
          <a:ext cx="3838095" cy="26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396240</xdr:colOff>
      <xdr:row>17</xdr:row>
      <xdr:rowOff>111208</xdr:rowOff>
    </xdr:from>
    <xdr:to>
      <xdr:col>10</xdr:col>
      <xdr:colOff>487680</xdr:colOff>
      <xdr:row>31</xdr:row>
      <xdr:rowOff>100549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7160" y="3220168"/>
          <a:ext cx="3718560" cy="25496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114300</xdr:colOff>
      <xdr:row>9</xdr:row>
      <xdr:rowOff>9525</xdr:rowOff>
    </xdr:from>
    <xdr:to>
      <xdr:col>19</xdr:col>
      <xdr:colOff>428154</xdr:colOff>
      <xdr:row>23</xdr:row>
      <xdr:rowOff>18715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48775" y="1533525"/>
          <a:ext cx="3771429" cy="2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22</xdr:row>
      <xdr:rowOff>161925</xdr:rowOff>
    </xdr:from>
    <xdr:to>
      <xdr:col>19</xdr:col>
      <xdr:colOff>504357</xdr:colOff>
      <xdr:row>36</xdr:row>
      <xdr:rowOff>66354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3550" y="4162425"/>
          <a:ext cx="3742857" cy="2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36</xdr:row>
      <xdr:rowOff>76200</xdr:rowOff>
    </xdr:from>
    <xdr:to>
      <xdr:col>19</xdr:col>
      <xdr:colOff>485306</xdr:colOff>
      <xdr:row>50</xdr:row>
      <xdr:rowOff>18724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4975" y="6743700"/>
          <a:ext cx="3752381" cy="2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50</xdr:row>
      <xdr:rowOff>0</xdr:rowOff>
    </xdr:from>
    <xdr:to>
      <xdr:col>19</xdr:col>
      <xdr:colOff>561483</xdr:colOff>
      <xdr:row>63</xdr:row>
      <xdr:rowOff>180643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6375" y="8382000"/>
          <a:ext cx="3933333" cy="26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19</xdr:col>
      <xdr:colOff>466234</xdr:colOff>
      <xdr:row>77</xdr:row>
      <xdr:rowOff>123500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0650" y="11049000"/>
          <a:ext cx="3923809" cy="2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91</xdr:row>
      <xdr:rowOff>123825</xdr:rowOff>
    </xdr:from>
    <xdr:to>
      <xdr:col>19</xdr:col>
      <xdr:colOff>532919</xdr:colOff>
      <xdr:row>105</xdr:row>
      <xdr:rowOff>94920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16316325"/>
          <a:ext cx="3847619" cy="2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77</xdr:row>
      <xdr:rowOff>66675</xdr:rowOff>
    </xdr:from>
    <xdr:to>
      <xdr:col>19</xdr:col>
      <xdr:colOff>542442</xdr:colOff>
      <xdr:row>91</xdr:row>
      <xdr:rowOff>66342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0" y="13592175"/>
          <a:ext cx="3866667" cy="2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171450</xdr:colOff>
      <xdr:row>92</xdr:row>
      <xdr:rowOff>9525</xdr:rowOff>
    </xdr:from>
    <xdr:to>
      <xdr:col>26</xdr:col>
      <xdr:colOff>351945</xdr:colOff>
      <xdr:row>106</xdr:row>
      <xdr:rowOff>9192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0" y="17345025"/>
          <a:ext cx="3838095" cy="2666667"/>
        </a:xfrm>
        <a:prstGeom prst="rect">
          <a:avLst/>
        </a:prstGeom>
      </xdr:spPr>
    </xdr:pic>
    <xdr:clientData/>
  </xdr:twoCellAnchor>
  <xdr:twoCellAnchor editAs="oneCell">
    <xdr:from>
      <xdr:col>27</xdr:col>
      <xdr:colOff>133350</xdr:colOff>
      <xdr:row>92</xdr:row>
      <xdr:rowOff>76200</xdr:rowOff>
    </xdr:from>
    <xdr:to>
      <xdr:col>33</xdr:col>
      <xdr:colOff>313845</xdr:colOff>
      <xdr:row>106</xdr:row>
      <xdr:rowOff>85390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02200" y="17411700"/>
          <a:ext cx="3838095" cy="267619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C3:Q10" totalsRowShown="0" headerRowDxfId="169">
  <autoFilter ref="C3:Q10" xr:uid="{00000000-0009-0000-0100-000001000000}"/>
  <tableColumns count="15">
    <tableColumn id="1" xr3:uid="{00000000-0010-0000-0000-000001000000}" name="Column1" dataDxfId="168"/>
    <tableColumn id="2" xr3:uid="{00000000-0010-0000-0000-000002000000}" name="V"/>
    <tableColumn id="3" xr3:uid="{00000000-0010-0000-0000-000003000000}" name="Pre-neb time"/>
    <tableColumn id="4" xr3:uid="{00000000-0010-0000-0000-000004000000}" name="Noise (sigma)"/>
    <tableColumn id="15" xr3:uid="{00000000-0010-0000-0000-00000F000000}" name="Max Mass conc."/>
    <tableColumn id="5" xr3:uid="{00000000-0010-0000-0000-000005000000}" name="E_estimate" dataDxfId="167"/>
    <tableColumn id="6" xr3:uid="{00000000-0010-0000-0000-000006000000}" name="k_estimate" dataDxfId="166"/>
    <tableColumn id="7" xr3:uid="{00000000-0010-0000-0000-000007000000}" name="lambda_estimate" dataDxfId="165"/>
    <tableColumn id="8" xr3:uid="{00000000-0010-0000-0000-000008000000}" name="p"/>
    <tableColumn id="9" xr3:uid="{00000000-0010-0000-0000-000009000000}" name="pop size"/>
    <tableColumn id="10" xr3:uid="{00000000-0010-0000-0000-00000A000000}" name="k_fraction"/>
    <tableColumn id="11" xr3:uid="{00000000-0010-0000-0000-00000B000000}" name="max_nr_pop"/>
    <tableColumn id="12" xr3:uid="{00000000-0010-0000-0000-00000C000000}" name="E_model" dataDxfId="164"/>
    <tableColumn id="13" xr3:uid="{00000000-0010-0000-0000-00000D000000}" name="k_model" dataDxfId="163"/>
    <tableColumn id="14" xr3:uid="{00000000-0010-0000-0000-00000E000000}" name="lambda_model" dataDxfId="162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B10:Q17" totalsRowShown="0" headerRowDxfId="161">
  <autoFilter ref="B10:Q17" xr:uid="{00000000-0009-0000-0100-000002000000}"/>
  <tableColumns count="16">
    <tableColumn id="1" xr3:uid="{00000000-0010-0000-0100-000001000000}" name="Neb Scenario" dataDxfId="160"/>
    <tableColumn id="2" xr3:uid="{00000000-0010-0000-0100-000002000000}" name="V"/>
    <tableColumn id="3" xr3:uid="{00000000-0010-0000-0100-000003000000}" name="Pre-neb time"/>
    <tableColumn id="4" xr3:uid="{00000000-0010-0000-0100-000004000000}" name="Noise (sigma)"/>
    <tableColumn id="16" xr3:uid="{00000000-0010-0000-0100-000010000000}" name="Inital Conc." dataDxfId="159"/>
    <tableColumn id="15" xr3:uid="{00000000-0010-0000-0100-00000F000000}" name="Max Mass conc."/>
    <tableColumn id="5" xr3:uid="{00000000-0010-0000-0100-000005000000}" name="E_estimate" dataDxfId="158"/>
    <tableColumn id="6" xr3:uid="{00000000-0010-0000-0100-000006000000}" name="k_estimate" dataDxfId="157"/>
    <tableColumn id="7" xr3:uid="{00000000-0010-0000-0100-000007000000}" name="lambda_estimate" dataDxfId="156"/>
    <tableColumn id="8" xr3:uid="{00000000-0010-0000-0100-000008000000}" name="p"/>
    <tableColumn id="9" xr3:uid="{00000000-0010-0000-0100-000009000000}" name="pop size"/>
    <tableColumn id="10" xr3:uid="{00000000-0010-0000-0100-00000A000000}" name="k_fraction"/>
    <tableColumn id="11" xr3:uid="{00000000-0010-0000-0100-00000B000000}" name="max_nr_pop"/>
    <tableColumn id="12" xr3:uid="{00000000-0010-0000-0100-00000C000000}" name="E_model" dataDxfId="155"/>
    <tableColumn id="13" xr3:uid="{00000000-0010-0000-0100-00000D000000}" name="k_model" dataDxfId="154"/>
    <tableColumn id="14" xr3:uid="{00000000-0010-0000-0100-00000E000000}" name="lambda_model" dataDxfId="153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4" displayName="Table14" ref="B1:Q8" totalsRowShown="0" headerRowDxfId="152">
  <autoFilter ref="B1:Q8" xr:uid="{00000000-0009-0000-0100-000003000000}"/>
  <tableColumns count="16">
    <tableColumn id="1" xr3:uid="{00000000-0010-0000-0200-000001000000}" name="Neb Scenario" dataDxfId="151"/>
    <tableColumn id="2" xr3:uid="{00000000-0010-0000-0200-000002000000}" name="V"/>
    <tableColumn id="3" xr3:uid="{00000000-0010-0000-0200-000003000000}" name="Pre-neb time"/>
    <tableColumn id="4" xr3:uid="{00000000-0010-0000-0200-000004000000}" name="Noise (sigma)"/>
    <tableColumn id="16" xr3:uid="{00000000-0010-0000-0200-000010000000}" name="Inital Conc." dataDxfId="150"/>
    <tableColumn id="15" xr3:uid="{00000000-0010-0000-0200-00000F000000}" name="Max Mass conc."/>
    <tableColumn id="5" xr3:uid="{00000000-0010-0000-0200-000005000000}" name="E_estimate" dataDxfId="149"/>
    <tableColumn id="6" xr3:uid="{00000000-0010-0000-0200-000006000000}" name="k_estimate" dataDxfId="148"/>
    <tableColumn id="7" xr3:uid="{00000000-0010-0000-0200-000007000000}" name="lambda_estimate" dataDxfId="147"/>
    <tableColumn id="8" xr3:uid="{00000000-0010-0000-0200-000008000000}" name="p"/>
    <tableColumn id="9" xr3:uid="{00000000-0010-0000-0200-000009000000}" name="pop size"/>
    <tableColumn id="10" xr3:uid="{00000000-0010-0000-0200-00000A000000}" name="k_fraction"/>
    <tableColumn id="11" xr3:uid="{00000000-0010-0000-0200-00000B000000}" name="max_nr_pop"/>
    <tableColumn id="12" xr3:uid="{00000000-0010-0000-0200-00000C000000}" name="E_model" dataDxfId="146"/>
    <tableColumn id="13" xr3:uid="{00000000-0010-0000-0200-00000D000000}" name="k_model" dataDxfId="145"/>
    <tableColumn id="14" xr3:uid="{00000000-0010-0000-0200-00000E000000}" name="lambda_model" dataDxfId="144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35" displayName="Table135" ref="C10:R17" totalsRowShown="0" headerRowDxfId="143">
  <autoFilter ref="C10:R17" xr:uid="{00000000-0009-0000-0100-000004000000}"/>
  <tableColumns count="16">
    <tableColumn id="1" xr3:uid="{00000000-0010-0000-0300-000001000000}" name="Neb Scenario" dataDxfId="142"/>
    <tableColumn id="2" xr3:uid="{00000000-0010-0000-0300-000002000000}" name="V"/>
    <tableColumn id="3" xr3:uid="{00000000-0010-0000-0300-000003000000}" name="Pre-neb time"/>
    <tableColumn id="4" xr3:uid="{00000000-0010-0000-0300-000004000000}" name="Noise (sigma)"/>
    <tableColumn id="16" xr3:uid="{00000000-0010-0000-0300-000010000000}" name="Inital Conc." dataDxfId="141"/>
    <tableColumn id="15" xr3:uid="{00000000-0010-0000-0300-00000F000000}" name="Max Mass conc."/>
    <tableColumn id="5" xr3:uid="{00000000-0010-0000-0300-000005000000}" name="E_estimate" dataDxfId="140"/>
    <tableColumn id="6" xr3:uid="{00000000-0010-0000-0300-000006000000}" name="k_estimate" dataDxfId="139"/>
    <tableColumn id="7" xr3:uid="{00000000-0010-0000-0300-000007000000}" name="lambda_estimate" dataDxfId="138"/>
    <tableColumn id="8" xr3:uid="{00000000-0010-0000-0300-000008000000}" name="p"/>
    <tableColumn id="9" xr3:uid="{00000000-0010-0000-0300-000009000000}" name="pop size"/>
    <tableColumn id="10" xr3:uid="{00000000-0010-0000-0300-00000A000000}" name="k_fraction"/>
    <tableColumn id="11" xr3:uid="{00000000-0010-0000-0300-00000B000000}" name="max_nr_pop"/>
    <tableColumn id="12" xr3:uid="{00000000-0010-0000-0300-00000C000000}" name="E_model" dataDxfId="137"/>
    <tableColumn id="13" xr3:uid="{00000000-0010-0000-0300-00000D000000}" name="k_model" dataDxfId="136"/>
    <tableColumn id="14" xr3:uid="{00000000-0010-0000-0300-00000E000000}" name="lambda_model" dataDxfId="135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46" displayName="Table146" ref="C1:R8" totalsRowShown="0" headerRowDxfId="134">
  <autoFilter ref="C1:R8" xr:uid="{00000000-0009-0000-0100-000005000000}"/>
  <tableColumns count="16">
    <tableColumn id="1" xr3:uid="{00000000-0010-0000-0400-000001000000}" name="Neb Scenario" dataDxfId="133"/>
    <tableColumn id="2" xr3:uid="{00000000-0010-0000-0400-000002000000}" name="V"/>
    <tableColumn id="3" xr3:uid="{00000000-0010-0000-0400-000003000000}" name="Pre-neb time"/>
    <tableColumn id="4" xr3:uid="{00000000-0010-0000-0400-000004000000}" name="Noise (sigma)"/>
    <tableColumn id="16" xr3:uid="{00000000-0010-0000-0400-000010000000}" name="Inital Conc." dataDxfId="132"/>
    <tableColumn id="15" xr3:uid="{00000000-0010-0000-0400-00000F000000}" name="Max Mass conc."/>
    <tableColumn id="5" xr3:uid="{00000000-0010-0000-0400-000005000000}" name="E_estimate" dataDxfId="131"/>
    <tableColumn id="6" xr3:uid="{00000000-0010-0000-0400-000006000000}" name="k_estimate" dataDxfId="130"/>
    <tableColumn id="7" xr3:uid="{00000000-0010-0000-0400-000007000000}" name="lambda_estimate" dataDxfId="129"/>
    <tableColumn id="8" xr3:uid="{00000000-0010-0000-0400-000008000000}" name="p"/>
    <tableColumn id="9" xr3:uid="{00000000-0010-0000-0400-000009000000}" name="pop size"/>
    <tableColumn id="10" xr3:uid="{00000000-0010-0000-0400-00000A000000}" name="k_fraction"/>
    <tableColumn id="11" xr3:uid="{00000000-0010-0000-0400-00000B000000}" name="max_nr_pop"/>
    <tableColumn id="12" xr3:uid="{00000000-0010-0000-0400-00000C000000}" name="E_model" dataDxfId="128"/>
    <tableColumn id="13" xr3:uid="{00000000-0010-0000-0400-00000D000000}" name="k_model" dataDxfId="127"/>
    <tableColumn id="14" xr3:uid="{00000000-0010-0000-0400-00000E000000}" name="lambda_model" dataDxfId="126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357" displayName="Table1357" ref="C1:Q8" totalsRowShown="0" headerRowDxfId="125">
  <autoFilter ref="C1:Q8" xr:uid="{00000000-0009-0000-0100-000006000000}"/>
  <tableColumns count="15">
    <tableColumn id="1" xr3:uid="{00000000-0010-0000-0500-000001000000}" name="Neb Scenario" dataDxfId="124"/>
    <tableColumn id="2" xr3:uid="{00000000-0010-0000-0500-000002000000}" name="V"/>
    <tableColumn id="4" xr3:uid="{00000000-0010-0000-0500-000004000000}" name="Noise (sigma)"/>
    <tableColumn id="16" xr3:uid="{00000000-0010-0000-0500-000010000000}" name="Inital Conc." dataDxfId="123"/>
    <tableColumn id="15" xr3:uid="{00000000-0010-0000-0500-00000F000000}" name="Max Mass conc."/>
    <tableColumn id="5" xr3:uid="{00000000-0010-0000-0500-000005000000}" name="E_estimate" dataDxfId="122"/>
    <tableColumn id="6" xr3:uid="{00000000-0010-0000-0500-000006000000}" name="k_estimate" dataDxfId="121"/>
    <tableColumn id="7" xr3:uid="{00000000-0010-0000-0500-000007000000}" name="lambda_estimate" dataDxfId="120"/>
    <tableColumn id="8" xr3:uid="{00000000-0010-0000-0500-000008000000}" name="p"/>
    <tableColumn id="9" xr3:uid="{00000000-0010-0000-0500-000009000000}" name="pop size"/>
    <tableColumn id="10" xr3:uid="{00000000-0010-0000-0500-00000A000000}" name="k_fraction"/>
    <tableColumn id="11" xr3:uid="{00000000-0010-0000-0500-00000B000000}" name="max_nr_pop"/>
    <tableColumn id="12" xr3:uid="{00000000-0010-0000-0500-00000C000000}" name="E_model" dataDxfId="119"/>
    <tableColumn id="13" xr3:uid="{00000000-0010-0000-0500-00000D000000}" name="k_model" dataDxfId="118"/>
    <tableColumn id="14" xr3:uid="{00000000-0010-0000-0500-00000E000000}" name="lambda_model" dataDxfId="117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358" displayName="Table1358" ref="C10:Q17" totalsRowShown="0" headerRowDxfId="116">
  <autoFilter ref="C10:Q17" xr:uid="{00000000-0009-0000-0100-000007000000}"/>
  <tableColumns count="15">
    <tableColumn id="1" xr3:uid="{00000000-0010-0000-0600-000001000000}" name="Neb Scenario" dataDxfId="115"/>
    <tableColumn id="2" xr3:uid="{00000000-0010-0000-0600-000002000000}" name="V"/>
    <tableColumn id="4" xr3:uid="{00000000-0010-0000-0600-000004000000}" name="Noise (sigma)"/>
    <tableColumn id="16" xr3:uid="{00000000-0010-0000-0600-000010000000}" name="Inital Conc." dataDxfId="114"/>
    <tableColumn id="15" xr3:uid="{00000000-0010-0000-0600-00000F000000}" name="Max Mass conc."/>
    <tableColumn id="5" xr3:uid="{00000000-0010-0000-0600-000005000000}" name="E_estimate" dataDxfId="113"/>
    <tableColumn id="6" xr3:uid="{00000000-0010-0000-0600-000006000000}" name="lambda_1" dataDxfId="112"/>
    <tableColumn id="7" xr3:uid="{00000000-0010-0000-0600-000007000000}" name="lambda_2" dataDxfId="111"/>
    <tableColumn id="8" xr3:uid="{00000000-0010-0000-0600-000008000000}" name="p"/>
    <tableColumn id="9" xr3:uid="{00000000-0010-0000-0600-000009000000}" name="pop size"/>
    <tableColumn id="10" xr3:uid="{00000000-0010-0000-0600-00000A000000}" name="k_fraction"/>
    <tableColumn id="11" xr3:uid="{00000000-0010-0000-0600-00000B000000}" name="max_nr_pop"/>
    <tableColumn id="12" xr3:uid="{00000000-0010-0000-0600-00000C000000}" name="E_model" dataDxfId="110"/>
    <tableColumn id="13" xr3:uid="{00000000-0010-0000-0600-00000D000000}" name="lambda_12" dataDxfId="109"/>
    <tableColumn id="14" xr3:uid="{00000000-0010-0000-0600-00000E000000}" name="lambda_23" dataDxfId="108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3589" displayName="Table13589" ref="A2:N9" totalsRowShown="0" headerRowDxfId="107">
  <autoFilter ref="A2:N9" xr:uid="{00000000-0009-0000-0100-000008000000}"/>
  <tableColumns count="14">
    <tableColumn id="1" xr3:uid="{00000000-0010-0000-0700-000001000000}" name="Neb Scenario" dataDxfId="106"/>
    <tableColumn id="2" xr3:uid="{00000000-0010-0000-0700-000002000000}" name="V"/>
    <tableColumn id="4" xr3:uid="{00000000-0010-0000-0700-000004000000}" name="Noise (sigma)"/>
    <tableColumn id="16" xr3:uid="{00000000-0010-0000-0700-000010000000}" name="Inital Conc." dataDxfId="105"/>
    <tableColumn id="15" xr3:uid="{00000000-0010-0000-0700-00000F000000}" name="Max Mass conc."/>
    <tableColumn id="5" xr3:uid="{00000000-0010-0000-0700-000005000000}" name="E_estimate" dataDxfId="104"/>
    <tableColumn id="6" xr3:uid="{00000000-0010-0000-0700-000006000000}" name="lambda_1" dataDxfId="103"/>
    <tableColumn id="7" xr3:uid="{00000000-0010-0000-0700-000007000000}" name="lambda_2" dataDxfId="102"/>
    <tableColumn id="8" xr3:uid="{00000000-0010-0000-0700-000008000000}" name="p"/>
    <tableColumn id="9" xr3:uid="{00000000-0010-0000-0700-000009000000}" name="pop size"/>
    <tableColumn id="11" xr3:uid="{00000000-0010-0000-0700-00000B000000}" name="max_nr_pop"/>
    <tableColumn id="12" xr3:uid="{00000000-0010-0000-0700-00000C000000}" name="E_model" dataDxfId="101"/>
    <tableColumn id="13" xr3:uid="{00000000-0010-0000-0700-00000D000000}" name="lambda_12" dataDxfId="100"/>
    <tableColumn id="14" xr3:uid="{00000000-0010-0000-0700-00000E000000}" name="lambda_23" dataDxfId="99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1358910" displayName="Table1358910" ref="A17:N22" totalsRowShown="0" headerRowDxfId="98">
  <autoFilter ref="A17:N22" xr:uid="{00000000-0009-0000-0100-000009000000}"/>
  <tableColumns count="14">
    <tableColumn id="1" xr3:uid="{00000000-0010-0000-0800-000001000000}" name="JN_ad_mp" dataDxfId="97"/>
    <tableColumn id="2" xr3:uid="{00000000-0010-0000-0800-000002000000}" name="V"/>
    <tableColumn id="4" xr3:uid="{00000000-0010-0000-0800-000004000000}" name="Noise (sigma)"/>
    <tableColumn id="16" xr3:uid="{00000000-0010-0000-0800-000010000000}" name="Inital Conc." dataDxfId="96"/>
    <tableColumn id="15" xr3:uid="{00000000-0010-0000-0800-00000F000000}" name="Max Mass conc."/>
    <tableColumn id="5" xr3:uid="{00000000-0010-0000-0800-000005000000}" name="E_estimate" dataDxfId="95"/>
    <tableColumn id="6" xr3:uid="{00000000-0010-0000-0800-000006000000}" name="lambda_1" dataDxfId="94"/>
    <tableColumn id="7" xr3:uid="{00000000-0010-0000-0800-000007000000}" name="lambda_2" dataDxfId="93"/>
    <tableColumn id="8" xr3:uid="{00000000-0010-0000-0800-000008000000}" name="p"/>
    <tableColumn id="9" xr3:uid="{00000000-0010-0000-0800-000009000000}" name="pop size"/>
    <tableColumn id="11" xr3:uid="{00000000-0010-0000-0800-00000B000000}" name="max_nr_pop"/>
    <tableColumn id="12" xr3:uid="{00000000-0010-0000-0800-00000C000000}" name="E_model" dataDxfId="92"/>
    <tableColumn id="13" xr3:uid="{00000000-0010-0000-0800-00000D000000}" name="lambda_12" dataDxfId="91"/>
    <tableColumn id="14" xr3:uid="{00000000-0010-0000-0800-00000E000000}" name="lambda_23" dataDxfId="90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35891011" displayName="Table135891011" ref="A29:N34" totalsRowShown="0" headerRowDxfId="89">
  <autoFilter ref="A29:N34" xr:uid="{00000000-0009-0000-0100-00000A000000}"/>
  <tableColumns count="14">
    <tableColumn id="1" xr3:uid="{00000000-0010-0000-0900-000001000000}" name="JN_ad_fm" dataDxfId="88"/>
    <tableColumn id="2" xr3:uid="{00000000-0010-0000-0900-000002000000}" name="V"/>
    <tableColumn id="4" xr3:uid="{00000000-0010-0000-0900-000004000000}" name="Noise (sigma)"/>
    <tableColumn id="16" xr3:uid="{00000000-0010-0000-0900-000010000000}" name="Inital Conc." dataDxfId="87"/>
    <tableColumn id="15" xr3:uid="{00000000-0010-0000-0900-00000F000000}" name="Max Mass conc."/>
    <tableColumn id="5" xr3:uid="{00000000-0010-0000-0900-000005000000}" name="E_estimate" dataDxfId="86"/>
    <tableColumn id="6" xr3:uid="{00000000-0010-0000-0900-000006000000}" name="lambda_1" dataDxfId="85"/>
    <tableColumn id="7" xr3:uid="{00000000-0010-0000-0900-000007000000}" name="lambda_2" dataDxfId="84"/>
    <tableColumn id="8" xr3:uid="{00000000-0010-0000-0900-000008000000}" name="p"/>
    <tableColumn id="9" xr3:uid="{00000000-0010-0000-0900-000009000000}" name="pop size"/>
    <tableColumn id="11" xr3:uid="{00000000-0010-0000-0900-00000B000000}" name="max_nr_pop"/>
    <tableColumn id="12" xr3:uid="{00000000-0010-0000-0900-00000C000000}" name="E_model" dataDxfId="83"/>
    <tableColumn id="13" xr3:uid="{00000000-0010-0000-0900-00000D000000}" name="lambda_12" dataDxfId="82"/>
    <tableColumn id="14" xr3:uid="{00000000-0010-0000-0900-00000E000000}" name="lambda_23" dataDxfId="81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35891012" displayName="Table135891012" ref="A41:N46" totalsRowShown="0" headerRowDxfId="80">
  <autoFilter ref="A41:N46" xr:uid="{00000000-0009-0000-0100-00000B000000}"/>
  <tableColumns count="14">
    <tableColumn id="1" xr3:uid="{00000000-0010-0000-0A00-000001000000}" name="JN_pd_fm" dataDxfId="79"/>
    <tableColumn id="2" xr3:uid="{00000000-0010-0000-0A00-000002000000}" name="V"/>
    <tableColumn id="4" xr3:uid="{00000000-0010-0000-0A00-000004000000}" name="Noise (sigma)"/>
    <tableColumn id="16" xr3:uid="{00000000-0010-0000-0A00-000010000000}" name="Inital Conc." dataDxfId="78"/>
    <tableColumn id="15" xr3:uid="{00000000-0010-0000-0A00-00000F000000}" name="Max Mass conc."/>
    <tableColumn id="5" xr3:uid="{00000000-0010-0000-0A00-000005000000}" name="E_estimate" dataDxfId="77"/>
    <tableColumn id="6" xr3:uid="{00000000-0010-0000-0A00-000006000000}" name="lambda_1" dataDxfId="76"/>
    <tableColumn id="7" xr3:uid="{00000000-0010-0000-0A00-000007000000}" name="lambda_2" dataDxfId="75"/>
    <tableColumn id="8" xr3:uid="{00000000-0010-0000-0A00-000008000000}" name="p"/>
    <tableColumn id="9" xr3:uid="{00000000-0010-0000-0A00-000009000000}" name="pop size"/>
    <tableColumn id="11" xr3:uid="{00000000-0010-0000-0A00-00000B000000}" name="max_nr_pop"/>
    <tableColumn id="12" xr3:uid="{00000000-0010-0000-0A00-00000C000000}" name="E_model" dataDxfId="74"/>
    <tableColumn id="13" xr3:uid="{00000000-0010-0000-0A00-00000D000000}" name="lambda_12" dataDxfId="73"/>
    <tableColumn id="14" xr3:uid="{00000000-0010-0000-0A00-00000E000000}" name="lambda_23" dataDxfId="72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135891013" displayName="Table135891013" ref="A53:N58" totalsRowShown="0" headerRowDxfId="71">
  <autoFilter ref="A53:N58" xr:uid="{00000000-0009-0000-0100-00000C000000}"/>
  <tableColumns count="14">
    <tableColumn id="1" xr3:uid="{00000000-0010-0000-0B00-000001000000}" name="VMN_ad_mp" dataDxfId="70"/>
    <tableColumn id="2" xr3:uid="{00000000-0010-0000-0B00-000002000000}" name="V"/>
    <tableColumn id="4" xr3:uid="{00000000-0010-0000-0B00-000004000000}" name="Noise (sigma)"/>
    <tableColumn id="16" xr3:uid="{00000000-0010-0000-0B00-000010000000}" name="Inital Conc." dataDxfId="69"/>
    <tableColumn id="15" xr3:uid="{00000000-0010-0000-0B00-00000F000000}" name="Max Mass conc."/>
    <tableColumn id="5" xr3:uid="{00000000-0010-0000-0B00-000005000000}" name="E_estimate" dataDxfId="68"/>
    <tableColumn id="6" xr3:uid="{00000000-0010-0000-0B00-000006000000}" name="lambda_1" dataDxfId="67"/>
    <tableColumn id="7" xr3:uid="{00000000-0010-0000-0B00-000007000000}" name="lambda_2" dataDxfId="66"/>
    <tableColumn id="8" xr3:uid="{00000000-0010-0000-0B00-000008000000}" name="p"/>
    <tableColumn id="9" xr3:uid="{00000000-0010-0000-0B00-000009000000}" name="pop size"/>
    <tableColumn id="11" xr3:uid="{00000000-0010-0000-0B00-00000B000000}" name="max_nr_pop"/>
    <tableColumn id="12" xr3:uid="{00000000-0010-0000-0B00-00000C000000}" name="E_model" dataDxfId="65"/>
    <tableColumn id="13" xr3:uid="{00000000-0010-0000-0B00-00000D000000}" name="lambda_12" dataDxfId="64"/>
    <tableColumn id="14" xr3:uid="{00000000-0010-0000-0B00-00000E000000}" name="lambda_23" dataDxfId="63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135891014" displayName="Table135891014" ref="A65:N70" totalsRowShown="0" headerRowDxfId="62">
  <autoFilter ref="A65:N70" xr:uid="{00000000-0009-0000-0100-00000D000000}"/>
  <tableColumns count="14">
    <tableColumn id="1" xr3:uid="{00000000-0010-0000-0C00-000001000000}" name="VMN_ad_fm" dataDxfId="61"/>
    <tableColumn id="2" xr3:uid="{00000000-0010-0000-0C00-000002000000}" name="V"/>
    <tableColumn id="4" xr3:uid="{00000000-0010-0000-0C00-000004000000}" name="Noise (sigma)"/>
    <tableColumn id="16" xr3:uid="{00000000-0010-0000-0C00-000010000000}" name="Inital Conc." dataDxfId="60"/>
    <tableColumn id="15" xr3:uid="{00000000-0010-0000-0C00-00000F000000}" name="Max Mass conc."/>
    <tableColumn id="5" xr3:uid="{00000000-0010-0000-0C00-000005000000}" name="E_estimate" dataDxfId="59"/>
    <tableColumn id="6" xr3:uid="{00000000-0010-0000-0C00-000006000000}" name="lambda_1" dataDxfId="58"/>
    <tableColumn id="7" xr3:uid="{00000000-0010-0000-0C00-000007000000}" name="lambda_2" dataDxfId="57"/>
    <tableColumn id="8" xr3:uid="{00000000-0010-0000-0C00-000008000000}" name="p"/>
    <tableColumn id="9" xr3:uid="{00000000-0010-0000-0C00-000009000000}" name="pop size"/>
    <tableColumn id="11" xr3:uid="{00000000-0010-0000-0C00-00000B000000}" name="max_nr_pop"/>
    <tableColumn id="12" xr3:uid="{00000000-0010-0000-0C00-00000C000000}" name="E_model" dataDxfId="56"/>
    <tableColumn id="13" xr3:uid="{00000000-0010-0000-0C00-00000D000000}" name="lambda_12" dataDxfId="55"/>
    <tableColumn id="14" xr3:uid="{00000000-0010-0000-0C00-00000E000000}" name="lambda_23" dataDxfId="54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13589101415" displayName="Table13589101415" ref="A77:N82" totalsRowShown="0" headerRowDxfId="53">
  <autoFilter ref="A77:N82" xr:uid="{00000000-0009-0000-0100-00000E000000}"/>
  <tableColumns count="14">
    <tableColumn id="1" xr3:uid="{00000000-0010-0000-0D00-000001000000}" name="VMN_pd_mp" dataDxfId="52"/>
    <tableColumn id="2" xr3:uid="{00000000-0010-0000-0D00-000002000000}" name="V"/>
    <tableColumn id="4" xr3:uid="{00000000-0010-0000-0D00-000004000000}" name="Noise (sigma)"/>
    <tableColumn id="16" xr3:uid="{00000000-0010-0000-0D00-000010000000}" name="Inital Conc." dataDxfId="51"/>
    <tableColumn id="15" xr3:uid="{00000000-0010-0000-0D00-00000F000000}" name="Max Mass conc."/>
    <tableColumn id="5" xr3:uid="{00000000-0010-0000-0D00-000005000000}" name="E_estimate" dataDxfId="50"/>
    <tableColumn id="6" xr3:uid="{00000000-0010-0000-0D00-000006000000}" name="lambda_1" dataDxfId="49"/>
    <tableColumn id="7" xr3:uid="{00000000-0010-0000-0D00-000007000000}" name="lambda_2" dataDxfId="48"/>
    <tableColumn id="8" xr3:uid="{00000000-0010-0000-0D00-000008000000}" name="p"/>
    <tableColumn id="9" xr3:uid="{00000000-0010-0000-0D00-000009000000}" name="pop size"/>
    <tableColumn id="11" xr3:uid="{00000000-0010-0000-0D00-00000B000000}" name="max_nr_pop"/>
    <tableColumn id="12" xr3:uid="{00000000-0010-0000-0D00-00000C000000}" name="E_model" dataDxfId="47"/>
    <tableColumn id="13" xr3:uid="{00000000-0010-0000-0D00-00000D000000}" name="lambda_12" dataDxfId="46"/>
    <tableColumn id="14" xr3:uid="{00000000-0010-0000-0D00-00000E000000}" name="lambda_23" dataDxfId="45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13589101416" displayName="Table13589101416" ref="A89:N94" totalsRowShown="0" headerRowDxfId="44">
  <autoFilter ref="A89:N94" xr:uid="{00000000-0009-0000-0100-00000F000000}"/>
  <tableColumns count="14">
    <tableColumn id="1" xr3:uid="{00000000-0010-0000-0E00-000001000000}" name="VMN_pd_fm" dataDxfId="43"/>
    <tableColumn id="2" xr3:uid="{00000000-0010-0000-0E00-000002000000}" name="V"/>
    <tableColumn id="4" xr3:uid="{00000000-0010-0000-0E00-000004000000}" name="Noise (sigma)"/>
    <tableColumn id="16" xr3:uid="{00000000-0010-0000-0E00-000010000000}" name="Inital Conc." dataDxfId="42"/>
    <tableColumn id="15" xr3:uid="{00000000-0010-0000-0E00-00000F000000}" name="Max Mass conc."/>
    <tableColumn id="5" xr3:uid="{00000000-0010-0000-0E00-000005000000}" name="E_estimate" dataDxfId="41"/>
    <tableColumn id="6" xr3:uid="{00000000-0010-0000-0E00-000006000000}" name="lambda_1" dataDxfId="40"/>
    <tableColumn id="7" xr3:uid="{00000000-0010-0000-0E00-000007000000}" name="lambda_2" dataDxfId="39"/>
    <tableColumn id="8" xr3:uid="{00000000-0010-0000-0E00-000008000000}" name="p"/>
    <tableColumn id="9" xr3:uid="{00000000-0010-0000-0E00-000009000000}" name="pop size"/>
    <tableColumn id="11" xr3:uid="{00000000-0010-0000-0E00-00000B000000}" name="max_nr_pop"/>
    <tableColumn id="12" xr3:uid="{00000000-0010-0000-0E00-00000C000000}" name="E_model" dataDxfId="38"/>
    <tableColumn id="13" xr3:uid="{00000000-0010-0000-0E00-00000D000000}" name="lambda_12" dataDxfId="37"/>
    <tableColumn id="14" xr3:uid="{00000000-0010-0000-0E00-00000E000000}" name="lambda_23" dataDxfId="36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1358917" displayName="Table1358917" ref="B3:O10" totalsRowShown="0" headerRowDxfId="35">
  <autoFilter ref="B3:O10" xr:uid="{00000000-0009-0000-0100-000010000000}"/>
  <tableColumns count="14">
    <tableColumn id="1" xr3:uid="{00000000-0010-0000-0F00-000001000000}" name="Neb Scenario" dataDxfId="34"/>
    <tableColumn id="2" xr3:uid="{00000000-0010-0000-0F00-000002000000}" name="V"/>
    <tableColumn id="4" xr3:uid="{00000000-0010-0000-0F00-000004000000}" name="Noise (sigma)"/>
    <tableColumn id="16" xr3:uid="{00000000-0010-0000-0F00-000010000000}" name="Inital Conc." dataDxfId="33"/>
    <tableColumn id="15" xr3:uid="{00000000-0010-0000-0F00-00000F000000}" name="Max Mass conc."/>
    <tableColumn id="5" xr3:uid="{00000000-0010-0000-0F00-000005000000}" name="E_estimate" dataDxfId="32"/>
    <tableColumn id="6" xr3:uid="{00000000-0010-0000-0F00-000006000000}" name="lambda_1" dataDxfId="31"/>
    <tableColumn id="7" xr3:uid="{00000000-0010-0000-0F00-000007000000}" name="lambda_2" dataDxfId="30"/>
    <tableColumn id="8" xr3:uid="{00000000-0010-0000-0F00-000008000000}" name="p"/>
    <tableColumn id="9" xr3:uid="{00000000-0010-0000-0F00-000009000000}" name="pop size"/>
    <tableColumn id="11" xr3:uid="{00000000-0010-0000-0F00-00000B000000}" name="max_nr_pop"/>
    <tableColumn id="12" xr3:uid="{00000000-0010-0000-0F00-00000C000000}" name="E_model" dataDxfId="29"/>
    <tableColumn id="13" xr3:uid="{00000000-0010-0000-0F00-00000D000000}" name="lambda_12" dataDxfId="28"/>
    <tableColumn id="14" xr3:uid="{00000000-0010-0000-0F00-00000E000000}" name="lambda_23" dataDxfId="27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35891718" displayName="Table135891718" ref="B15:O22" totalsRowShown="0" headerRowDxfId="26">
  <autoFilter ref="B15:O22" xr:uid="{00000000-0009-0000-0100-000011000000}"/>
  <tableColumns count="14">
    <tableColumn id="1" xr3:uid="{00000000-0010-0000-1000-000001000000}" name="Neb Scenario" dataDxfId="25"/>
    <tableColumn id="2" xr3:uid="{00000000-0010-0000-1000-000002000000}" name="V"/>
    <tableColumn id="4" xr3:uid="{00000000-0010-0000-1000-000004000000}" name="Noise (sigma)"/>
    <tableColumn id="16" xr3:uid="{00000000-0010-0000-1000-000010000000}" name="Inital Conc." dataDxfId="24"/>
    <tableColumn id="15" xr3:uid="{00000000-0010-0000-1000-00000F000000}" name="Max Mass conc."/>
    <tableColumn id="5" xr3:uid="{00000000-0010-0000-1000-000005000000}" name="E_estimate" dataDxfId="23"/>
    <tableColumn id="6" xr3:uid="{00000000-0010-0000-1000-000006000000}" name="lambda_1" dataDxfId="22"/>
    <tableColumn id="7" xr3:uid="{00000000-0010-0000-1000-000007000000}" name="lambda_2" dataDxfId="21"/>
    <tableColumn id="8" xr3:uid="{00000000-0010-0000-1000-000008000000}" name="p"/>
    <tableColumn id="9" xr3:uid="{00000000-0010-0000-1000-000009000000}" name="pop size"/>
    <tableColumn id="11" xr3:uid="{00000000-0010-0000-1000-00000B000000}" name="max_nr_pop"/>
    <tableColumn id="12" xr3:uid="{00000000-0010-0000-1000-00000C000000}" name="E_model" dataDxfId="20"/>
    <tableColumn id="13" xr3:uid="{00000000-0010-0000-1000-00000D000000}" name="lambda_12" dataDxfId="19"/>
    <tableColumn id="14" xr3:uid="{00000000-0010-0000-1000-00000E000000}" name="lambda_23" dataDxfId="18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13589171819" displayName="Table13589171819" ref="B27:O34" totalsRowShown="0" headerRowDxfId="17">
  <autoFilter ref="B27:O34" xr:uid="{00000000-0009-0000-0100-000012000000}"/>
  <tableColumns count="14">
    <tableColumn id="1" xr3:uid="{00000000-0010-0000-1100-000001000000}" name="Neb Scenario" dataDxfId="16"/>
    <tableColumn id="2" xr3:uid="{00000000-0010-0000-1100-000002000000}" name="V"/>
    <tableColumn id="4" xr3:uid="{00000000-0010-0000-1100-000004000000}" name="Noise (sigma)"/>
    <tableColumn id="16" xr3:uid="{00000000-0010-0000-1100-000010000000}" name="Inital Conc." dataDxfId="15"/>
    <tableColumn id="15" xr3:uid="{00000000-0010-0000-1100-00000F000000}" name="Max Mass conc."/>
    <tableColumn id="5" xr3:uid="{00000000-0010-0000-1100-000005000000}" name="E_estimate" dataDxfId="14"/>
    <tableColumn id="6" xr3:uid="{00000000-0010-0000-1100-000006000000}" name="lambda_1" dataDxfId="13"/>
    <tableColumn id="7" xr3:uid="{00000000-0010-0000-1100-000007000000}" name="lambda_2" dataDxfId="12"/>
    <tableColumn id="8" xr3:uid="{00000000-0010-0000-1100-000008000000}" name="p"/>
    <tableColumn id="9" xr3:uid="{00000000-0010-0000-1100-000009000000}" name="pop size"/>
    <tableColumn id="11" xr3:uid="{00000000-0010-0000-1100-00000B000000}" name="max_nr_pop"/>
    <tableColumn id="12" xr3:uid="{00000000-0010-0000-1100-00000C000000}" name="E_model" dataDxfId="11"/>
    <tableColumn id="13" xr3:uid="{00000000-0010-0000-1100-00000D000000}" name="lambda_12" dataDxfId="10"/>
    <tableColumn id="14" xr3:uid="{00000000-0010-0000-1100-00000E000000}" name="lambda_23" dataDxfId="9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1358917181920" displayName="Table1358917181920" ref="B40:O47" totalsRowShown="0" headerRowDxfId="8">
  <autoFilter ref="B40:O47" xr:uid="{00000000-0009-0000-0100-000013000000}"/>
  <tableColumns count="14">
    <tableColumn id="1" xr3:uid="{00000000-0010-0000-1200-000001000000}" name="Neb Scenario" dataDxfId="7"/>
    <tableColumn id="2" xr3:uid="{00000000-0010-0000-1200-000002000000}" name="V"/>
    <tableColumn id="4" xr3:uid="{00000000-0010-0000-1200-000004000000}" name="Noise (sigma)"/>
    <tableColumn id="16" xr3:uid="{00000000-0010-0000-1200-000010000000}" name="Inital Conc." dataDxfId="6"/>
    <tableColumn id="15" xr3:uid="{00000000-0010-0000-1200-00000F000000}" name="Max Mass conc."/>
    <tableColumn id="5" xr3:uid="{00000000-0010-0000-1200-000005000000}" name="E_estimate" dataDxfId="5"/>
    <tableColumn id="6" xr3:uid="{00000000-0010-0000-1200-000006000000}" name="lambda_1" dataDxfId="4"/>
    <tableColumn id="7" xr3:uid="{00000000-0010-0000-1200-000007000000}" name="lambda_2" dataDxfId="3"/>
    <tableColumn id="8" xr3:uid="{00000000-0010-0000-1200-000008000000}" name="p"/>
    <tableColumn id="9" xr3:uid="{00000000-0010-0000-1200-000009000000}" name="pop size"/>
    <tableColumn id="11" xr3:uid="{00000000-0010-0000-1200-00000B000000}" name="max_nr_pop"/>
    <tableColumn id="12" xr3:uid="{00000000-0010-0000-1200-00000C000000}" name="E_model" dataDxfId="2"/>
    <tableColumn id="13" xr3:uid="{00000000-0010-0000-1200-00000D000000}" name="lambda_12" dataDxfId="1"/>
    <tableColumn id="14" xr3:uid="{00000000-0010-0000-1200-00000E000000}" name="lambda_23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10" Type="http://schemas.openxmlformats.org/officeDocument/2006/relationships/table" Target="../tables/table15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Relationship Id="rId4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S10"/>
  <sheetViews>
    <sheetView workbookViewId="0">
      <selection activeCell="C3" sqref="C3:S10"/>
    </sheetView>
  </sheetViews>
  <sheetFormatPr baseColWidth="10" defaultColWidth="8.83203125" defaultRowHeight="15" x14ac:dyDescent="0.2"/>
  <cols>
    <col min="3" max="3" width="12.5" bestFit="1" customWidth="1"/>
    <col min="4" max="4" width="6" bestFit="1" customWidth="1"/>
    <col min="5" max="5" width="9.6640625" customWidth="1"/>
    <col min="6" max="6" width="15.33203125" customWidth="1"/>
    <col min="7" max="8" width="13" customWidth="1"/>
    <col min="9" max="9" width="11.33203125" customWidth="1"/>
    <col min="10" max="10" width="9.33203125" customWidth="1"/>
    <col min="11" max="11" width="4.5" bestFit="1" customWidth="1"/>
    <col min="12" max="12" width="10.5" bestFit="1" customWidth="1"/>
    <col min="13" max="13" width="7.5" customWidth="1"/>
    <col min="14" max="14" width="8.5" customWidth="1"/>
    <col min="15" max="15" width="10.83203125" customWidth="1"/>
    <col min="16" max="16" width="16.5" customWidth="1"/>
  </cols>
  <sheetData>
    <row r="2" spans="3:19" x14ac:dyDescent="0.2">
      <c r="R2" s="8" t="s">
        <v>30</v>
      </c>
      <c r="S2" s="8" t="s">
        <v>31</v>
      </c>
    </row>
    <row r="3" spans="3:19" x14ac:dyDescent="0.2">
      <c r="C3" t="s">
        <v>19</v>
      </c>
      <c r="D3" s="1" t="s">
        <v>6</v>
      </c>
      <c r="E3" s="1" t="s">
        <v>7</v>
      </c>
      <c r="F3" s="1" t="s">
        <v>8</v>
      </c>
      <c r="G3" s="1" t="s">
        <v>21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t="s">
        <v>28</v>
      </c>
      <c r="S3" t="s">
        <v>29</v>
      </c>
    </row>
    <row r="4" spans="3:19" x14ac:dyDescent="0.2">
      <c r="C4" s="2" t="s">
        <v>0</v>
      </c>
      <c r="D4">
        <v>44.34</v>
      </c>
      <c r="E4">
        <v>6</v>
      </c>
      <c r="F4">
        <v>0.01</v>
      </c>
      <c r="G4">
        <v>0.4</v>
      </c>
      <c r="H4" s="6">
        <v>80</v>
      </c>
      <c r="I4" s="6">
        <v>0.25</v>
      </c>
      <c r="J4" s="6">
        <v>1.2</v>
      </c>
      <c r="K4">
        <v>1</v>
      </c>
      <c r="L4">
        <v>1000</v>
      </c>
      <c r="M4">
        <v>0.3</v>
      </c>
      <c r="N4">
        <v>15</v>
      </c>
      <c r="O4" s="7">
        <v>43.510133333333329</v>
      </c>
      <c r="P4" s="7">
        <v>0.25653333333333334</v>
      </c>
      <c r="Q4" s="7">
        <v>1.2435333333333332</v>
      </c>
      <c r="R4">
        <v>1.3745000000000001</v>
      </c>
      <c r="S4">
        <v>-0.13619999999999999</v>
      </c>
    </row>
    <row r="5" spans="3:19" x14ac:dyDescent="0.2">
      <c r="C5" s="2" t="s">
        <v>1</v>
      </c>
      <c r="D5">
        <v>44.34</v>
      </c>
      <c r="E5">
        <v>6</v>
      </c>
      <c r="F5">
        <v>0.01</v>
      </c>
      <c r="G5">
        <v>0.6</v>
      </c>
      <c r="H5" s="6">
        <v>100</v>
      </c>
      <c r="I5" s="6">
        <v>0.35</v>
      </c>
      <c r="J5" s="6">
        <v>1.1739999999999999</v>
      </c>
      <c r="K5">
        <v>1</v>
      </c>
      <c r="L5">
        <v>1000</v>
      </c>
      <c r="M5">
        <v>0.3</v>
      </c>
      <c r="N5">
        <v>15</v>
      </c>
      <c r="O5" s="7">
        <v>6.6783999999999999</v>
      </c>
      <c r="P5" s="7">
        <v>0.34806666666666669</v>
      </c>
      <c r="Q5" s="7">
        <v>1.0939333333333332</v>
      </c>
      <c r="R5">
        <v>1.1913</v>
      </c>
      <c r="S5">
        <v>-0.11700000000000001</v>
      </c>
    </row>
    <row r="6" spans="3:19" x14ac:dyDescent="0.2">
      <c r="C6" s="2" t="s">
        <v>2</v>
      </c>
      <c r="D6">
        <v>44.34</v>
      </c>
      <c r="E6">
        <v>6</v>
      </c>
      <c r="F6">
        <v>0.01</v>
      </c>
      <c r="G6">
        <v>0.3</v>
      </c>
      <c r="H6" s="6">
        <v>1.74</v>
      </c>
      <c r="I6" s="6">
        <v>0.3</v>
      </c>
      <c r="J6" s="6">
        <v>0.84</v>
      </c>
      <c r="K6">
        <v>1</v>
      </c>
      <c r="L6">
        <v>1000</v>
      </c>
      <c r="M6">
        <v>0.3</v>
      </c>
      <c r="N6">
        <v>15</v>
      </c>
      <c r="O6" s="7">
        <v>1.7363333333333335</v>
      </c>
      <c r="P6" s="7">
        <v>0.30426666666666663</v>
      </c>
      <c r="Q6" s="7">
        <v>0.84433333333333316</v>
      </c>
      <c r="R6">
        <v>1.5528999999999999</v>
      </c>
      <c r="S6">
        <v>-0.10929999999999999</v>
      </c>
    </row>
    <row r="7" spans="3:19" x14ac:dyDescent="0.2">
      <c r="C7" s="2" t="s">
        <v>3</v>
      </c>
      <c r="D7">
        <v>44.34</v>
      </c>
      <c r="E7">
        <v>6</v>
      </c>
      <c r="F7">
        <v>1E-3</v>
      </c>
      <c r="G7">
        <v>0.04</v>
      </c>
      <c r="H7" s="6">
        <v>3.7444999999999999</v>
      </c>
      <c r="I7" s="6">
        <v>2.98E-2</v>
      </c>
      <c r="J7" s="6">
        <v>1.1516</v>
      </c>
      <c r="K7">
        <v>1</v>
      </c>
      <c r="L7">
        <v>1000</v>
      </c>
      <c r="M7">
        <v>0.3</v>
      </c>
      <c r="N7">
        <v>15</v>
      </c>
      <c r="O7" s="7">
        <v>1.9585333333333332</v>
      </c>
      <c r="P7" s="7">
        <v>2.9933333333333347E-2</v>
      </c>
      <c r="Q7" s="7">
        <v>1.1718666666666666</v>
      </c>
      <c r="R7">
        <v>0.66120000000000001</v>
      </c>
      <c r="S7">
        <v>-0.13569999999999999</v>
      </c>
    </row>
    <row r="8" spans="3:19" x14ac:dyDescent="0.2">
      <c r="C8" s="2" t="s">
        <v>4</v>
      </c>
      <c r="D8">
        <v>44.34</v>
      </c>
      <c r="E8">
        <v>6</v>
      </c>
      <c r="F8">
        <v>1E-3</v>
      </c>
      <c r="G8">
        <v>0.09</v>
      </c>
      <c r="H8" s="6">
        <v>5</v>
      </c>
      <c r="I8" s="6">
        <v>0.08</v>
      </c>
      <c r="J8" s="6">
        <v>1.45</v>
      </c>
      <c r="K8">
        <v>1</v>
      </c>
      <c r="L8">
        <v>1000</v>
      </c>
      <c r="M8">
        <v>0.3</v>
      </c>
      <c r="N8">
        <v>15</v>
      </c>
      <c r="O8" s="7">
        <v>2.0492666666666666</v>
      </c>
      <c r="P8" s="7">
        <v>7.4666666666666659E-2</v>
      </c>
      <c r="Q8" s="7">
        <v>1.1534</v>
      </c>
      <c r="R8">
        <v>1.1597</v>
      </c>
      <c r="S8">
        <v>-0.14299999999999999</v>
      </c>
    </row>
    <row r="9" spans="3:19" x14ac:dyDescent="0.2">
      <c r="C9" s="2" t="s">
        <v>5</v>
      </c>
      <c r="D9">
        <v>44.34</v>
      </c>
      <c r="E9">
        <v>6</v>
      </c>
      <c r="F9">
        <v>1E-3</v>
      </c>
      <c r="G9">
        <v>0.05</v>
      </c>
      <c r="H9" s="6">
        <v>1.7822</v>
      </c>
      <c r="I9" s="6">
        <v>4.0730000000000002E-2</v>
      </c>
      <c r="J9" s="6">
        <v>0.90380000000000005</v>
      </c>
      <c r="K9">
        <v>1</v>
      </c>
      <c r="L9">
        <v>1000</v>
      </c>
      <c r="M9">
        <v>0.3</v>
      </c>
      <c r="N9">
        <v>15</v>
      </c>
      <c r="O9" s="7">
        <v>1.4690666666666667</v>
      </c>
      <c r="P9" s="7">
        <v>4.0666666666666663E-2</v>
      </c>
      <c r="Q9" s="7">
        <v>0.9080666666666668</v>
      </c>
      <c r="R9">
        <v>0.6915</v>
      </c>
      <c r="S9">
        <v>-0.1103</v>
      </c>
    </row>
    <row r="10" spans="3:19" x14ac:dyDescent="0.2">
      <c r="C10" s="3" t="s">
        <v>20</v>
      </c>
      <c r="D10">
        <v>44.34</v>
      </c>
      <c r="E10">
        <v>6</v>
      </c>
      <c r="F10">
        <v>1E-3</v>
      </c>
      <c r="G10">
        <v>0.06</v>
      </c>
      <c r="H10" s="6">
        <v>1.83</v>
      </c>
      <c r="I10" s="6">
        <v>6.25E-2</v>
      </c>
      <c r="J10" s="6">
        <v>0.55900000000000005</v>
      </c>
      <c r="K10">
        <v>1</v>
      </c>
      <c r="L10">
        <v>1000</v>
      </c>
      <c r="M10">
        <v>0.3</v>
      </c>
      <c r="N10">
        <v>15</v>
      </c>
      <c r="O10" s="7">
        <v>1.8328000000000002</v>
      </c>
      <c r="P10" s="7">
        <v>5.8866666666666664E-2</v>
      </c>
      <c r="Q10" s="7">
        <v>0.49773333333333331</v>
      </c>
      <c r="R10">
        <v>1.3665</v>
      </c>
      <c r="S10">
        <v>-8.0399999999999999E-2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G132"/>
  <sheetViews>
    <sheetView topLeftCell="A97" workbookViewId="0">
      <selection activeCell="D132" sqref="D132:F132"/>
    </sheetView>
  </sheetViews>
  <sheetFormatPr baseColWidth="10" defaultColWidth="8.83203125" defaultRowHeight="15" x14ac:dyDescent="0.2"/>
  <sheetData>
    <row r="1" spans="3:7" x14ac:dyDescent="0.2"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3:7" x14ac:dyDescent="0.2">
      <c r="C2" s="4">
        <v>0</v>
      </c>
      <c r="D2" s="5">
        <v>39.899000000000001</v>
      </c>
      <c r="E2" s="5">
        <v>0.25800000000000001</v>
      </c>
      <c r="F2" s="5">
        <v>1.258</v>
      </c>
      <c r="G2" s="5">
        <v>1E-3</v>
      </c>
    </row>
    <row r="3" spans="3:7" x14ac:dyDescent="0.2">
      <c r="C3" s="4">
        <v>1</v>
      </c>
      <c r="D3" s="5">
        <v>39.143000000000001</v>
      </c>
      <c r="E3" s="5">
        <v>0.25800000000000001</v>
      </c>
      <c r="F3" s="5">
        <v>1.26</v>
      </c>
      <c r="G3" s="5">
        <v>1E-3</v>
      </c>
    </row>
    <row r="4" spans="3:7" x14ac:dyDescent="0.2">
      <c r="C4" s="4">
        <v>2</v>
      </c>
      <c r="D4" s="5">
        <v>40.168999999999997</v>
      </c>
      <c r="E4" s="5">
        <v>0.25700000000000001</v>
      </c>
      <c r="F4" s="5">
        <v>1.266</v>
      </c>
      <c r="G4" s="5">
        <v>1E-3</v>
      </c>
    </row>
    <row r="5" spans="3:7" x14ac:dyDescent="0.2">
      <c r="C5" s="4">
        <v>3</v>
      </c>
      <c r="D5" s="5">
        <v>39.308</v>
      </c>
      <c r="E5" s="5">
        <v>0.26</v>
      </c>
      <c r="F5" s="5">
        <v>1.2909999999999999</v>
      </c>
      <c r="G5" s="5">
        <v>1E-3</v>
      </c>
    </row>
    <row r="6" spans="3:7" x14ac:dyDescent="0.2">
      <c r="C6" s="4">
        <v>4</v>
      </c>
      <c r="D6" s="5">
        <v>49.582999999999998</v>
      </c>
      <c r="E6" s="5">
        <v>0.25600000000000001</v>
      </c>
      <c r="F6" s="5">
        <v>1.234</v>
      </c>
      <c r="G6" s="5">
        <v>1E-3</v>
      </c>
    </row>
    <row r="7" spans="3:7" x14ac:dyDescent="0.2">
      <c r="C7" s="4">
        <v>5</v>
      </c>
      <c r="D7" s="5">
        <v>50.524000000000001</v>
      </c>
      <c r="E7" s="5">
        <v>0.254</v>
      </c>
      <c r="F7" s="5">
        <v>1.2270000000000001</v>
      </c>
      <c r="G7" s="5">
        <v>1E-3</v>
      </c>
    </row>
    <row r="8" spans="3:7" x14ac:dyDescent="0.2">
      <c r="C8" s="4">
        <v>6</v>
      </c>
      <c r="D8" s="5">
        <v>40.179000000000002</v>
      </c>
      <c r="E8" s="5">
        <v>0.25700000000000001</v>
      </c>
      <c r="F8" s="5">
        <v>1.23</v>
      </c>
      <c r="G8" s="5">
        <v>1E-3</v>
      </c>
    </row>
    <row r="9" spans="3:7" x14ac:dyDescent="0.2">
      <c r="C9" s="4">
        <v>7</v>
      </c>
      <c r="D9" s="5">
        <v>50.456000000000003</v>
      </c>
      <c r="E9" s="5">
        <v>0.25700000000000001</v>
      </c>
      <c r="F9" s="5">
        <v>1.256</v>
      </c>
      <c r="G9" s="5">
        <v>1E-3</v>
      </c>
    </row>
    <row r="10" spans="3:7" x14ac:dyDescent="0.2">
      <c r="C10" s="4">
        <v>8</v>
      </c>
      <c r="D10" s="5">
        <v>39.892000000000003</v>
      </c>
      <c r="E10" s="5">
        <v>0.25600000000000001</v>
      </c>
      <c r="F10" s="5">
        <v>1.218</v>
      </c>
      <c r="G10" s="5">
        <v>1E-3</v>
      </c>
    </row>
    <row r="11" spans="3:7" x14ac:dyDescent="0.2">
      <c r="C11" s="4">
        <v>9</v>
      </c>
      <c r="D11" s="5">
        <v>50.442999999999998</v>
      </c>
      <c r="E11" s="5">
        <v>0.253</v>
      </c>
      <c r="F11" s="5">
        <v>1.196</v>
      </c>
      <c r="G11" s="5">
        <v>1E-3</v>
      </c>
    </row>
    <row r="12" spans="3:7" x14ac:dyDescent="0.2">
      <c r="C12" s="4">
        <v>10</v>
      </c>
      <c r="D12" s="5">
        <v>39.405000000000001</v>
      </c>
      <c r="E12" s="5">
        <v>0.255</v>
      </c>
      <c r="F12" s="5">
        <v>1.2210000000000001</v>
      </c>
      <c r="G12" s="5">
        <v>1E-3</v>
      </c>
    </row>
    <row r="13" spans="3:7" x14ac:dyDescent="0.2">
      <c r="C13" s="4">
        <v>11</v>
      </c>
      <c r="D13" s="5">
        <v>50.564999999999998</v>
      </c>
      <c r="E13" s="5">
        <v>0.253</v>
      </c>
      <c r="F13" s="5">
        <v>1.1919999999999999</v>
      </c>
      <c r="G13" s="5">
        <v>1E-3</v>
      </c>
    </row>
    <row r="14" spans="3:7" x14ac:dyDescent="0.2">
      <c r="C14" s="4">
        <v>12</v>
      </c>
      <c r="D14" s="5">
        <v>41.256999999999998</v>
      </c>
      <c r="E14" s="5">
        <v>0.255</v>
      </c>
      <c r="F14" s="5">
        <v>1.2130000000000001</v>
      </c>
      <c r="G14" s="5">
        <v>1E-3</v>
      </c>
    </row>
    <row r="15" spans="3:7" x14ac:dyDescent="0.2">
      <c r="C15" s="4">
        <v>13</v>
      </c>
      <c r="D15" s="5">
        <v>40.933999999999997</v>
      </c>
      <c r="E15" s="5">
        <v>0.26100000000000001</v>
      </c>
      <c r="F15" s="5">
        <v>1.2929999999999999</v>
      </c>
      <c r="G15" s="5">
        <v>1E-3</v>
      </c>
    </row>
    <row r="16" spans="3:7" x14ac:dyDescent="0.2">
      <c r="C16" s="4">
        <v>14</v>
      </c>
      <c r="D16" s="5">
        <v>40.895000000000003</v>
      </c>
      <c r="E16" s="5">
        <v>0.25800000000000001</v>
      </c>
      <c r="F16" s="5">
        <v>1.298</v>
      </c>
      <c r="G16" s="5">
        <v>1E-3</v>
      </c>
    </row>
    <row r="18" spans="3:7" x14ac:dyDescent="0.2">
      <c r="C18" t="s">
        <v>27</v>
      </c>
      <c r="D18">
        <f>AVERAGE(D2:D16)</f>
        <v>43.510133333333329</v>
      </c>
      <c r="E18">
        <f t="shared" ref="E18:G18" si="0">AVERAGE(E2:E16)</f>
        <v>0.25653333333333334</v>
      </c>
      <c r="F18">
        <f t="shared" si="0"/>
        <v>1.2435333333333332</v>
      </c>
      <c r="G18">
        <f t="shared" si="0"/>
        <v>1.0000000000000005E-3</v>
      </c>
    </row>
    <row r="20" spans="3:7" x14ac:dyDescent="0.2">
      <c r="C20" s="4" t="s">
        <v>22</v>
      </c>
      <c r="D20" s="4" t="s">
        <v>23</v>
      </c>
      <c r="E20" s="4" t="s">
        <v>24</v>
      </c>
      <c r="F20" s="4" t="s">
        <v>25</v>
      </c>
      <c r="G20" s="4" t="s">
        <v>26</v>
      </c>
    </row>
    <row r="21" spans="3:7" x14ac:dyDescent="0.2">
      <c r="C21" s="4">
        <v>0</v>
      </c>
      <c r="D21" s="5">
        <v>6.8319999999999999</v>
      </c>
      <c r="E21" s="5">
        <v>0.34799999999999998</v>
      </c>
      <c r="F21" s="5">
        <v>1.099</v>
      </c>
      <c r="G21" s="5">
        <v>1E-3</v>
      </c>
    </row>
    <row r="22" spans="3:7" x14ac:dyDescent="0.2">
      <c r="C22" s="4">
        <v>1</v>
      </c>
      <c r="D22" s="5">
        <v>6.7380000000000004</v>
      </c>
      <c r="E22" s="5">
        <v>0.34799999999999998</v>
      </c>
      <c r="F22" s="5">
        <v>1.101</v>
      </c>
      <c r="G22" s="5">
        <v>1E-3</v>
      </c>
    </row>
    <row r="23" spans="3:7" x14ac:dyDescent="0.2">
      <c r="C23" s="4">
        <v>2</v>
      </c>
      <c r="D23" s="5">
        <v>6.4569999999999999</v>
      </c>
      <c r="E23" s="5">
        <v>0.34799999999999998</v>
      </c>
      <c r="F23" s="5">
        <v>1.095</v>
      </c>
      <c r="G23" s="5">
        <v>1E-3</v>
      </c>
    </row>
    <row r="24" spans="3:7" x14ac:dyDescent="0.2">
      <c r="C24" s="4">
        <v>3</v>
      </c>
      <c r="D24" s="5">
        <v>6.7930000000000001</v>
      </c>
      <c r="E24" s="5">
        <v>0.34899999999999998</v>
      </c>
      <c r="F24" s="5">
        <v>1.103</v>
      </c>
      <c r="G24" s="5">
        <v>1E-3</v>
      </c>
    </row>
    <row r="25" spans="3:7" x14ac:dyDescent="0.2">
      <c r="C25" s="4">
        <v>4</v>
      </c>
      <c r="D25" s="5">
        <v>6.673</v>
      </c>
      <c r="E25" s="5">
        <v>0.34599999999999997</v>
      </c>
      <c r="F25" s="5">
        <v>1.077</v>
      </c>
      <c r="G25" s="5">
        <v>1E-3</v>
      </c>
    </row>
    <row r="26" spans="3:7" x14ac:dyDescent="0.2">
      <c r="C26" s="4">
        <v>5</v>
      </c>
      <c r="D26" s="5">
        <v>6.492</v>
      </c>
      <c r="E26" s="5">
        <v>0.35</v>
      </c>
      <c r="F26" s="5">
        <v>1.1259999999999999</v>
      </c>
      <c r="G26" s="5">
        <v>1E-3</v>
      </c>
    </row>
    <row r="27" spans="3:7" x14ac:dyDescent="0.2">
      <c r="C27" s="4">
        <v>6</v>
      </c>
      <c r="D27" s="5">
        <v>6.4720000000000004</v>
      </c>
      <c r="E27" s="5">
        <v>0.34599999999999997</v>
      </c>
      <c r="F27" s="5">
        <v>1.087</v>
      </c>
      <c r="G27" s="5">
        <v>1E-3</v>
      </c>
    </row>
    <row r="28" spans="3:7" x14ac:dyDescent="0.2">
      <c r="C28" s="4">
        <v>7</v>
      </c>
      <c r="D28" s="5">
        <v>6.5129999999999999</v>
      </c>
      <c r="E28" s="5">
        <v>0.34599999999999997</v>
      </c>
      <c r="F28" s="5">
        <v>1.0680000000000001</v>
      </c>
      <c r="G28" s="5">
        <v>1E-3</v>
      </c>
    </row>
    <row r="29" spans="3:7" x14ac:dyDescent="0.2">
      <c r="C29" s="4">
        <v>8</v>
      </c>
      <c r="D29" s="5">
        <v>6.57</v>
      </c>
      <c r="E29" s="5">
        <v>0.35</v>
      </c>
      <c r="F29" s="5">
        <v>1.1100000000000001</v>
      </c>
      <c r="G29" s="5">
        <v>1E-3</v>
      </c>
    </row>
    <row r="30" spans="3:7" x14ac:dyDescent="0.2">
      <c r="C30" s="4">
        <v>9</v>
      </c>
      <c r="D30" s="5">
        <v>7.016</v>
      </c>
      <c r="E30" s="5">
        <v>0.34699999999999998</v>
      </c>
      <c r="F30" s="5">
        <v>1.093</v>
      </c>
      <c r="G30" s="5">
        <v>1E-3</v>
      </c>
    </row>
    <row r="31" spans="3:7" x14ac:dyDescent="0.2">
      <c r="C31" s="4">
        <v>10</v>
      </c>
      <c r="D31" s="5">
        <v>6.6470000000000002</v>
      </c>
      <c r="E31" s="5">
        <v>0.34599999999999997</v>
      </c>
      <c r="F31" s="5">
        <v>1.0629999999999999</v>
      </c>
      <c r="G31" s="5">
        <v>1E-3</v>
      </c>
    </row>
    <row r="32" spans="3:7" x14ac:dyDescent="0.2">
      <c r="C32" s="4">
        <v>11</v>
      </c>
      <c r="D32" s="5">
        <v>7.101</v>
      </c>
      <c r="E32" s="5">
        <v>0.34799999999999998</v>
      </c>
      <c r="F32" s="5">
        <v>1.087</v>
      </c>
      <c r="G32" s="5">
        <v>1E-3</v>
      </c>
    </row>
    <row r="33" spans="3:7" x14ac:dyDescent="0.2">
      <c r="C33" s="4">
        <v>12</v>
      </c>
      <c r="D33" s="5">
        <v>6.774</v>
      </c>
      <c r="E33" s="5">
        <v>0.34799999999999998</v>
      </c>
      <c r="F33" s="5">
        <v>1.0840000000000001</v>
      </c>
      <c r="G33" s="5">
        <v>1E-3</v>
      </c>
    </row>
    <row r="34" spans="3:7" x14ac:dyDescent="0.2">
      <c r="C34" s="4">
        <v>13</v>
      </c>
      <c r="D34" s="5">
        <v>6.46</v>
      </c>
      <c r="E34" s="5">
        <v>0.35099999999999998</v>
      </c>
      <c r="F34" s="5">
        <v>1.1160000000000001</v>
      </c>
      <c r="G34" s="5">
        <v>1E-3</v>
      </c>
    </row>
    <row r="35" spans="3:7" x14ac:dyDescent="0.2">
      <c r="C35" s="4">
        <v>14</v>
      </c>
      <c r="D35" s="5">
        <v>6.6379999999999999</v>
      </c>
      <c r="E35" s="5">
        <v>0.35</v>
      </c>
      <c r="F35" s="5">
        <v>1.1000000000000001</v>
      </c>
      <c r="G35" s="5">
        <v>1E-3</v>
      </c>
    </row>
    <row r="37" spans="3:7" x14ac:dyDescent="0.2">
      <c r="C37" t="s">
        <v>27</v>
      </c>
      <c r="D37">
        <f>AVERAGE(D21:D35)</f>
        <v>6.6783999999999999</v>
      </c>
      <c r="E37">
        <f t="shared" ref="E37:G37" si="1">AVERAGE(E21:E35)</f>
        <v>0.34806666666666669</v>
      </c>
      <c r="F37">
        <f t="shared" si="1"/>
        <v>1.0939333333333332</v>
      </c>
      <c r="G37">
        <f t="shared" si="1"/>
        <v>1.0000000000000005E-3</v>
      </c>
    </row>
    <row r="39" spans="3:7" x14ac:dyDescent="0.2">
      <c r="C39" s="4" t="s">
        <v>22</v>
      </c>
      <c r="D39" s="4" t="s">
        <v>23</v>
      </c>
      <c r="E39" s="4" t="s">
        <v>24</v>
      </c>
      <c r="F39" s="4" t="s">
        <v>25</v>
      </c>
      <c r="G39" s="4" t="s">
        <v>26</v>
      </c>
    </row>
    <row r="40" spans="3:7" x14ac:dyDescent="0.2">
      <c r="C40" s="4">
        <v>0</v>
      </c>
      <c r="D40" s="5">
        <v>1.7809999999999999</v>
      </c>
      <c r="E40" s="5">
        <v>0.30099999999999999</v>
      </c>
      <c r="F40" s="5">
        <v>0.80300000000000005</v>
      </c>
      <c r="G40" s="5">
        <v>1E-3</v>
      </c>
    </row>
    <row r="41" spans="3:7" x14ac:dyDescent="0.2">
      <c r="C41" s="4">
        <v>1</v>
      </c>
      <c r="D41" s="5">
        <v>1.6679999999999999</v>
      </c>
      <c r="E41" s="5">
        <v>0.30199999999999999</v>
      </c>
      <c r="F41" s="5">
        <v>0.80900000000000005</v>
      </c>
      <c r="G41" s="5">
        <v>1E-3</v>
      </c>
    </row>
    <row r="42" spans="3:7" x14ac:dyDescent="0.2">
      <c r="C42" s="4">
        <v>2</v>
      </c>
      <c r="D42" s="5">
        <v>1.929</v>
      </c>
      <c r="E42" s="5">
        <v>0.30399999999999999</v>
      </c>
      <c r="F42" s="5">
        <v>0.82399999999999995</v>
      </c>
      <c r="G42" s="5">
        <v>1E-3</v>
      </c>
    </row>
    <row r="43" spans="3:7" x14ac:dyDescent="0.2">
      <c r="C43" s="4">
        <v>3</v>
      </c>
      <c r="D43" s="5">
        <v>1.8580000000000001</v>
      </c>
      <c r="E43" s="5">
        <v>0.30599999999999999</v>
      </c>
      <c r="F43" s="5">
        <v>0.83699999999999997</v>
      </c>
      <c r="G43" s="5">
        <v>1E-3</v>
      </c>
    </row>
    <row r="44" spans="3:7" x14ac:dyDescent="0.2">
      <c r="C44" s="4">
        <v>4</v>
      </c>
      <c r="D44" s="5">
        <v>1.5</v>
      </c>
      <c r="E44" s="5">
        <v>0.30499999999999999</v>
      </c>
      <c r="F44" s="5">
        <v>0.86399999999999999</v>
      </c>
      <c r="G44" s="5">
        <v>1E-3</v>
      </c>
    </row>
    <row r="45" spans="3:7" x14ac:dyDescent="0.2">
      <c r="C45" s="4">
        <v>5</v>
      </c>
      <c r="D45" s="5">
        <v>1.4810000000000001</v>
      </c>
      <c r="E45" s="5">
        <v>0.30599999999999999</v>
      </c>
      <c r="F45" s="5">
        <v>0.85</v>
      </c>
      <c r="G45" s="5">
        <v>1E-3</v>
      </c>
    </row>
    <row r="46" spans="3:7" x14ac:dyDescent="0.2">
      <c r="C46" s="4">
        <v>6</v>
      </c>
      <c r="D46" s="5">
        <v>1.84</v>
      </c>
      <c r="E46" s="5">
        <v>0.30399999999999999</v>
      </c>
      <c r="F46" s="5">
        <v>0.86099999999999999</v>
      </c>
      <c r="G46" s="5">
        <v>1E-3</v>
      </c>
    </row>
    <row r="47" spans="3:7" x14ac:dyDescent="0.2">
      <c r="C47" s="4">
        <v>7</v>
      </c>
      <c r="D47" s="5">
        <v>1.7969999999999999</v>
      </c>
      <c r="E47" s="5">
        <v>0.30399999999999999</v>
      </c>
      <c r="F47" s="5">
        <v>0.81499999999999995</v>
      </c>
      <c r="G47" s="5">
        <v>1E-3</v>
      </c>
    </row>
    <row r="48" spans="3:7" x14ac:dyDescent="0.2">
      <c r="C48" s="4">
        <v>8</v>
      </c>
      <c r="D48" s="5">
        <v>1.4790000000000001</v>
      </c>
      <c r="E48" s="5">
        <v>0.30399999999999999</v>
      </c>
      <c r="F48" s="5">
        <v>0.83099999999999996</v>
      </c>
      <c r="G48" s="5">
        <v>1E-3</v>
      </c>
    </row>
    <row r="49" spans="3:7" x14ac:dyDescent="0.2">
      <c r="C49" s="4">
        <v>9</v>
      </c>
      <c r="D49" s="5">
        <v>1.901</v>
      </c>
      <c r="E49" s="5">
        <v>0.30299999999999999</v>
      </c>
      <c r="F49" s="5">
        <v>0.84599999999999997</v>
      </c>
      <c r="G49" s="5">
        <v>1E-3</v>
      </c>
    </row>
    <row r="50" spans="3:7" x14ac:dyDescent="0.2">
      <c r="C50" s="4">
        <v>10</v>
      </c>
      <c r="D50" s="5">
        <v>1.907</v>
      </c>
      <c r="E50" s="5">
        <v>0.29899999999999999</v>
      </c>
      <c r="F50" s="5">
        <v>0.78900000000000003</v>
      </c>
      <c r="G50" s="5">
        <v>1E-3</v>
      </c>
    </row>
    <row r="51" spans="3:7" x14ac:dyDescent="0.2">
      <c r="C51" s="4">
        <v>11</v>
      </c>
      <c r="D51" s="5">
        <v>1.8759999999999999</v>
      </c>
      <c r="E51" s="5">
        <v>0.30499999999999999</v>
      </c>
      <c r="F51" s="5">
        <v>0.876</v>
      </c>
      <c r="G51" s="5">
        <v>1E-3</v>
      </c>
    </row>
    <row r="52" spans="3:7" x14ac:dyDescent="0.2">
      <c r="C52" s="4">
        <v>12</v>
      </c>
      <c r="D52" s="5">
        <v>1.6739999999999999</v>
      </c>
      <c r="E52" s="5">
        <v>0.307</v>
      </c>
      <c r="F52" s="5">
        <v>0.89500000000000002</v>
      </c>
      <c r="G52" s="5">
        <v>1E-3</v>
      </c>
    </row>
    <row r="53" spans="3:7" x14ac:dyDescent="0.2">
      <c r="C53" s="4">
        <v>13</v>
      </c>
      <c r="D53" s="5">
        <v>1.3939999999999999</v>
      </c>
      <c r="E53" s="5">
        <v>0.30599999999999999</v>
      </c>
      <c r="F53" s="5">
        <v>0.878</v>
      </c>
      <c r="G53" s="5">
        <v>1E-3</v>
      </c>
    </row>
    <row r="54" spans="3:7" x14ac:dyDescent="0.2">
      <c r="C54" s="4">
        <v>14</v>
      </c>
      <c r="D54" s="5">
        <v>1.96</v>
      </c>
      <c r="E54" s="5">
        <v>0.308</v>
      </c>
      <c r="F54" s="5">
        <v>0.88700000000000001</v>
      </c>
      <c r="G54" s="5">
        <v>1E-3</v>
      </c>
    </row>
    <row r="56" spans="3:7" x14ac:dyDescent="0.2">
      <c r="C56" t="s">
        <v>27</v>
      </c>
      <c r="D56">
        <f>AVERAGE(D40:D54)</f>
        <v>1.7363333333333335</v>
      </c>
      <c r="E56">
        <f t="shared" ref="E56:G56" si="2">AVERAGE(E40:E54)</f>
        <v>0.30426666666666663</v>
      </c>
      <c r="F56">
        <f t="shared" si="2"/>
        <v>0.84433333333333316</v>
      </c>
      <c r="G56">
        <f t="shared" si="2"/>
        <v>1.0000000000000005E-3</v>
      </c>
    </row>
    <row r="58" spans="3:7" x14ac:dyDescent="0.2">
      <c r="C58" s="4" t="s">
        <v>22</v>
      </c>
      <c r="D58" s="4" t="s">
        <v>23</v>
      </c>
      <c r="E58" s="4" t="s">
        <v>24</v>
      </c>
      <c r="F58" s="4" t="s">
        <v>25</v>
      </c>
      <c r="G58" s="4" t="s">
        <v>26</v>
      </c>
    </row>
    <row r="59" spans="3:7" x14ac:dyDescent="0.2">
      <c r="C59" s="4">
        <v>0</v>
      </c>
      <c r="D59" s="5">
        <v>1.762</v>
      </c>
      <c r="E59" s="5">
        <v>0.03</v>
      </c>
      <c r="F59" s="5">
        <v>1.1879999999999999</v>
      </c>
      <c r="G59" s="5">
        <v>1E-3</v>
      </c>
    </row>
    <row r="60" spans="3:7" x14ac:dyDescent="0.2">
      <c r="C60" s="4">
        <v>1</v>
      </c>
      <c r="D60" s="5">
        <v>1.899</v>
      </c>
      <c r="E60" s="5">
        <v>0.03</v>
      </c>
      <c r="F60" s="5">
        <v>1.139</v>
      </c>
      <c r="G60" s="5">
        <v>1E-3</v>
      </c>
    </row>
    <row r="61" spans="3:7" x14ac:dyDescent="0.2">
      <c r="C61" s="4">
        <v>2</v>
      </c>
      <c r="D61" s="5">
        <v>1.819</v>
      </c>
      <c r="E61" s="5">
        <v>0.03</v>
      </c>
      <c r="F61" s="5">
        <v>1.1850000000000001</v>
      </c>
      <c r="G61" s="5">
        <v>1E-3</v>
      </c>
    </row>
    <row r="62" spans="3:7" x14ac:dyDescent="0.2">
      <c r="C62" s="4">
        <v>3</v>
      </c>
      <c r="D62" s="5">
        <v>1.8440000000000001</v>
      </c>
      <c r="E62" s="5">
        <v>0.03</v>
      </c>
      <c r="F62" s="5">
        <v>1.151</v>
      </c>
      <c r="G62" s="5">
        <v>1E-3</v>
      </c>
    </row>
    <row r="63" spans="3:7" x14ac:dyDescent="0.2">
      <c r="C63" s="4">
        <v>4</v>
      </c>
      <c r="D63" s="5">
        <v>1.917</v>
      </c>
      <c r="E63" s="5">
        <v>0.03</v>
      </c>
      <c r="F63" s="5">
        <v>1.2110000000000001</v>
      </c>
      <c r="G63" s="5">
        <v>1E-3</v>
      </c>
    </row>
    <row r="64" spans="3:7" x14ac:dyDescent="0.2">
      <c r="C64" s="4">
        <v>5</v>
      </c>
      <c r="D64" s="5">
        <v>1.879</v>
      </c>
      <c r="E64" s="5">
        <v>2.9000000000000001E-2</v>
      </c>
      <c r="F64" s="5">
        <v>1.1379999999999999</v>
      </c>
      <c r="G64" s="5">
        <v>1E-3</v>
      </c>
    </row>
    <row r="65" spans="3:7" x14ac:dyDescent="0.2">
      <c r="C65" s="4">
        <v>6</v>
      </c>
      <c r="D65" s="5">
        <v>1.897</v>
      </c>
      <c r="E65" s="5">
        <v>0.03</v>
      </c>
      <c r="F65" s="5">
        <v>1.1679999999999999</v>
      </c>
      <c r="G65" s="5">
        <v>1E-3</v>
      </c>
    </row>
    <row r="66" spans="3:7" x14ac:dyDescent="0.2">
      <c r="C66" s="4">
        <v>7</v>
      </c>
      <c r="D66" s="5">
        <v>1.601</v>
      </c>
      <c r="E66" s="5">
        <v>3.1E-2</v>
      </c>
      <c r="F66" s="5">
        <v>1.1950000000000001</v>
      </c>
      <c r="G66" s="5">
        <v>1E-3</v>
      </c>
    </row>
    <row r="67" spans="3:7" x14ac:dyDescent="0.2">
      <c r="C67" s="4">
        <v>8</v>
      </c>
      <c r="D67" s="5">
        <v>1.627</v>
      </c>
      <c r="E67" s="5">
        <v>0.03</v>
      </c>
      <c r="F67" s="5">
        <v>1.196</v>
      </c>
      <c r="G67" s="5">
        <v>1E-3</v>
      </c>
    </row>
    <row r="68" spans="3:7" x14ac:dyDescent="0.2">
      <c r="C68" s="4">
        <v>9</v>
      </c>
      <c r="D68" s="5">
        <v>1.55</v>
      </c>
      <c r="E68" s="5">
        <v>0.03</v>
      </c>
      <c r="F68" s="5">
        <v>1.1479999999999999</v>
      </c>
      <c r="G68" s="5">
        <v>1E-3</v>
      </c>
    </row>
    <row r="69" spans="3:7" x14ac:dyDescent="0.2">
      <c r="C69" s="4">
        <v>10</v>
      </c>
      <c r="D69" s="5">
        <v>1.7969999999999999</v>
      </c>
      <c r="E69" s="5">
        <v>0.03</v>
      </c>
      <c r="F69" s="5">
        <v>1.153</v>
      </c>
      <c r="G69" s="5">
        <v>1E-3</v>
      </c>
    </row>
    <row r="70" spans="3:7" x14ac:dyDescent="0.2">
      <c r="C70" s="4">
        <v>11</v>
      </c>
      <c r="D70" s="5">
        <v>1.8859999999999999</v>
      </c>
      <c r="E70" s="5">
        <v>3.1E-2</v>
      </c>
      <c r="F70" s="5">
        <v>1.2050000000000001</v>
      </c>
      <c r="G70" s="5">
        <v>1E-3</v>
      </c>
    </row>
    <row r="71" spans="3:7" x14ac:dyDescent="0.2">
      <c r="C71" s="4">
        <v>12</v>
      </c>
      <c r="D71" s="5">
        <v>1.968</v>
      </c>
      <c r="E71" s="5">
        <v>2.9000000000000001E-2</v>
      </c>
      <c r="F71" s="5">
        <v>1.099</v>
      </c>
      <c r="G71" s="5">
        <v>1E-3</v>
      </c>
    </row>
    <row r="72" spans="3:7" x14ac:dyDescent="0.2">
      <c r="C72" s="4">
        <v>13</v>
      </c>
      <c r="D72" s="5">
        <v>1.887</v>
      </c>
      <c r="E72" s="5">
        <v>0.03</v>
      </c>
      <c r="F72" s="5">
        <v>1.24</v>
      </c>
      <c r="G72" s="5">
        <v>1E-3</v>
      </c>
    </row>
    <row r="73" spans="3:7" x14ac:dyDescent="0.2">
      <c r="C73" s="4">
        <v>14</v>
      </c>
      <c r="D73" s="5">
        <v>4.0449999999999999</v>
      </c>
      <c r="E73" s="5">
        <v>2.9000000000000001E-2</v>
      </c>
      <c r="F73" s="5">
        <v>1.1619999999999999</v>
      </c>
      <c r="G73" s="5">
        <v>1E-3</v>
      </c>
    </row>
    <row r="75" spans="3:7" x14ac:dyDescent="0.2">
      <c r="C75" t="s">
        <v>27</v>
      </c>
      <c r="D75">
        <f>AVERAGE(D59:D73)</f>
        <v>1.9585333333333332</v>
      </c>
      <c r="E75">
        <f t="shared" ref="E75:G75" si="3">AVERAGE(E59:E73)</f>
        <v>2.9933333333333347E-2</v>
      </c>
      <c r="F75">
        <f t="shared" si="3"/>
        <v>1.1718666666666666</v>
      </c>
      <c r="G75">
        <f t="shared" si="3"/>
        <v>1.0000000000000005E-3</v>
      </c>
    </row>
    <row r="77" spans="3:7" x14ac:dyDescent="0.2">
      <c r="C77" s="4" t="s">
        <v>22</v>
      </c>
      <c r="D77" s="4" t="s">
        <v>23</v>
      </c>
      <c r="E77" s="4" t="s">
        <v>24</v>
      </c>
      <c r="F77" s="4" t="s">
        <v>25</v>
      </c>
      <c r="G77" s="4" t="s">
        <v>26</v>
      </c>
    </row>
    <row r="78" spans="3:7" x14ac:dyDescent="0.2">
      <c r="C78" s="4">
        <v>0</v>
      </c>
      <c r="D78" s="5">
        <v>1.48</v>
      </c>
      <c r="E78" s="5">
        <v>7.4999999999999997E-2</v>
      </c>
      <c r="F78" s="5">
        <v>1.1679999999999999</v>
      </c>
      <c r="G78" s="5">
        <v>1E-3</v>
      </c>
    </row>
    <row r="79" spans="3:7" x14ac:dyDescent="0.2">
      <c r="C79" s="4">
        <v>1</v>
      </c>
      <c r="D79" s="5">
        <v>1.413</v>
      </c>
      <c r="E79" s="5">
        <v>7.5999999999999998E-2</v>
      </c>
      <c r="F79" s="5">
        <v>1.2</v>
      </c>
      <c r="G79" s="5">
        <v>1E-3</v>
      </c>
    </row>
    <row r="80" spans="3:7" x14ac:dyDescent="0.2">
      <c r="C80" s="4">
        <v>2</v>
      </c>
      <c r="D80" s="5">
        <v>1.4550000000000001</v>
      </c>
      <c r="E80" s="5">
        <v>7.3999999999999996E-2</v>
      </c>
      <c r="F80" s="5">
        <v>1.1120000000000001</v>
      </c>
      <c r="G80" s="5">
        <v>1E-3</v>
      </c>
    </row>
    <row r="81" spans="3:7" x14ac:dyDescent="0.2">
      <c r="C81" s="4">
        <v>3</v>
      </c>
      <c r="D81" s="5">
        <v>1.3620000000000001</v>
      </c>
      <c r="E81" s="5">
        <v>7.4999999999999997E-2</v>
      </c>
      <c r="F81" s="5">
        <v>1.169</v>
      </c>
      <c r="G81" s="5">
        <v>1E-3</v>
      </c>
    </row>
    <row r="82" spans="3:7" x14ac:dyDescent="0.2">
      <c r="C82" s="4">
        <v>4</v>
      </c>
      <c r="D82" s="5">
        <v>3.1840000000000002</v>
      </c>
      <c r="E82" s="5">
        <v>7.3999999999999996E-2</v>
      </c>
      <c r="F82" s="5">
        <v>1.1319999999999999</v>
      </c>
      <c r="G82" s="5">
        <v>1E-3</v>
      </c>
    </row>
    <row r="83" spans="3:7" x14ac:dyDescent="0.2">
      <c r="C83" s="4">
        <v>5</v>
      </c>
      <c r="D83" s="5">
        <v>3.0790000000000002</v>
      </c>
      <c r="E83" s="5">
        <v>7.4999999999999997E-2</v>
      </c>
      <c r="F83" s="5">
        <v>1.1639999999999999</v>
      </c>
      <c r="G83" s="5">
        <v>1E-3</v>
      </c>
    </row>
    <row r="84" spans="3:7" x14ac:dyDescent="0.2">
      <c r="C84" s="4">
        <v>6</v>
      </c>
      <c r="D84" s="5">
        <v>2.9689999999999999</v>
      </c>
      <c r="E84" s="5">
        <v>7.4999999999999997E-2</v>
      </c>
      <c r="F84" s="5">
        <v>1.1559999999999999</v>
      </c>
      <c r="G84" s="5">
        <v>1E-3</v>
      </c>
    </row>
    <row r="85" spans="3:7" x14ac:dyDescent="0.2">
      <c r="C85" s="4">
        <v>7</v>
      </c>
      <c r="D85" s="5">
        <v>3.1230000000000002</v>
      </c>
      <c r="E85" s="5">
        <v>7.3999999999999996E-2</v>
      </c>
      <c r="F85" s="5">
        <v>1.127</v>
      </c>
      <c r="G85" s="5">
        <v>1E-3</v>
      </c>
    </row>
    <row r="86" spans="3:7" x14ac:dyDescent="0.2">
      <c r="C86" s="4">
        <v>8</v>
      </c>
      <c r="D86" s="5">
        <v>3.0819999999999999</v>
      </c>
      <c r="E86" s="5">
        <v>7.2999999999999995E-2</v>
      </c>
      <c r="F86" s="5">
        <v>1.091</v>
      </c>
      <c r="G86" s="5">
        <v>1E-3</v>
      </c>
    </row>
    <row r="87" spans="3:7" x14ac:dyDescent="0.2">
      <c r="C87" s="4">
        <v>9</v>
      </c>
      <c r="D87" s="5">
        <v>1.633</v>
      </c>
      <c r="E87" s="5">
        <v>7.3999999999999996E-2</v>
      </c>
      <c r="F87" s="5">
        <v>1.1359999999999999</v>
      </c>
      <c r="G87" s="5">
        <v>1E-3</v>
      </c>
    </row>
    <row r="88" spans="3:7" x14ac:dyDescent="0.2">
      <c r="C88" s="4">
        <v>10</v>
      </c>
      <c r="D88" s="5">
        <v>2.9569999999999999</v>
      </c>
      <c r="E88" s="5">
        <v>7.4999999999999997E-2</v>
      </c>
      <c r="F88" s="5">
        <v>1.179</v>
      </c>
      <c r="G88" s="5">
        <v>1E-3</v>
      </c>
    </row>
    <row r="89" spans="3:7" x14ac:dyDescent="0.2">
      <c r="C89" s="4">
        <v>11</v>
      </c>
      <c r="D89" s="5">
        <v>1.2110000000000001</v>
      </c>
      <c r="E89" s="5">
        <v>7.4999999999999997E-2</v>
      </c>
      <c r="F89" s="5">
        <v>1.1499999999999999</v>
      </c>
      <c r="G89" s="5">
        <v>1E-3</v>
      </c>
    </row>
    <row r="90" spans="3:7" x14ac:dyDescent="0.2">
      <c r="C90" s="4">
        <v>12</v>
      </c>
      <c r="D90" s="5">
        <v>1.2749999999999999</v>
      </c>
      <c r="E90" s="5">
        <v>7.4999999999999997E-2</v>
      </c>
      <c r="F90" s="5">
        <v>1.1739999999999999</v>
      </c>
      <c r="G90" s="5">
        <v>1E-3</v>
      </c>
    </row>
    <row r="91" spans="3:7" x14ac:dyDescent="0.2">
      <c r="C91" s="4">
        <v>13</v>
      </c>
      <c r="D91" s="5">
        <v>1.2470000000000001</v>
      </c>
      <c r="E91" s="5">
        <v>7.3999999999999996E-2</v>
      </c>
      <c r="F91" s="5">
        <v>1.1259999999999999</v>
      </c>
      <c r="G91" s="5">
        <v>1E-3</v>
      </c>
    </row>
    <row r="92" spans="3:7" x14ac:dyDescent="0.2">
      <c r="C92" s="4">
        <v>14</v>
      </c>
      <c r="D92" s="5">
        <v>1.2689999999999999</v>
      </c>
      <c r="E92" s="5">
        <v>7.5999999999999998E-2</v>
      </c>
      <c r="F92" s="5">
        <v>1.2170000000000001</v>
      </c>
      <c r="G92" s="5">
        <v>1E-3</v>
      </c>
    </row>
    <row r="94" spans="3:7" x14ac:dyDescent="0.2">
      <c r="C94" t="s">
        <v>27</v>
      </c>
      <c r="D94">
        <f>AVERAGE(D78:D92)</f>
        <v>2.0492666666666666</v>
      </c>
      <c r="E94">
        <f t="shared" ref="E94:G94" si="4">AVERAGE(E78:E92)</f>
        <v>7.4666666666666659E-2</v>
      </c>
      <c r="F94">
        <f t="shared" si="4"/>
        <v>1.1534</v>
      </c>
      <c r="G94">
        <f t="shared" si="4"/>
        <v>1.0000000000000005E-3</v>
      </c>
    </row>
    <row r="96" spans="3:7" x14ac:dyDescent="0.2">
      <c r="C96" s="4" t="s">
        <v>22</v>
      </c>
      <c r="D96" s="4" t="s">
        <v>23</v>
      </c>
      <c r="E96" s="4" t="s">
        <v>24</v>
      </c>
      <c r="F96" s="4" t="s">
        <v>25</v>
      </c>
      <c r="G96" s="4" t="s">
        <v>26</v>
      </c>
    </row>
    <row r="97" spans="3:7" x14ac:dyDescent="0.2">
      <c r="C97" s="4">
        <v>0</v>
      </c>
      <c r="D97" s="5">
        <v>1.423</v>
      </c>
      <c r="E97" s="5">
        <v>4.2000000000000003E-2</v>
      </c>
      <c r="F97" s="5">
        <v>1.0089999999999999</v>
      </c>
      <c r="G97" s="5">
        <v>1E-3</v>
      </c>
    </row>
    <row r="98" spans="3:7" x14ac:dyDescent="0.2">
      <c r="C98" s="4">
        <v>1</v>
      </c>
      <c r="D98" s="5">
        <v>1.357</v>
      </c>
      <c r="E98" s="5">
        <v>4.1000000000000002E-2</v>
      </c>
      <c r="F98" s="5">
        <v>0.92900000000000005</v>
      </c>
      <c r="G98" s="5">
        <v>1E-3</v>
      </c>
    </row>
    <row r="99" spans="3:7" x14ac:dyDescent="0.2">
      <c r="C99" s="4">
        <v>2</v>
      </c>
      <c r="D99" s="5">
        <v>1.4</v>
      </c>
      <c r="E99" s="5">
        <v>0.04</v>
      </c>
      <c r="F99" s="5">
        <v>0.879</v>
      </c>
      <c r="G99" s="5">
        <v>1E-3</v>
      </c>
    </row>
    <row r="100" spans="3:7" x14ac:dyDescent="0.2">
      <c r="C100" s="4">
        <v>3</v>
      </c>
      <c r="D100" s="5">
        <v>1.66</v>
      </c>
      <c r="E100" s="5">
        <v>0.04</v>
      </c>
      <c r="F100" s="5">
        <v>0.89300000000000002</v>
      </c>
      <c r="G100" s="5">
        <v>1E-3</v>
      </c>
    </row>
    <row r="101" spans="3:7" x14ac:dyDescent="0.2">
      <c r="C101" s="4">
        <v>4</v>
      </c>
      <c r="D101" s="5">
        <v>1.4590000000000001</v>
      </c>
      <c r="E101" s="5">
        <v>4.1000000000000002E-2</v>
      </c>
      <c r="F101" s="5">
        <v>0.90800000000000003</v>
      </c>
      <c r="G101" s="5">
        <v>1E-3</v>
      </c>
    </row>
    <row r="102" spans="3:7" x14ac:dyDescent="0.2">
      <c r="C102" s="4">
        <v>5</v>
      </c>
      <c r="D102" s="5">
        <v>1.35</v>
      </c>
      <c r="E102" s="5">
        <v>4.2000000000000003E-2</v>
      </c>
      <c r="F102" s="5">
        <v>1.0189999999999999</v>
      </c>
      <c r="G102" s="5">
        <v>1E-3</v>
      </c>
    </row>
    <row r="103" spans="3:7" x14ac:dyDescent="0.2">
      <c r="C103" s="4">
        <v>6</v>
      </c>
      <c r="D103" s="5">
        <v>1.583</v>
      </c>
      <c r="E103" s="5">
        <v>4.1000000000000002E-2</v>
      </c>
      <c r="F103" s="5">
        <v>0.95199999999999996</v>
      </c>
      <c r="G103" s="5">
        <v>1E-3</v>
      </c>
    </row>
    <row r="104" spans="3:7" x14ac:dyDescent="0.2">
      <c r="C104" s="4">
        <v>7</v>
      </c>
      <c r="D104" s="5">
        <v>1.365</v>
      </c>
      <c r="E104" s="5">
        <v>4.1000000000000002E-2</v>
      </c>
      <c r="F104" s="5">
        <v>0.91900000000000004</v>
      </c>
      <c r="G104" s="5">
        <v>1E-3</v>
      </c>
    </row>
    <row r="105" spans="3:7" x14ac:dyDescent="0.2">
      <c r="C105" s="4">
        <v>8</v>
      </c>
      <c r="D105" s="5">
        <v>1.3939999999999999</v>
      </c>
      <c r="E105" s="5">
        <v>0.04</v>
      </c>
      <c r="F105" s="5">
        <v>0.85499999999999998</v>
      </c>
      <c r="G105" s="5">
        <v>1E-3</v>
      </c>
    </row>
    <row r="106" spans="3:7" x14ac:dyDescent="0.2">
      <c r="C106" s="4">
        <v>9</v>
      </c>
      <c r="D106" s="5">
        <v>1.788</v>
      </c>
      <c r="E106" s="5">
        <v>3.9E-2</v>
      </c>
      <c r="F106" s="5">
        <v>0.80300000000000005</v>
      </c>
      <c r="G106" s="5">
        <v>1E-3</v>
      </c>
    </row>
    <row r="107" spans="3:7" x14ac:dyDescent="0.2">
      <c r="C107" s="4">
        <v>10</v>
      </c>
      <c r="D107" s="5">
        <v>1.7529999999999999</v>
      </c>
      <c r="E107" s="5">
        <v>3.9E-2</v>
      </c>
      <c r="F107" s="5">
        <v>0.78700000000000003</v>
      </c>
      <c r="G107" s="5">
        <v>1E-3</v>
      </c>
    </row>
    <row r="108" spans="3:7" x14ac:dyDescent="0.2">
      <c r="C108" s="4">
        <v>11</v>
      </c>
      <c r="D108" s="5">
        <v>1.242</v>
      </c>
      <c r="E108" s="5">
        <v>4.2000000000000003E-2</v>
      </c>
      <c r="F108" s="5">
        <v>0.98499999999999999</v>
      </c>
      <c r="G108" s="5">
        <v>1E-3</v>
      </c>
    </row>
    <row r="109" spans="3:7" x14ac:dyDescent="0.2">
      <c r="C109" s="4">
        <v>12</v>
      </c>
      <c r="D109" s="5">
        <v>1.2649999999999999</v>
      </c>
      <c r="E109" s="5">
        <v>4.2000000000000003E-2</v>
      </c>
      <c r="F109" s="5">
        <v>0.99199999999999999</v>
      </c>
      <c r="G109" s="5">
        <v>1E-3</v>
      </c>
    </row>
    <row r="110" spans="3:7" x14ac:dyDescent="0.2">
      <c r="C110" s="4">
        <v>13</v>
      </c>
      <c r="D110" s="5">
        <v>1.554</v>
      </c>
      <c r="E110" s="5">
        <v>0.04</v>
      </c>
      <c r="F110" s="5">
        <v>0.84399999999999997</v>
      </c>
      <c r="G110" s="5">
        <v>1E-3</v>
      </c>
    </row>
    <row r="111" spans="3:7" x14ac:dyDescent="0.2">
      <c r="C111" s="4">
        <v>14</v>
      </c>
      <c r="D111" s="5">
        <v>1.4430000000000001</v>
      </c>
      <c r="E111" s="5">
        <v>0.04</v>
      </c>
      <c r="F111" s="5">
        <v>0.84699999999999998</v>
      </c>
      <c r="G111" s="5">
        <v>1E-3</v>
      </c>
    </row>
    <row r="113" spans="3:7" x14ac:dyDescent="0.2">
      <c r="C113" t="s">
        <v>27</v>
      </c>
      <c r="D113">
        <f>AVERAGE(D97:D111)</f>
        <v>1.4690666666666667</v>
      </c>
      <c r="E113">
        <f t="shared" ref="E113:G113" si="5">AVERAGE(E97:E111)</f>
        <v>4.0666666666666663E-2</v>
      </c>
      <c r="F113">
        <f t="shared" si="5"/>
        <v>0.9080666666666668</v>
      </c>
      <c r="G113">
        <f t="shared" si="5"/>
        <v>1.0000000000000005E-3</v>
      </c>
    </row>
    <row r="115" spans="3:7" x14ac:dyDescent="0.2">
      <c r="C115" s="4" t="s">
        <v>22</v>
      </c>
      <c r="D115" s="4" t="s">
        <v>23</v>
      </c>
      <c r="E115" s="4" t="s">
        <v>24</v>
      </c>
      <c r="F115" s="4" t="s">
        <v>25</v>
      </c>
      <c r="G115" s="4" t="s">
        <v>26</v>
      </c>
    </row>
    <row r="116" spans="3:7" x14ac:dyDescent="0.2">
      <c r="C116" s="4">
        <v>0</v>
      </c>
      <c r="D116" s="5">
        <v>1.9379999999999999</v>
      </c>
      <c r="E116" s="5">
        <v>5.8999999999999997E-2</v>
      </c>
      <c r="F116" s="5">
        <v>0.51100000000000001</v>
      </c>
      <c r="G116" s="5">
        <v>1E-3</v>
      </c>
    </row>
    <row r="117" spans="3:7" x14ac:dyDescent="0.2">
      <c r="C117" s="4">
        <v>1</v>
      </c>
      <c r="D117" s="5">
        <v>1.7769999999999999</v>
      </c>
      <c r="E117" s="5">
        <v>5.8999999999999997E-2</v>
      </c>
      <c r="F117" s="5">
        <v>0.48199999999999998</v>
      </c>
      <c r="G117" s="5">
        <v>1E-3</v>
      </c>
    </row>
    <row r="118" spans="3:7" x14ac:dyDescent="0.2">
      <c r="C118" s="4">
        <v>2</v>
      </c>
      <c r="D118" s="5">
        <v>1.8260000000000001</v>
      </c>
      <c r="E118" s="5">
        <v>5.8999999999999997E-2</v>
      </c>
      <c r="F118" s="5">
        <v>0.499</v>
      </c>
      <c r="G118" s="5">
        <v>1E-3</v>
      </c>
    </row>
    <row r="119" spans="3:7" x14ac:dyDescent="0.2">
      <c r="C119" s="4">
        <v>3</v>
      </c>
      <c r="D119" s="5">
        <v>1.964</v>
      </c>
      <c r="E119" s="5">
        <v>5.8999999999999997E-2</v>
      </c>
      <c r="F119" s="5">
        <v>0.49</v>
      </c>
      <c r="G119" s="5">
        <v>1E-3</v>
      </c>
    </row>
    <row r="120" spans="3:7" x14ac:dyDescent="0.2">
      <c r="C120" s="4">
        <v>4</v>
      </c>
      <c r="D120" s="5">
        <v>1.7390000000000001</v>
      </c>
      <c r="E120" s="5">
        <v>5.8999999999999997E-2</v>
      </c>
      <c r="F120" s="5">
        <v>0.51400000000000001</v>
      </c>
      <c r="G120" s="5">
        <v>1E-3</v>
      </c>
    </row>
    <row r="121" spans="3:7" x14ac:dyDescent="0.2">
      <c r="C121" s="4">
        <v>5</v>
      </c>
      <c r="D121" s="5">
        <v>1.798</v>
      </c>
      <c r="E121" s="5">
        <v>0.06</v>
      </c>
      <c r="F121" s="5">
        <v>0.55400000000000005</v>
      </c>
      <c r="G121" s="5">
        <v>1E-3</v>
      </c>
    </row>
    <row r="122" spans="3:7" x14ac:dyDescent="0.2">
      <c r="C122" s="4">
        <v>6</v>
      </c>
      <c r="D122" s="5">
        <v>1.7370000000000001</v>
      </c>
      <c r="E122" s="5">
        <v>5.8999999999999997E-2</v>
      </c>
      <c r="F122" s="5">
        <v>0.50900000000000001</v>
      </c>
      <c r="G122" s="5">
        <v>1E-3</v>
      </c>
    </row>
    <row r="123" spans="3:7" x14ac:dyDescent="0.2">
      <c r="C123" s="4">
        <v>7</v>
      </c>
      <c r="D123" s="5">
        <v>1.8839999999999999</v>
      </c>
      <c r="E123" s="5">
        <v>5.8000000000000003E-2</v>
      </c>
      <c r="F123" s="5">
        <v>0.42799999999999999</v>
      </c>
      <c r="G123" s="5">
        <v>1E-3</v>
      </c>
    </row>
    <row r="124" spans="3:7" x14ac:dyDescent="0.2">
      <c r="C124" s="4">
        <v>8</v>
      </c>
      <c r="D124" s="5">
        <v>1.7290000000000001</v>
      </c>
      <c r="E124" s="5">
        <v>5.8000000000000003E-2</v>
      </c>
      <c r="F124" s="5">
        <v>0.47699999999999998</v>
      </c>
      <c r="G124" s="5">
        <v>1E-3</v>
      </c>
    </row>
    <row r="125" spans="3:7" x14ac:dyDescent="0.2">
      <c r="C125" s="4">
        <v>9</v>
      </c>
      <c r="D125" s="5">
        <v>1.8109999999999999</v>
      </c>
      <c r="E125" s="5">
        <v>5.8999999999999997E-2</v>
      </c>
      <c r="F125" s="5">
        <v>0.49</v>
      </c>
      <c r="G125" s="5">
        <v>1E-3</v>
      </c>
    </row>
    <row r="126" spans="3:7" x14ac:dyDescent="0.2">
      <c r="C126" s="4">
        <v>10</v>
      </c>
      <c r="D126" s="5">
        <v>1.7470000000000001</v>
      </c>
      <c r="E126" s="5">
        <v>0.06</v>
      </c>
      <c r="F126" s="5">
        <v>0.56899999999999995</v>
      </c>
      <c r="G126" s="5">
        <v>1E-3</v>
      </c>
    </row>
    <row r="127" spans="3:7" x14ac:dyDescent="0.2">
      <c r="C127" s="4">
        <v>11</v>
      </c>
      <c r="D127" s="5">
        <v>1.768</v>
      </c>
      <c r="E127" s="5">
        <v>6.0999999999999999E-2</v>
      </c>
      <c r="F127" s="5">
        <v>0.58699999999999997</v>
      </c>
      <c r="G127" s="5">
        <v>1E-3</v>
      </c>
    </row>
    <row r="128" spans="3:7" x14ac:dyDescent="0.2">
      <c r="C128" s="4">
        <v>12</v>
      </c>
      <c r="D128" s="5">
        <v>1.83</v>
      </c>
      <c r="E128" s="5">
        <v>5.7000000000000002E-2</v>
      </c>
      <c r="F128" s="5">
        <v>0.41</v>
      </c>
      <c r="G128" s="5">
        <v>1E-3</v>
      </c>
    </row>
    <row r="129" spans="3:7" x14ac:dyDescent="0.2">
      <c r="C129" s="4">
        <v>13</v>
      </c>
      <c r="D129" s="5">
        <v>1.85</v>
      </c>
      <c r="E129" s="5">
        <v>5.7000000000000002E-2</v>
      </c>
      <c r="F129" s="5">
        <v>0.45400000000000001</v>
      </c>
      <c r="G129" s="5">
        <v>1E-3</v>
      </c>
    </row>
    <row r="130" spans="3:7" x14ac:dyDescent="0.2">
      <c r="C130" s="4">
        <v>14</v>
      </c>
      <c r="D130" s="5">
        <v>2.0939999999999999</v>
      </c>
      <c r="E130" s="5">
        <v>5.8999999999999997E-2</v>
      </c>
      <c r="F130" s="5">
        <v>0.49199999999999999</v>
      </c>
      <c r="G130" s="5">
        <v>1E-3</v>
      </c>
    </row>
    <row r="132" spans="3:7" x14ac:dyDescent="0.2">
      <c r="C132" t="s">
        <v>27</v>
      </c>
      <c r="D132">
        <f>AVERAGE(D116:D130)</f>
        <v>1.8328000000000002</v>
      </c>
      <c r="E132">
        <f t="shared" ref="E132:G132" si="6">AVERAGE(E116:E130)</f>
        <v>5.8866666666666664E-2</v>
      </c>
      <c r="F132">
        <f t="shared" si="6"/>
        <v>0.49773333333333331</v>
      </c>
      <c r="G132">
        <f t="shared" si="6"/>
        <v>1.0000000000000005E-3</v>
      </c>
    </row>
  </sheetData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7"/>
  <sheetViews>
    <sheetView topLeftCell="A10" workbookViewId="0">
      <selection sqref="A1:T18"/>
    </sheetView>
  </sheetViews>
  <sheetFormatPr baseColWidth="10" defaultColWidth="8.83203125" defaultRowHeight="15" x14ac:dyDescent="0.2"/>
  <cols>
    <col min="1" max="1" width="10.1640625" bestFit="1" customWidth="1"/>
    <col min="2" max="2" width="15" bestFit="1" customWidth="1"/>
  </cols>
  <sheetData>
    <row r="1" spans="1:19" x14ac:dyDescent="0.2">
      <c r="A1" t="s">
        <v>33</v>
      </c>
      <c r="B1" t="s">
        <v>32</v>
      </c>
      <c r="C1" s="1" t="s">
        <v>6</v>
      </c>
      <c r="D1" s="1" t="s">
        <v>7</v>
      </c>
      <c r="E1" s="1" t="s">
        <v>8</v>
      </c>
      <c r="F1" s="1" t="s">
        <v>39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t="s">
        <v>28</v>
      </c>
      <c r="S1" t="s">
        <v>29</v>
      </c>
    </row>
    <row r="2" spans="1:19" x14ac:dyDescent="0.2">
      <c r="B2" s="2" t="s">
        <v>0</v>
      </c>
      <c r="C2">
        <v>44.34</v>
      </c>
      <c r="D2">
        <v>6</v>
      </c>
      <c r="E2">
        <v>0.01</v>
      </c>
      <c r="F2" s="9">
        <v>5.4082599999999998E-3</v>
      </c>
      <c r="G2">
        <v>0.4</v>
      </c>
      <c r="H2" s="6">
        <v>80</v>
      </c>
      <c r="I2" s="6">
        <v>0.25</v>
      </c>
      <c r="J2" s="6">
        <v>1.2</v>
      </c>
      <c r="K2">
        <v>1</v>
      </c>
      <c r="L2">
        <v>1000</v>
      </c>
      <c r="M2">
        <v>0.3</v>
      </c>
      <c r="N2">
        <v>15</v>
      </c>
      <c r="O2" s="7">
        <v>43.510133333333329</v>
      </c>
      <c r="P2" s="7">
        <v>0.25653333333333334</v>
      </c>
      <c r="Q2" s="7">
        <v>1.2435333333333332</v>
      </c>
      <c r="R2">
        <v>1.3745000000000001</v>
      </c>
      <c r="S2">
        <v>-0.13619999999999999</v>
      </c>
    </row>
    <row r="3" spans="1:19" x14ac:dyDescent="0.2">
      <c r="B3" s="2" t="s">
        <v>1</v>
      </c>
      <c r="C3">
        <v>44.34</v>
      </c>
      <c r="D3">
        <v>6</v>
      </c>
      <c r="E3">
        <v>0.01</v>
      </c>
      <c r="F3" s="9">
        <v>5.8838400000000004E-3</v>
      </c>
      <c r="G3">
        <v>0.6</v>
      </c>
      <c r="H3" s="6">
        <v>100</v>
      </c>
      <c r="I3" s="6">
        <v>0.35</v>
      </c>
      <c r="J3" s="6">
        <v>1.1739999999999999</v>
      </c>
      <c r="K3">
        <v>1</v>
      </c>
      <c r="L3">
        <v>1000</v>
      </c>
      <c r="M3">
        <v>0.3</v>
      </c>
      <c r="N3">
        <v>15</v>
      </c>
      <c r="O3" s="7">
        <v>6.6783999999999999</v>
      </c>
      <c r="P3" s="7">
        <v>0.34806666666666669</v>
      </c>
      <c r="Q3" s="7">
        <v>1.0939333333333332</v>
      </c>
      <c r="R3">
        <v>1.1913</v>
      </c>
      <c r="S3">
        <v>-0.11700000000000001</v>
      </c>
    </row>
    <row r="4" spans="1:19" x14ac:dyDescent="0.2">
      <c r="B4" s="2" t="s">
        <v>2</v>
      </c>
      <c r="C4">
        <v>44.34</v>
      </c>
      <c r="D4">
        <v>6</v>
      </c>
      <c r="E4">
        <v>0.01</v>
      </c>
      <c r="F4" s="9">
        <v>4.3793900000000004E-3</v>
      </c>
      <c r="G4">
        <v>0.3</v>
      </c>
      <c r="H4" s="6">
        <v>1.74</v>
      </c>
      <c r="I4" s="6">
        <v>0.3</v>
      </c>
      <c r="J4" s="6">
        <v>0.84</v>
      </c>
      <c r="K4">
        <v>1</v>
      </c>
      <c r="L4">
        <v>1000</v>
      </c>
      <c r="M4">
        <v>0.3</v>
      </c>
      <c r="N4">
        <v>15</v>
      </c>
      <c r="O4" s="7">
        <v>1.7363333333333335</v>
      </c>
      <c r="P4" s="7">
        <v>0.30426666666666663</v>
      </c>
      <c r="Q4" s="7">
        <v>0.84433333333333316</v>
      </c>
      <c r="R4">
        <v>1.5528999999999999</v>
      </c>
      <c r="S4">
        <v>-0.10929999999999999</v>
      </c>
    </row>
    <row r="5" spans="1:19" x14ac:dyDescent="0.2">
      <c r="B5" s="2" t="s">
        <v>3</v>
      </c>
      <c r="C5">
        <v>44.34</v>
      </c>
      <c r="D5">
        <v>6</v>
      </c>
      <c r="E5">
        <v>1E-3</v>
      </c>
      <c r="F5" s="9">
        <v>7.7629300000000004E-3</v>
      </c>
      <c r="G5">
        <v>0.04</v>
      </c>
      <c r="H5" s="6">
        <v>3.7444999999999999</v>
      </c>
      <c r="I5" s="6">
        <v>2.98E-2</v>
      </c>
      <c r="J5" s="6">
        <v>1.1516</v>
      </c>
      <c r="K5">
        <v>1</v>
      </c>
      <c r="L5">
        <v>1000</v>
      </c>
      <c r="M5">
        <v>0.3</v>
      </c>
      <c r="N5">
        <v>15</v>
      </c>
      <c r="O5" s="7">
        <v>1.9585333333333332</v>
      </c>
      <c r="P5" s="7">
        <v>2.9933333333333347E-2</v>
      </c>
      <c r="Q5" s="7">
        <v>1.1718666666666666</v>
      </c>
      <c r="R5">
        <v>0.66120000000000001</v>
      </c>
      <c r="S5">
        <v>-0.13569999999999999</v>
      </c>
    </row>
    <row r="6" spans="1:19" x14ac:dyDescent="0.2">
      <c r="B6" s="2" t="s">
        <v>4</v>
      </c>
      <c r="C6">
        <v>44.34</v>
      </c>
      <c r="D6">
        <v>6</v>
      </c>
      <c r="E6">
        <v>1E-3</v>
      </c>
      <c r="F6" s="9">
        <v>9.7615400000000008E-3</v>
      </c>
      <c r="G6">
        <v>0.09</v>
      </c>
      <c r="H6" s="6">
        <v>5</v>
      </c>
      <c r="I6" s="6">
        <v>0.08</v>
      </c>
      <c r="J6" s="6">
        <v>1.45</v>
      </c>
      <c r="K6">
        <v>1</v>
      </c>
      <c r="L6">
        <v>1000</v>
      </c>
      <c r="M6">
        <v>0.3</v>
      </c>
      <c r="N6">
        <v>15</v>
      </c>
      <c r="O6" s="7">
        <v>2.0492666666666666</v>
      </c>
      <c r="P6" s="7">
        <v>7.4666666666666659E-2</v>
      </c>
      <c r="Q6" s="7">
        <v>1.1534</v>
      </c>
      <c r="R6">
        <v>1.1597</v>
      </c>
      <c r="S6">
        <v>-0.14299999999999999</v>
      </c>
    </row>
    <row r="7" spans="1:19" x14ac:dyDescent="0.2">
      <c r="B7" s="2" t="s">
        <v>5</v>
      </c>
      <c r="C7">
        <v>44.34</v>
      </c>
      <c r="D7">
        <v>6</v>
      </c>
      <c r="E7">
        <v>1E-3</v>
      </c>
      <c r="F7" s="9">
        <v>1.6392650000000002E-2</v>
      </c>
      <c r="G7">
        <v>0.05</v>
      </c>
      <c r="H7" s="6">
        <v>1.7822</v>
      </c>
      <c r="I7" s="6">
        <v>4.0730000000000002E-2</v>
      </c>
      <c r="J7" s="6">
        <v>0.90380000000000005</v>
      </c>
      <c r="K7">
        <v>1</v>
      </c>
      <c r="L7">
        <v>1000</v>
      </c>
      <c r="M7">
        <v>0.3</v>
      </c>
      <c r="N7">
        <v>15</v>
      </c>
      <c r="O7" s="7">
        <v>1.4690666666666667</v>
      </c>
      <c r="P7" s="7">
        <v>4.0666666666666663E-2</v>
      </c>
      <c r="Q7" s="7">
        <v>0.9080666666666668</v>
      </c>
      <c r="R7">
        <v>0.6915</v>
      </c>
      <c r="S7">
        <v>-0.1103</v>
      </c>
    </row>
    <row r="8" spans="1:19" x14ac:dyDescent="0.2">
      <c r="B8" s="3" t="s">
        <v>20</v>
      </c>
      <c r="C8">
        <v>44.34</v>
      </c>
      <c r="D8">
        <v>6</v>
      </c>
      <c r="E8">
        <v>1E-3</v>
      </c>
      <c r="F8" s="9">
        <v>7.9893299999999993E-3</v>
      </c>
      <c r="G8">
        <v>0.06</v>
      </c>
      <c r="H8" s="6">
        <v>1.83</v>
      </c>
      <c r="I8" s="6">
        <v>6.25E-2</v>
      </c>
      <c r="J8" s="6">
        <v>0.55900000000000005</v>
      </c>
      <c r="K8">
        <v>1</v>
      </c>
      <c r="L8">
        <v>1000</v>
      </c>
      <c r="M8">
        <v>0.3</v>
      </c>
      <c r="N8">
        <v>15</v>
      </c>
      <c r="O8" s="7">
        <v>1.8328000000000002</v>
      </c>
      <c r="P8" s="7">
        <v>5.8866666666666664E-2</v>
      </c>
      <c r="Q8" s="7">
        <v>0.49773333333333331</v>
      </c>
      <c r="R8">
        <v>1.3665</v>
      </c>
      <c r="S8">
        <v>-8.0399999999999999E-2</v>
      </c>
    </row>
    <row r="10" spans="1:19" x14ac:dyDescent="0.2">
      <c r="A10" t="s">
        <v>34</v>
      </c>
      <c r="B10" t="s">
        <v>32</v>
      </c>
      <c r="C10" s="1" t="s">
        <v>6</v>
      </c>
      <c r="D10" s="1" t="s">
        <v>7</v>
      </c>
      <c r="E10" s="1" t="s">
        <v>8</v>
      </c>
      <c r="F10" s="1" t="s">
        <v>39</v>
      </c>
      <c r="G10" s="1" t="s">
        <v>21</v>
      </c>
      <c r="H10" s="1" t="s">
        <v>9</v>
      </c>
      <c r="I10" s="1" t="s">
        <v>10</v>
      </c>
      <c r="J10" s="1" t="s">
        <v>11</v>
      </c>
      <c r="K10" s="1" t="s">
        <v>12</v>
      </c>
      <c r="L10" s="1" t="s">
        <v>13</v>
      </c>
      <c r="M10" s="1" t="s">
        <v>14</v>
      </c>
      <c r="N10" s="1" t="s">
        <v>15</v>
      </c>
      <c r="O10" s="1" t="s">
        <v>16</v>
      </c>
      <c r="P10" s="1" t="s">
        <v>17</v>
      </c>
      <c r="Q10" s="1" t="s">
        <v>18</v>
      </c>
      <c r="R10" s="1" t="s">
        <v>36</v>
      </c>
    </row>
    <row r="11" spans="1:19" x14ac:dyDescent="0.2">
      <c r="B11" s="2" t="s">
        <v>0</v>
      </c>
      <c r="C11">
        <v>38.42</v>
      </c>
      <c r="D11">
        <v>5</v>
      </c>
      <c r="E11">
        <v>1E-3</v>
      </c>
      <c r="F11" s="9">
        <v>5.4082599999999998E-3</v>
      </c>
      <c r="G11">
        <v>0.4</v>
      </c>
      <c r="H11" s="6">
        <v>130</v>
      </c>
      <c r="I11" s="6">
        <v>0.2</v>
      </c>
      <c r="J11" s="6">
        <v>3</v>
      </c>
      <c r="K11">
        <v>1</v>
      </c>
      <c r="L11">
        <v>1000</v>
      </c>
      <c r="M11">
        <v>0.3</v>
      </c>
      <c r="N11">
        <v>15</v>
      </c>
      <c r="O11" s="7">
        <v>74.476761999999994</v>
      </c>
      <c r="P11" s="7">
        <v>0.493566</v>
      </c>
      <c r="Q11" s="7">
        <v>1.2915289999999999</v>
      </c>
      <c r="R11" t="s">
        <v>35</v>
      </c>
    </row>
    <row r="12" spans="1:19" x14ac:dyDescent="0.2">
      <c r="B12" s="2" t="s">
        <v>1</v>
      </c>
      <c r="C12">
        <v>38.42</v>
      </c>
      <c r="D12">
        <v>5</v>
      </c>
      <c r="E12">
        <v>1E-3</v>
      </c>
      <c r="F12" s="9">
        <v>5.8838400000000004E-3</v>
      </c>
      <c r="G12">
        <v>0.6</v>
      </c>
      <c r="H12" s="6">
        <v>160</v>
      </c>
      <c r="I12" s="6">
        <v>-1.9E-2</v>
      </c>
      <c r="J12" s="6">
        <v>2.56</v>
      </c>
      <c r="K12">
        <v>1</v>
      </c>
      <c r="L12">
        <v>1000</v>
      </c>
      <c r="M12">
        <v>0.3</v>
      </c>
      <c r="N12">
        <v>15</v>
      </c>
      <c r="O12" s="7">
        <v>9.9626979999999996</v>
      </c>
      <c r="P12" s="7">
        <v>2.5046710000000001</v>
      </c>
      <c r="Q12" s="7">
        <v>1.0576E-2</v>
      </c>
      <c r="R12" t="s">
        <v>37</v>
      </c>
    </row>
    <row r="13" spans="1:19" x14ac:dyDescent="0.2">
      <c r="B13" s="2" t="s">
        <v>2</v>
      </c>
      <c r="C13">
        <v>38.42</v>
      </c>
      <c r="D13">
        <v>5</v>
      </c>
      <c r="E13">
        <v>1E-3</v>
      </c>
      <c r="F13" s="9">
        <v>4.3793900000000004E-3</v>
      </c>
      <c r="G13">
        <v>0.3</v>
      </c>
      <c r="H13" s="6">
        <v>90</v>
      </c>
      <c r="I13" s="6">
        <v>0.3</v>
      </c>
      <c r="J13" s="6">
        <v>1</v>
      </c>
      <c r="K13">
        <v>1</v>
      </c>
      <c r="L13">
        <v>1000</v>
      </c>
      <c r="M13">
        <v>0.3</v>
      </c>
      <c r="N13">
        <v>15</v>
      </c>
      <c r="O13" s="7">
        <v>9.9634850000000004</v>
      </c>
      <c r="P13" s="7">
        <v>2.583863</v>
      </c>
      <c r="Q13" s="7">
        <v>1.0777999999999999E-2</v>
      </c>
      <c r="R13" t="s">
        <v>37</v>
      </c>
    </row>
    <row r="14" spans="1:19" x14ac:dyDescent="0.2">
      <c r="B14" s="2" t="s">
        <v>3</v>
      </c>
      <c r="C14">
        <v>38.42</v>
      </c>
      <c r="D14">
        <v>5</v>
      </c>
      <c r="E14">
        <v>1E-3</v>
      </c>
      <c r="F14" s="9">
        <v>7.7629300000000004E-3</v>
      </c>
      <c r="G14">
        <v>0.04</v>
      </c>
      <c r="H14" s="6">
        <v>8</v>
      </c>
      <c r="I14" s="6">
        <v>2.98E-2</v>
      </c>
      <c r="J14" s="6">
        <v>1.64</v>
      </c>
      <c r="K14">
        <v>1</v>
      </c>
      <c r="L14">
        <v>1000</v>
      </c>
      <c r="M14">
        <v>0.3</v>
      </c>
      <c r="N14">
        <v>15</v>
      </c>
      <c r="O14" s="7">
        <v>7.9283159999999997</v>
      </c>
      <c r="P14" s="7">
        <v>2.500807</v>
      </c>
      <c r="Q14" s="7">
        <v>1.4974229999999999</v>
      </c>
      <c r="R14" t="s">
        <v>40</v>
      </c>
    </row>
    <row r="15" spans="1:19" x14ac:dyDescent="0.2">
      <c r="B15" s="2" t="s">
        <v>4</v>
      </c>
      <c r="C15">
        <v>38.42</v>
      </c>
      <c r="D15">
        <v>5</v>
      </c>
      <c r="E15">
        <v>1E-3</v>
      </c>
      <c r="F15" s="9">
        <v>9.7615400000000008E-3</v>
      </c>
      <c r="G15">
        <v>0.09</v>
      </c>
      <c r="H15" s="6">
        <v>22</v>
      </c>
      <c r="I15" s="6">
        <v>0.08</v>
      </c>
      <c r="J15" s="6">
        <v>1.54</v>
      </c>
      <c r="K15">
        <v>1</v>
      </c>
      <c r="L15">
        <v>1000</v>
      </c>
      <c r="M15">
        <v>0.3</v>
      </c>
      <c r="N15">
        <v>15</v>
      </c>
      <c r="O15" s="7">
        <v>9.9664040000000007</v>
      </c>
      <c r="P15" s="7">
        <v>2.4874670000000001</v>
      </c>
      <c r="Q15" s="7">
        <v>1.5121000000000001E-2</v>
      </c>
      <c r="R15" t="s">
        <v>38</v>
      </c>
    </row>
    <row r="16" spans="1:19" x14ac:dyDescent="0.2">
      <c r="B16" s="2" t="s">
        <v>5</v>
      </c>
      <c r="C16">
        <v>38.42</v>
      </c>
      <c r="D16">
        <v>5</v>
      </c>
      <c r="E16">
        <v>1E-3</v>
      </c>
      <c r="F16" s="9">
        <v>1.6392650000000002E-2</v>
      </c>
      <c r="G16">
        <v>0.05</v>
      </c>
      <c r="H16" s="6">
        <v>9</v>
      </c>
      <c r="I16" s="6">
        <v>4.0730000000000002E-2</v>
      </c>
      <c r="J16" s="6">
        <v>1</v>
      </c>
      <c r="K16">
        <v>1</v>
      </c>
      <c r="L16">
        <v>1000</v>
      </c>
      <c r="M16">
        <v>0.3</v>
      </c>
      <c r="N16">
        <v>15</v>
      </c>
      <c r="O16" s="7">
        <v>8.4774259999999995</v>
      </c>
      <c r="P16" s="7">
        <v>2.3401420000000002</v>
      </c>
      <c r="Q16" s="7">
        <v>1.1168389999999999</v>
      </c>
      <c r="R16" t="s">
        <v>40</v>
      </c>
    </row>
    <row r="17" spans="2:17" x14ac:dyDescent="0.2">
      <c r="B17" s="3" t="s">
        <v>20</v>
      </c>
      <c r="C17">
        <v>38.42</v>
      </c>
      <c r="D17">
        <v>5</v>
      </c>
      <c r="E17">
        <v>1E-3</v>
      </c>
      <c r="F17" s="9">
        <v>7.9893299999999993E-3</v>
      </c>
      <c r="G17">
        <v>0.06</v>
      </c>
      <c r="H17" s="6">
        <v>15</v>
      </c>
      <c r="I17" s="6">
        <v>6.25E-2</v>
      </c>
      <c r="J17" s="6">
        <v>1</v>
      </c>
      <c r="K17">
        <v>1</v>
      </c>
      <c r="L17">
        <v>1000</v>
      </c>
      <c r="M17">
        <v>0.3</v>
      </c>
      <c r="N17">
        <v>15</v>
      </c>
      <c r="O17" s="7">
        <v>9.9517950000000006</v>
      </c>
      <c r="P17" s="7">
        <v>2.4743040000000001</v>
      </c>
      <c r="Q17" s="7">
        <v>0.16061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T17"/>
  <sheetViews>
    <sheetView workbookViewId="0">
      <selection activeCell="B10" sqref="B10:S17"/>
    </sheetView>
  </sheetViews>
  <sheetFormatPr baseColWidth="10" defaultColWidth="8.83203125" defaultRowHeight="15" x14ac:dyDescent="0.2"/>
  <cols>
    <col min="3" max="3" width="15" bestFit="1" customWidth="1"/>
  </cols>
  <sheetData>
    <row r="1" spans="2:20" x14ac:dyDescent="0.2">
      <c r="B1" t="s">
        <v>33</v>
      </c>
      <c r="C1" t="s">
        <v>32</v>
      </c>
      <c r="D1" s="1" t="s">
        <v>6</v>
      </c>
      <c r="E1" s="1" t="s">
        <v>7</v>
      </c>
      <c r="F1" s="1" t="s">
        <v>8</v>
      </c>
      <c r="G1" s="1" t="s">
        <v>39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t="s">
        <v>28</v>
      </c>
      <c r="T1" t="s">
        <v>29</v>
      </c>
    </row>
    <row r="2" spans="2:20" x14ac:dyDescent="0.2">
      <c r="C2" s="2" t="s">
        <v>0</v>
      </c>
      <c r="D2">
        <v>44.34</v>
      </c>
      <c r="E2">
        <v>6</v>
      </c>
      <c r="F2">
        <v>0.01</v>
      </c>
      <c r="G2" s="9">
        <v>5.4082599999999998E-3</v>
      </c>
      <c r="H2">
        <v>0.4</v>
      </c>
      <c r="I2" s="6">
        <v>80</v>
      </c>
      <c r="J2" s="6">
        <v>0.25</v>
      </c>
      <c r="K2" s="6">
        <v>1.2</v>
      </c>
      <c r="L2">
        <v>1</v>
      </c>
      <c r="M2">
        <v>1000</v>
      </c>
      <c r="N2">
        <v>0.3</v>
      </c>
      <c r="O2">
        <v>15</v>
      </c>
      <c r="P2" s="7">
        <v>43.510133333333329</v>
      </c>
      <c r="Q2" s="7">
        <v>0.25653333333333334</v>
      </c>
      <c r="R2" s="7">
        <v>1.2435333333333332</v>
      </c>
      <c r="S2">
        <v>1.3745000000000001</v>
      </c>
      <c r="T2">
        <v>-0.13619999999999999</v>
      </c>
    </row>
    <row r="3" spans="2:20" x14ac:dyDescent="0.2">
      <c r="C3" s="2" t="s">
        <v>1</v>
      </c>
      <c r="D3">
        <v>44.34</v>
      </c>
      <c r="E3">
        <v>6</v>
      </c>
      <c r="F3">
        <v>0.01</v>
      </c>
      <c r="G3" s="9">
        <v>5.8838400000000004E-3</v>
      </c>
      <c r="H3">
        <v>0.6</v>
      </c>
      <c r="I3" s="6">
        <v>100</v>
      </c>
      <c r="J3" s="6">
        <v>0.35</v>
      </c>
      <c r="K3" s="6">
        <v>1.1739999999999999</v>
      </c>
      <c r="L3">
        <v>1</v>
      </c>
      <c r="M3">
        <v>1000</v>
      </c>
      <c r="N3">
        <v>0.3</v>
      </c>
      <c r="O3">
        <v>15</v>
      </c>
      <c r="P3" s="7">
        <v>6.6783999999999999</v>
      </c>
      <c r="Q3" s="7">
        <v>0.34806666666666669</v>
      </c>
      <c r="R3" s="7">
        <v>1.0939333333333332</v>
      </c>
      <c r="S3">
        <v>1.1913</v>
      </c>
      <c r="T3">
        <v>-0.11700000000000001</v>
      </c>
    </row>
    <row r="4" spans="2:20" x14ac:dyDescent="0.2">
      <c r="C4" s="2" t="s">
        <v>2</v>
      </c>
      <c r="D4">
        <v>44.34</v>
      </c>
      <c r="E4">
        <v>6</v>
      </c>
      <c r="F4">
        <v>0.01</v>
      </c>
      <c r="G4" s="9">
        <v>4.3793900000000004E-3</v>
      </c>
      <c r="H4">
        <v>0.3</v>
      </c>
      <c r="I4" s="6">
        <v>1.74</v>
      </c>
      <c r="J4" s="6">
        <v>0.3</v>
      </c>
      <c r="K4" s="6">
        <v>0.84</v>
      </c>
      <c r="L4">
        <v>1</v>
      </c>
      <c r="M4">
        <v>1000</v>
      </c>
      <c r="N4">
        <v>0.3</v>
      </c>
      <c r="O4">
        <v>15</v>
      </c>
      <c r="P4" s="7">
        <v>1.7363333333333335</v>
      </c>
      <c r="Q4" s="7">
        <v>0.30426666666666663</v>
      </c>
      <c r="R4" s="7">
        <v>0.84433333333333316</v>
      </c>
      <c r="S4">
        <v>1.5528999999999999</v>
      </c>
      <c r="T4">
        <v>-0.10929999999999999</v>
      </c>
    </row>
    <row r="5" spans="2:20" x14ac:dyDescent="0.2">
      <c r="C5" s="2" t="s">
        <v>3</v>
      </c>
      <c r="D5">
        <v>44.34</v>
      </c>
      <c r="E5">
        <v>6</v>
      </c>
      <c r="F5">
        <v>1E-3</v>
      </c>
      <c r="G5" s="9">
        <v>7.7629300000000004E-3</v>
      </c>
      <c r="H5">
        <v>0.04</v>
      </c>
      <c r="I5" s="6">
        <v>3.7444999999999999</v>
      </c>
      <c r="J5" s="6">
        <v>2.98E-2</v>
      </c>
      <c r="K5" s="6">
        <v>1.1516</v>
      </c>
      <c r="L5">
        <v>1</v>
      </c>
      <c r="M5">
        <v>1000</v>
      </c>
      <c r="N5">
        <v>0.3</v>
      </c>
      <c r="O5">
        <v>15</v>
      </c>
      <c r="P5" s="7">
        <v>1.9585333333333332</v>
      </c>
      <c r="Q5" s="7">
        <v>2.9933333333333347E-2</v>
      </c>
      <c r="R5" s="7">
        <v>1.1718666666666666</v>
      </c>
      <c r="S5">
        <v>0.66120000000000001</v>
      </c>
      <c r="T5">
        <v>-0.13569999999999999</v>
      </c>
    </row>
    <row r="6" spans="2:20" x14ac:dyDescent="0.2">
      <c r="C6" s="2" t="s">
        <v>4</v>
      </c>
      <c r="D6">
        <v>44.34</v>
      </c>
      <c r="E6">
        <v>6</v>
      </c>
      <c r="F6">
        <v>1E-3</v>
      </c>
      <c r="G6" s="9">
        <v>9.7615400000000008E-3</v>
      </c>
      <c r="H6">
        <v>0.09</v>
      </c>
      <c r="I6" s="6">
        <v>5</v>
      </c>
      <c r="J6" s="6">
        <v>0.08</v>
      </c>
      <c r="K6" s="6">
        <v>1.45</v>
      </c>
      <c r="L6">
        <v>1</v>
      </c>
      <c r="M6">
        <v>1000</v>
      </c>
      <c r="N6">
        <v>0.3</v>
      </c>
      <c r="O6">
        <v>15</v>
      </c>
      <c r="P6" s="7">
        <v>2.0492666666666666</v>
      </c>
      <c r="Q6" s="7">
        <v>7.4666666666666659E-2</v>
      </c>
      <c r="R6" s="7">
        <v>1.1534</v>
      </c>
      <c r="S6">
        <v>1.1597</v>
      </c>
      <c r="T6">
        <v>-0.14299999999999999</v>
      </c>
    </row>
    <row r="7" spans="2:20" x14ac:dyDescent="0.2">
      <c r="C7" s="2" t="s">
        <v>5</v>
      </c>
      <c r="D7">
        <v>44.34</v>
      </c>
      <c r="E7">
        <v>6</v>
      </c>
      <c r="F7">
        <v>1E-3</v>
      </c>
      <c r="G7" s="9">
        <v>1.6392650000000002E-2</v>
      </c>
      <c r="H7">
        <v>0.05</v>
      </c>
      <c r="I7" s="6">
        <v>1.7822</v>
      </c>
      <c r="J7" s="6">
        <v>4.0730000000000002E-2</v>
      </c>
      <c r="K7" s="6">
        <v>0.90380000000000005</v>
      </c>
      <c r="L7">
        <v>1</v>
      </c>
      <c r="M7">
        <v>1000</v>
      </c>
      <c r="N7">
        <v>0.3</v>
      </c>
      <c r="O7">
        <v>15</v>
      </c>
      <c r="P7" s="7">
        <v>1.4690666666666667</v>
      </c>
      <c r="Q7" s="7">
        <v>4.0666666666666663E-2</v>
      </c>
      <c r="R7" s="7">
        <v>0.9080666666666668</v>
      </c>
      <c r="S7">
        <v>0.6915</v>
      </c>
      <c r="T7">
        <v>-0.1103</v>
      </c>
    </row>
    <row r="8" spans="2:20" x14ac:dyDescent="0.2">
      <c r="C8" s="3" t="s">
        <v>20</v>
      </c>
      <c r="D8">
        <v>44.34</v>
      </c>
      <c r="E8">
        <v>6</v>
      </c>
      <c r="F8">
        <v>1E-3</v>
      </c>
      <c r="G8" s="9">
        <v>7.9893299999999993E-3</v>
      </c>
      <c r="H8">
        <v>0.06</v>
      </c>
      <c r="I8" s="6">
        <v>1.83</v>
      </c>
      <c r="J8" s="6">
        <v>6.25E-2</v>
      </c>
      <c r="K8" s="6">
        <v>0.55900000000000005</v>
      </c>
      <c r="L8">
        <v>1</v>
      </c>
      <c r="M8">
        <v>1000</v>
      </c>
      <c r="N8">
        <v>0.3</v>
      </c>
      <c r="O8">
        <v>15</v>
      </c>
      <c r="P8" s="7">
        <v>1.8328000000000002</v>
      </c>
      <c r="Q8" s="7">
        <v>5.8866666666666664E-2</v>
      </c>
      <c r="R8" s="7">
        <v>0.49773333333333331</v>
      </c>
      <c r="S8">
        <v>1.3665</v>
      </c>
      <c r="T8">
        <v>-8.0399999999999999E-2</v>
      </c>
    </row>
    <row r="10" spans="2:20" x14ac:dyDescent="0.2">
      <c r="B10" t="s">
        <v>34</v>
      </c>
      <c r="C10" t="s">
        <v>32</v>
      </c>
      <c r="D10" s="1" t="s">
        <v>6</v>
      </c>
      <c r="E10" s="1" t="s">
        <v>7</v>
      </c>
      <c r="F10" s="1" t="s">
        <v>8</v>
      </c>
      <c r="G10" s="1" t="s">
        <v>39</v>
      </c>
      <c r="H10" s="1" t="s">
        <v>21</v>
      </c>
      <c r="I10" s="1" t="s">
        <v>9</v>
      </c>
      <c r="J10" s="1" t="s">
        <v>10</v>
      </c>
      <c r="K10" s="1" t="s">
        <v>11</v>
      </c>
      <c r="L10" s="1" t="s">
        <v>12</v>
      </c>
      <c r="M10" s="1" t="s">
        <v>13</v>
      </c>
      <c r="N10" s="1" t="s">
        <v>14</v>
      </c>
      <c r="O10" s="1" t="s">
        <v>15</v>
      </c>
      <c r="P10" s="1" t="s">
        <v>16</v>
      </c>
      <c r="Q10" s="1" t="s">
        <v>17</v>
      </c>
      <c r="R10" s="1" t="s">
        <v>18</v>
      </c>
      <c r="S10" s="1" t="s">
        <v>36</v>
      </c>
    </row>
    <row r="11" spans="2:20" x14ac:dyDescent="0.2">
      <c r="C11" s="2" t="s">
        <v>0</v>
      </c>
      <c r="D11">
        <v>38.42</v>
      </c>
      <c r="E11">
        <v>5</v>
      </c>
      <c r="F11">
        <v>1E-3</v>
      </c>
      <c r="G11" s="9">
        <v>5.4082599999999998E-3</v>
      </c>
      <c r="H11">
        <v>0.4</v>
      </c>
      <c r="I11" s="6">
        <v>101</v>
      </c>
      <c r="J11" s="6">
        <v>0.2</v>
      </c>
      <c r="K11" s="6">
        <v>2.19</v>
      </c>
      <c r="L11">
        <v>1</v>
      </c>
      <c r="M11">
        <v>1000</v>
      </c>
      <c r="N11">
        <v>0.3</v>
      </c>
      <c r="O11">
        <v>15</v>
      </c>
      <c r="P11" s="7">
        <v>74.418077999999994</v>
      </c>
      <c r="Q11" s="7">
        <v>0.498172</v>
      </c>
      <c r="R11" s="7">
        <v>1.2893950000000001</v>
      </c>
      <c r="S11" t="s">
        <v>35</v>
      </c>
    </row>
    <row r="12" spans="2:20" x14ac:dyDescent="0.2">
      <c r="C12" s="2" t="s">
        <v>1</v>
      </c>
      <c r="D12">
        <v>38.42</v>
      </c>
      <c r="E12">
        <v>5</v>
      </c>
      <c r="F12">
        <v>1E-3</v>
      </c>
      <c r="G12" s="9">
        <v>5.8838400000000004E-3</v>
      </c>
      <c r="H12">
        <v>0.6</v>
      </c>
      <c r="I12" s="6">
        <v>160</v>
      </c>
      <c r="J12" s="6">
        <v>-1.9E-2</v>
      </c>
      <c r="K12" s="6">
        <v>2.56</v>
      </c>
      <c r="L12">
        <v>1</v>
      </c>
      <c r="M12">
        <v>1000</v>
      </c>
      <c r="N12">
        <v>0.3</v>
      </c>
      <c r="O12">
        <v>15</v>
      </c>
      <c r="P12" s="7">
        <v>99.661562000000004</v>
      </c>
      <c r="Q12" s="7">
        <v>2.6040570000000001</v>
      </c>
      <c r="R12" s="7">
        <v>1.111639</v>
      </c>
      <c r="S12" t="s">
        <v>35</v>
      </c>
    </row>
    <row r="13" spans="2:20" x14ac:dyDescent="0.2">
      <c r="C13" s="2" t="s">
        <v>2</v>
      </c>
      <c r="D13">
        <v>38.42</v>
      </c>
      <c r="E13">
        <v>5</v>
      </c>
      <c r="F13">
        <v>1E-3</v>
      </c>
      <c r="G13" s="9">
        <v>4.3793900000000004E-3</v>
      </c>
      <c r="H13">
        <v>0.3</v>
      </c>
      <c r="I13" s="6">
        <v>90</v>
      </c>
      <c r="J13" s="6">
        <v>0.3</v>
      </c>
      <c r="K13" s="6">
        <v>1</v>
      </c>
      <c r="L13">
        <v>1</v>
      </c>
      <c r="M13">
        <v>1000</v>
      </c>
      <c r="N13">
        <v>0.3</v>
      </c>
      <c r="O13">
        <v>15</v>
      </c>
      <c r="P13" s="7">
        <v>90.191810000000004</v>
      </c>
      <c r="Q13" s="7">
        <v>2.6850480000000001</v>
      </c>
      <c r="R13" s="7">
        <v>0.98884000000000005</v>
      </c>
      <c r="S13" t="s">
        <v>35</v>
      </c>
    </row>
    <row r="14" spans="2:20" x14ac:dyDescent="0.2">
      <c r="C14" s="2" t="s">
        <v>3</v>
      </c>
      <c r="D14">
        <v>38.42</v>
      </c>
      <c r="E14">
        <v>5</v>
      </c>
      <c r="F14">
        <v>1E-3</v>
      </c>
      <c r="G14" s="9">
        <v>7.7629300000000004E-3</v>
      </c>
      <c r="H14">
        <v>0.04</v>
      </c>
      <c r="I14" s="6">
        <v>8</v>
      </c>
      <c r="J14" s="6">
        <v>2.98E-2</v>
      </c>
      <c r="K14" s="6">
        <v>1.64</v>
      </c>
      <c r="L14">
        <v>1</v>
      </c>
      <c r="M14">
        <v>1000</v>
      </c>
      <c r="N14">
        <v>0.3</v>
      </c>
      <c r="O14">
        <v>15</v>
      </c>
      <c r="P14" s="7">
        <v>7.9067360000000004</v>
      </c>
      <c r="Q14" s="7">
        <v>2.2681830000000001</v>
      </c>
      <c r="R14" s="7">
        <v>1.49176</v>
      </c>
      <c r="S14" t="s">
        <v>35</v>
      </c>
    </row>
    <row r="15" spans="2:20" x14ac:dyDescent="0.2">
      <c r="C15" s="2" t="s">
        <v>4</v>
      </c>
      <c r="D15">
        <v>38.42</v>
      </c>
      <c r="E15">
        <v>5</v>
      </c>
      <c r="F15">
        <v>1E-3</v>
      </c>
      <c r="G15" s="9">
        <v>9.7615400000000008E-3</v>
      </c>
      <c r="H15">
        <v>0.09</v>
      </c>
      <c r="I15" s="6">
        <v>22</v>
      </c>
      <c r="J15" s="6">
        <v>0.08</v>
      </c>
      <c r="K15" s="6">
        <v>1.54</v>
      </c>
      <c r="L15">
        <v>1</v>
      </c>
      <c r="M15">
        <v>1000</v>
      </c>
      <c r="N15">
        <v>0.3</v>
      </c>
      <c r="O15">
        <v>15</v>
      </c>
      <c r="P15" s="7">
        <v>21.29297</v>
      </c>
      <c r="Q15" s="7">
        <v>2.5027620000000002</v>
      </c>
      <c r="R15" s="7">
        <v>1.3925749999999999</v>
      </c>
      <c r="S15" t="s">
        <v>35</v>
      </c>
    </row>
    <row r="16" spans="2:20" x14ac:dyDescent="0.2">
      <c r="C16" s="2" t="s">
        <v>5</v>
      </c>
      <c r="D16">
        <v>38.42</v>
      </c>
      <c r="E16">
        <v>5</v>
      </c>
      <c r="F16">
        <v>1E-3</v>
      </c>
      <c r="G16" s="9">
        <v>1.6392650000000002E-2</v>
      </c>
      <c r="H16">
        <v>0.05</v>
      </c>
      <c r="I16" s="6">
        <v>8.36</v>
      </c>
      <c r="J16" s="6">
        <v>4.0730000000000002E-2</v>
      </c>
      <c r="K16" s="6">
        <v>1.05</v>
      </c>
      <c r="L16">
        <v>1</v>
      </c>
      <c r="M16">
        <v>1000</v>
      </c>
      <c r="N16">
        <v>0.3</v>
      </c>
      <c r="O16">
        <v>15</v>
      </c>
      <c r="P16" s="7">
        <v>8.4858890000000002</v>
      </c>
      <c r="Q16" s="7">
        <v>2.5398610000000001</v>
      </c>
      <c r="R16" s="7">
        <v>1.1174980000000001</v>
      </c>
      <c r="S16" t="s">
        <v>35</v>
      </c>
    </row>
    <row r="17" spans="3:19" x14ac:dyDescent="0.2">
      <c r="C17" s="3" t="s">
        <v>20</v>
      </c>
      <c r="D17">
        <v>38.42</v>
      </c>
      <c r="E17">
        <v>5</v>
      </c>
      <c r="F17">
        <v>1E-3</v>
      </c>
      <c r="G17" s="9">
        <v>7.9893299999999993E-3</v>
      </c>
      <c r="H17">
        <v>0.06</v>
      </c>
      <c r="I17" s="6">
        <v>12.7</v>
      </c>
      <c r="J17" s="6">
        <v>7.3999999999999996E-2</v>
      </c>
      <c r="K17" s="6">
        <v>0.6</v>
      </c>
      <c r="L17">
        <v>1</v>
      </c>
      <c r="M17">
        <v>1000</v>
      </c>
      <c r="N17">
        <v>0.3</v>
      </c>
      <c r="O17">
        <v>15</v>
      </c>
      <c r="P17" s="7">
        <v>9.9517950000000006</v>
      </c>
      <c r="Q17" s="7">
        <v>2.4743040000000001</v>
      </c>
      <c r="R17" s="7">
        <v>0.16061</v>
      </c>
      <c r="S17" t="s">
        <v>35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7"/>
  <sheetViews>
    <sheetView topLeftCell="A4" workbookViewId="0">
      <selection activeCell="C10" sqref="C10:R17"/>
    </sheetView>
  </sheetViews>
  <sheetFormatPr baseColWidth="10" defaultColWidth="8.83203125" defaultRowHeight="15" x14ac:dyDescent="0.2"/>
  <cols>
    <col min="2" max="2" width="10.1640625" bestFit="1" customWidth="1"/>
    <col min="3" max="3" width="15" bestFit="1" customWidth="1"/>
    <col min="9" max="10" width="13.1640625" bestFit="1" customWidth="1"/>
    <col min="11" max="11" width="11.1640625" customWidth="1"/>
    <col min="16" max="16" width="11.33203125" customWidth="1"/>
    <col min="17" max="18" width="11.5" customWidth="1"/>
    <col min="19" max="19" width="11.5" bestFit="1" customWidth="1"/>
  </cols>
  <sheetData>
    <row r="1" spans="1:18" x14ac:dyDescent="0.2">
      <c r="B1" t="s">
        <v>34</v>
      </c>
      <c r="C1" t="s">
        <v>32</v>
      </c>
      <c r="D1" s="1" t="s">
        <v>6</v>
      </c>
      <c r="E1" s="1" t="s">
        <v>8</v>
      </c>
      <c r="F1" s="1" t="s">
        <v>39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36</v>
      </c>
    </row>
    <row r="2" spans="1:18" x14ac:dyDescent="0.2">
      <c r="C2" s="2" t="s">
        <v>0</v>
      </c>
      <c r="D2">
        <v>38.42</v>
      </c>
      <c r="E2">
        <v>1E-3</v>
      </c>
      <c r="F2" s="9">
        <v>5.4082599999999998E-3</v>
      </c>
      <c r="G2">
        <v>0.4</v>
      </c>
      <c r="H2" s="6">
        <v>101</v>
      </c>
      <c r="I2" s="6">
        <v>0.2</v>
      </c>
      <c r="J2" s="6">
        <v>2.19</v>
      </c>
      <c r="K2">
        <v>1</v>
      </c>
      <c r="L2">
        <v>1000</v>
      </c>
      <c r="M2">
        <v>0.3</v>
      </c>
      <c r="N2">
        <v>15</v>
      </c>
      <c r="O2" s="7">
        <v>74.418077999999994</v>
      </c>
      <c r="P2" s="7">
        <v>0.498172</v>
      </c>
      <c r="Q2" s="7">
        <v>1.2893950000000001</v>
      </c>
      <c r="R2" t="s">
        <v>35</v>
      </c>
    </row>
    <row r="3" spans="1:18" x14ac:dyDescent="0.2">
      <c r="C3" s="2" t="s">
        <v>1</v>
      </c>
      <c r="D3">
        <v>38.42</v>
      </c>
      <c r="E3">
        <v>1E-3</v>
      </c>
      <c r="F3" s="9">
        <v>5.8838400000000004E-3</v>
      </c>
      <c r="G3">
        <v>0.6</v>
      </c>
      <c r="H3" s="6">
        <v>160</v>
      </c>
      <c r="I3" s="6">
        <v>-1.9E-2</v>
      </c>
      <c r="J3" s="6">
        <v>2.56</v>
      </c>
      <c r="K3">
        <v>1</v>
      </c>
      <c r="L3">
        <v>1000</v>
      </c>
      <c r="M3">
        <v>0.3</v>
      </c>
      <c r="N3">
        <v>15</v>
      </c>
      <c r="O3" s="7">
        <v>99.661562000000004</v>
      </c>
      <c r="P3" s="7">
        <v>2.6040570000000001</v>
      </c>
      <c r="Q3" s="7">
        <v>1.111639</v>
      </c>
      <c r="R3" t="s">
        <v>35</v>
      </c>
    </row>
    <row r="4" spans="1:18" x14ac:dyDescent="0.2">
      <c r="C4" s="2" t="s">
        <v>2</v>
      </c>
      <c r="D4">
        <v>38.42</v>
      </c>
      <c r="E4">
        <v>1E-3</v>
      </c>
      <c r="F4" s="9">
        <v>4.3793900000000004E-3</v>
      </c>
      <c r="G4">
        <v>0.3</v>
      </c>
      <c r="H4" s="6">
        <v>90</v>
      </c>
      <c r="I4" s="6">
        <v>0.3</v>
      </c>
      <c r="J4" s="6">
        <v>1</v>
      </c>
      <c r="K4">
        <v>1</v>
      </c>
      <c r="L4">
        <v>1000</v>
      </c>
      <c r="M4">
        <v>0.3</v>
      </c>
      <c r="N4">
        <v>15</v>
      </c>
      <c r="O4" s="7">
        <v>90.191810000000004</v>
      </c>
      <c r="P4" s="7">
        <v>2.6850480000000001</v>
      </c>
      <c r="Q4" s="7">
        <v>0.98884000000000005</v>
      </c>
      <c r="R4" t="s">
        <v>35</v>
      </c>
    </row>
    <row r="5" spans="1:18" x14ac:dyDescent="0.2">
      <c r="C5" s="2" t="s">
        <v>3</v>
      </c>
      <c r="D5">
        <v>38.42</v>
      </c>
      <c r="E5">
        <v>1E-3</v>
      </c>
      <c r="F5" s="9">
        <v>7.7629300000000004E-3</v>
      </c>
      <c r="G5">
        <v>0.04</v>
      </c>
      <c r="H5" s="6">
        <v>8</v>
      </c>
      <c r="I5" s="6">
        <v>2.98E-2</v>
      </c>
      <c r="J5" s="6">
        <v>1.64</v>
      </c>
      <c r="K5">
        <v>1</v>
      </c>
      <c r="L5">
        <v>1000</v>
      </c>
      <c r="M5">
        <v>0.3</v>
      </c>
      <c r="N5">
        <v>15</v>
      </c>
      <c r="O5" s="7">
        <v>7.9067360000000004</v>
      </c>
      <c r="P5" s="7">
        <v>2.2681830000000001</v>
      </c>
      <c r="Q5" s="7">
        <v>1.49176</v>
      </c>
      <c r="R5" t="s">
        <v>35</v>
      </c>
    </row>
    <row r="6" spans="1:18" x14ac:dyDescent="0.2">
      <c r="C6" s="2" t="s">
        <v>4</v>
      </c>
      <c r="D6">
        <v>38.42</v>
      </c>
      <c r="E6">
        <v>1E-3</v>
      </c>
      <c r="F6" s="9">
        <v>9.7615400000000008E-3</v>
      </c>
      <c r="G6">
        <v>0.09</v>
      </c>
      <c r="H6" s="6">
        <v>22</v>
      </c>
      <c r="I6" s="6">
        <v>0.08</v>
      </c>
      <c r="J6" s="6">
        <v>1.54</v>
      </c>
      <c r="K6">
        <v>1</v>
      </c>
      <c r="L6">
        <v>1000</v>
      </c>
      <c r="M6">
        <v>0.3</v>
      </c>
      <c r="N6">
        <v>15</v>
      </c>
      <c r="O6" s="7">
        <v>21.29297</v>
      </c>
      <c r="P6" s="7">
        <v>2.5027620000000002</v>
      </c>
      <c r="Q6" s="7">
        <v>1.3925749999999999</v>
      </c>
      <c r="R6" t="s">
        <v>35</v>
      </c>
    </row>
    <row r="7" spans="1:18" x14ac:dyDescent="0.2">
      <c r="C7" s="2" t="s">
        <v>5</v>
      </c>
      <c r="D7">
        <v>38.42</v>
      </c>
      <c r="E7">
        <v>1E-3</v>
      </c>
      <c r="F7" s="9">
        <v>1.6392650000000002E-2</v>
      </c>
      <c r="G7">
        <v>0.05</v>
      </c>
      <c r="H7" s="6">
        <v>8.36</v>
      </c>
      <c r="I7" s="6">
        <v>4.0730000000000002E-2</v>
      </c>
      <c r="J7" s="6">
        <v>1.05</v>
      </c>
      <c r="K7">
        <v>1</v>
      </c>
      <c r="L7">
        <v>1000</v>
      </c>
      <c r="M7">
        <v>0.3</v>
      </c>
      <c r="N7">
        <v>15</v>
      </c>
      <c r="O7" s="7">
        <v>8.4858890000000002</v>
      </c>
      <c r="P7" s="7">
        <v>2.5398610000000001</v>
      </c>
      <c r="Q7" s="7">
        <v>1.1174980000000001</v>
      </c>
      <c r="R7" t="s">
        <v>35</v>
      </c>
    </row>
    <row r="8" spans="1:18" x14ac:dyDescent="0.2">
      <c r="C8" s="3" t="s">
        <v>20</v>
      </c>
      <c r="D8">
        <v>38.42</v>
      </c>
      <c r="E8">
        <v>1E-3</v>
      </c>
      <c r="F8" s="9">
        <v>7.9893299999999993E-3</v>
      </c>
      <c r="G8">
        <v>0.06</v>
      </c>
      <c r="H8" s="6">
        <v>12.7</v>
      </c>
      <c r="I8" s="6">
        <v>7.3999999999999996E-2</v>
      </c>
      <c r="J8" s="6">
        <v>0.6</v>
      </c>
      <c r="K8">
        <v>1</v>
      </c>
      <c r="L8">
        <v>1000</v>
      </c>
      <c r="M8">
        <v>0.3</v>
      </c>
      <c r="N8">
        <v>15</v>
      </c>
      <c r="O8" s="7">
        <v>9.9517950000000006</v>
      </c>
      <c r="P8" s="7">
        <v>2.4743040000000001</v>
      </c>
      <c r="Q8" s="7">
        <v>0.16061</v>
      </c>
      <c r="R8" t="s">
        <v>35</v>
      </c>
    </row>
    <row r="10" spans="1:18" x14ac:dyDescent="0.2">
      <c r="A10" t="s">
        <v>42</v>
      </c>
      <c r="B10" t="s">
        <v>41</v>
      </c>
      <c r="C10" t="s">
        <v>32</v>
      </c>
      <c r="D10" s="1" t="s">
        <v>6</v>
      </c>
      <c r="E10" s="1" t="s">
        <v>8</v>
      </c>
      <c r="F10" s="1" t="s">
        <v>39</v>
      </c>
      <c r="G10" s="1" t="s">
        <v>21</v>
      </c>
      <c r="H10" s="1" t="s">
        <v>9</v>
      </c>
      <c r="I10" s="1" t="s">
        <v>43</v>
      </c>
      <c r="J10" s="1" t="s">
        <v>44</v>
      </c>
      <c r="K10" s="1" t="s">
        <v>12</v>
      </c>
      <c r="L10" s="1" t="s">
        <v>13</v>
      </c>
      <c r="M10" s="1" t="s">
        <v>14</v>
      </c>
      <c r="N10" s="1" t="s">
        <v>15</v>
      </c>
      <c r="O10" s="1" t="s">
        <v>16</v>
      </c>
      <c r="P10" s="1" t="s">
        <v>45</v>
      </c>
      <c r="Q10" s="1" t="s">
        <v>46</v>
      </c>
      <c r="R10" s="1" t="s">
        <v>36</v>
      </c>
    </row>
    <row r="11" spans="1:18" x14ac:dyDescent="0.2">
      <c r="C11" s="2" t="s">
        <v>0</v>
      </c>
      <c r="D11">
        <v>38.42</v>
      </c>
      <c r="E11">
        <v>1E-3</v>
      </c>
      <c r="F11" s="9">
        <v>5.4082599999999998E-3</v>
      </c>
      <c r="G11">
        <v>0.4</v>
      </c>
      <c r="H11" s="6">
        <v>205</v>
      </c>
      <c r="I11" s="6">
        <v>11.6</v>
      </c>
      <c r="J11" s="6">
        <v>0.97</v>
      </c>
      <c r="K11">
        <v>1</v>
      </c>
      <c r="L11">
        <v>1000</v>
      </c>
      <c r="M11">
        <v>0.3</v>
      </c>
      <c r="N11">
        <v>15</v>
      </c>
      <c r="O11" s="7">
        <v>194.759388</v>
      </c>
      <c r="P11" s="7">
        <v>10.476826000000001</v>
      </c>
      <c r="Q11" s="7">
        <v>1.1951240000000001</v>
      </c>
      <c r="R11" t="s">
        <v>35</v>
      </c>
    </row>
    <row r="12" spans="1:18" x14ac:dyDescent="0.2">
      <c r="C12" s="2" t="s">
        <v>1</v>
      </c>
      <c r="D12">
        <v>38.42</v>
      </c>
      <c r="E12">
        <v>1E-3</v>
      </c>
      <c r="F12" s="9">
        <v>5.8838400000000004E-3</v>
      </c>
      <c r="G12">
        <v>0.6</v>
      </c>
      <c r="H12" s="6">
        <v>408</v>
      </c>
      <c r="I12" s="6">
        <v>16</v>
      </c>
      <c r="J12" s="6">
        <v>0.7</v>
      </c>
      <c r="K12">
        <v>1</v>
      </c>
      <c r="L12">
        <v>1000</v>
      </c>
      <c r="M12">
        <v>0.3</v>
      </c>
      <c r="N12">
        <v>15</v>
      </c>
      <c r="O12" s="7">
        <v>347.66390999999999</v>
      </c>
      <c r="P12" s="7">
        <v>13.204055</v>
      </c>
      <c r="Q12" s="7">
        <v>1.0213719999999999</v>
      </c>
      <c r="R12" t="s">
        <v>35</v>
      </c>
    </row>
    <row r="13" spans="1:18" x14ac:dyDescent="0.2">
      <c r="C13" s="2" t="s">
        <v>2</v>
      </c>
      <c r="D13">
        <v>38.42</v>
      </c>
      <c r="E13">
        <v>1E-3</v>
      </c>
      <c r="F13" s="9">
        <v>4.3793900000000004E-3</v>
      </c>
      <c r="G13">
        <v>0.3</v>
      </c>
      <c r="H13" s="6">
        <v>110</v>
      </c>
      <c r="I13" s="6">
        <v>3</v>
      </c>
      <c r="J13" s="6">
        <v>0.95</v>
      </c>
      <c r="K13">
        <v>1</v>
      </c>
      <c r="L13">
        <v>1000</v>
      </c>
      <c r="M13">
        <v>0.3</v>
      </c>
      <c r="N13">
        <v>15</v>
      </c>
      <c r="O13" s="7">
        <v>89.863366999999997</v>
      </c>
      <c r="P13" s="7">
        <v>1.015226</v>
      </c>
      <c r="Q13" s="7">
        <v>1.0086520000000001</v>
      </c>
      <c r="R13" t="s">
        <v>47</v>
      </c>
    </row>
    <row r="14" spans="1:18" x14ac:dyDescent="0.2">
      <c r="C14" s="2" t="s">
        <v>3</v>
      </c>
      <c r="D14">
        <v>38.42</v>
      </c>
      <c r="E14">
        <v>1E-3</v>
      </c>
      <c r="F14" s="9">
        <v>7.7629300000000004E-3</v>
      </c>
      <c r="G14">
        <v>0.04</v>
      </c>
      <c r="H14" s="6">
        <v>14</v>
      </c>
      <c r="I14" s="6">
        <v>6</v>
      </c>
      <c r="J14" s="6">
        <v>1</v>
      </c>
      <c r="K14">
        <v>1</v>
      </c>
      <c r="L14">
        <v>1000</v>
      </c>
      <c r="M14">
        <v>0.3</v>
      </c>
      <c r="N14">
        <v>15</v>
      </c>
      <c r="O14" s="7">
        <v>15.369543</v>
      </c>
      <c r="P14" s="7">
        <v>7.2069450000000002</v>
      </c>
      <c r="Q14" s="7">
        <v>1.1639649999999999</v>
      </c>
      <c r="R14" t="s">
        <v>47</v>
      </c>
    </row>
    <row r="15" spans="1:18" x14ac:dyDescent="0.2">
      <c r="C15" s="2" t="s">
        <v>4</v>
      </c>
      <c r="D15">
        <v>38.42</v>
      </c>
      <c r="E15">
        <v>1E-3</v>
      </c>
      <c r="F15" s="9">
        <v>9.7615400000000008E-3</v>
      </c>
      <c r="G15">
        <v>0.09</v>
      </c>
      <c r="H15" s="6">
        <v>24</v>
      </c>
      <c r="I15" s="6">
        <v>2</v>
      </c>
      <c r="J15" s="6">
        <v>1.39</v>
      </c>
      <c r="K15">
        <v>1</v>
      </c>
      <c r="L15">
        <v>1000</v>
      </c>
      <c r="M15">
        <v>0.3</v>
      </c>
      <c r="N15">
        <v>15</v>
      </c>
      <c r="O15" s="7">
        <v>25.712112000000001</v>
      </c>
      <c r="P15" s="7">
        <v>3.1656789999999999</v>
      </c>
      <c r="Q15" s="7">
        <v>1.2674909999999999</v>
      </c>
      <c r="R15" t="s">
        <v>47</v>
      </c>
    </row>
    <row r="16" spans="1:18" x14ac:dyDescent="0.2">
      <c r="C16" s="2" t="s">
        <v>5</v>
      </c>
      <c r="D16">
        <v>38.42</v>
      </c>
      <c r="E16">
        <v>1E-3</v>
      </c>
      <c r="F16" s="9">
        <v>1.6392650000000002E-2</v>
      </c>
      <c r="G16">
        <v>0.05</v>
      </c>
      <c r="H16" s="6">
        <v>15</v>
      </c>
      <c r="I16" s="6">
        <v>5</v>
      </c>
      <c r="J16" s="6">
        <v>1</v>
      </c>
      <c r="K16">
        <v>1</v>
      </c>
      <c r="L16">
        <v>1000</v>
      </c>
      <c r="M16">
        <v>0.3</v>
      </c>
      <c r="N16">
        <v>15</v>
      </c>
      <c r="O16" s="7">
        <v>10.724009000000001</v>
      </c>
      <c r="P16" s="7">
        <v>2.5745429999999998</v>
      </c>
      <c r="Q16" s="7">
        <v>1.039091</v>
      </c>
      <c r="R16" t="s">
        <v>47</v>
      </c>
    </row>
    <row r="17" spans="3:18" x14ac:dyDescent="0.2">
      <c r="C17" s="3" t="s">
        <v>20</v>
      </c>
      <c r="D17">
        <v>38.42</v>
      </c>
      <c r="E17">
        <v>1E-3</v>
      </c>
      <c r="F17" s="9">
        <v>7.9893299999999993E-3</v>
      </c>
      <c r="G17">
        <v>0.06</v>
      </c>
      <c r="H17" s="6">
        <v>18</v>
      </c>
      <c r="I17" s="6">
        <v>1.5</v>
      </c>
      <c r="J17" s="6">
        <v>0.8</v>
      </c>
      <c r="K17">
        <v>1</v>
      </c>
      <c r="L17">
        <v>1000</v>
      </c>
      <c r="M17">
        <v>0.3</v>
      </c>
      <c r="N17">
        <v>15</v>
      </c>
      <c r="O17" s="7">
        <v>17.424403999999999</v>
      </c>
      <c r="P17" s="7">
        <v>1.0522750000000001</v>
      </c>
      <c r="Q17" s="7">
        <v>1.0062340000000001</v>
      </c>
      <c r="R17" t="s">
        <v>47</v>
      </c>
    </row>
  </sheetData>
  <pageMargins left="0.7" right="0.7" top="0.75" bottom="0.75" header="0.3" footer="0.3"/>
  <pageSetup paperSize="9" orientation="landscape" r:id="rId1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96"/>
  <sheetViews>
    <sheetView zoomScaleNormal="100" workbookViewId="0"/>
  </sheetViews>
  <sheetFormatPr baseColWidth="10" defaultColWidth="8.83203125" defaultRowHeight="15" x14ac:dyDescent="0.2"/>
  <cols>
    <col min="1" max="1" width="15" bestFit="1" customWidth="1"/>
    <col min="2" max="2" width="6" bestFit="1" customWidth="1"/>
    <col min="3" max="3" width="8.33203125" customWidth="1"/>
    <col min="4" max="4" width="8.1640625" customWidth="1"/>
    <col min="5" max="5" width="7.33203125" customWidth="1"/>
    <col min="6" max="6" width="10.1640625" customWidth="1"/>
    <col min="7" max="8" width="11.83203125" bestFit="1" customWidth="1"/>
    <col min="9" max="9" width="4.5" bestFit="1" customWidth="1"/>
    <col min="10" max="11" width="8.5" customWidth="1"/>
    <col min="12" max="12" width="14.33203125" bestFit="1" customWidth="1"/>
    <col min="13" max="13" width="11.33203125" customWidth="1"/>
    <col min="14" max="14" width="11.5" customWidth="1"/>
    <col min="15" max="15" width="12.83203125" bestFit="1" customWidth="1"/>
    <col min="16" max="16" width="11.5" bestFit="1" customWidth="1"/>
  </cols>
  <sheetData>
    <row r="1" spans="1:15" x14ac:dyDescent="0.2">
      <c r="A1" t="s">
        <v>56</v>
      </c>
    </row>
    <row r="2" spans="1:15" x14ac:dyDescent="0.2">
      <c r="A2" t="s">
        <v>32</v>
      </c>
      <c r="B2" s="1" t="s">
        <v>6</v>
      </c>
      <c r="C2" s="1" t="s">
        <v>8</v>
      </c>
      <c r="D2" s="1" t="s">
        <v>39</v>
      </c>
      <c r="E2" s="1" t="s">
        <v>21</v>
      </c>
      <c r="F2" s="1" t="s">
        <v>9</v>
      </c>
      <c r="G2" s="1" t="s">
        <v>43</v>
      </c>
      <c r="H2" s="1" t="s">
        <v>44</v>
      </c>
      <c r="I2" s="1" t="s">
        <v>12</v>
      </c>
      <c r="J2" s="1" t="s">
        <v>13</v>
      </c>
      <c r="K2" s="1" t="s">
        <v>15</v>
      </c>
      <c r="L2" s="1" t="s">
        <v>16</v>
      </c>
      <c r="M2" s="1" t="s">
        <v>45</v>
      </c>
      <c r="N2" s="1" t="s">
        <v>46</v>
      </c>
      <c r="O2" s="1" t="s">
        <v>36</v>
      </c>
    </row>
    <row r="3" spans="1:15" x14ac:dyDescent="0.2">
      <c r="A3" s="2" t="s">
        <v>0</v>
      </c>
      <c r="B3">
        <v>38.42</v>
      </c>
      <c r="C3">
        <v>1E-3</v>
      </c>
      <c r="D3" s="9">
        <v>5.4082599999999998E-3</v>
      </c>
      <c r="E3">
        <v>0.4</v>
      </c>
      <c r="F3" s="6">
        <v>205</v>
      </c>
      <c r="G3" s="6">
        <v>11.6</v>
      </c>
      <c r="H3" s="6">
        <v>0.97</v>
      </c>
      <c r="I3">
        <v>1</v>
      </c>
      <c r="J3">
        <v>1000</v>
      </c>
      <c r="K3">
        <v>15</v>
      </c>
      <c r="L3" s="7">
        <v>194.11049599999998</v>
      </c>
      <c r="M3" s="7">
        <v>10.4418162</v>
      </c>
      <c r="N3" s="7">
        <v>1.1958477999999999</v>
      </c>
    </row>
    <row r="4" spans="1:15" x14ac:dyDescent="0.2">
      <c r="A4" s="2" t="s">
        <v>1</v>
      </c>
      <c r="B4">
        <v>38.42</v>
      </c>
      <c r="C4">
        <v>1E-3</v>
      </c>
      <c r="D4" s="9">
        <v>5.8838400000000004E-3</v>
      </c>
      <c r="E4">
        <v>0.6</v>
      </c>
      <c r="F4" s="6">
        <v>408</v>
      </c>
      <c r="G4" s="6">
        <v>16</v>
      </c>
      <c r="H4" s="6">
        <v>0.7</v>
      </c>
      <c r="I4">
        <v>1</v>
      </c>
      <c r="J4">
        <v>1000</v>
      </c>
      <c r="K4">
        <v>15</v>
      </c>
      <c r="L4" s="7">
        <v>351.23940679999998</v>
      </c>
      <c r="M4" s="7">
        <v>13.3026284</v>
      </c>
      <c r="N4" s="7">
        <v>1.0240508000000001</v>
      </c>
    </row>
    <row r="5" spans="1:15" x14ac:dyDescent="0.2">
      <c r="A5" s="2" t="s">
        <v>2</v>
      </c>
      <c r="B5">
        <v>38.42</v>
      </c>
      <c r="C5">
        <v>1E-3</v>
      </c>
      <c r="D5" s="9">
        <v>4.3793900000000004E-3</v>
      </c>
      <c r="E5">
        <v>0.3</v>
      </c>
      <c r="F5" s="6">
        <v>110</v>
      </c>
      <c r="G5" s="6">
        <v>3</v>
      </c>
      <c r="H5" s="6">
        <v>0.95</v>
      </c>
      <c r="I5">
        <v>1</v>
      </c>
      <c r="J5">
        <v>1000</v>
      </c>
      <c r="K5">
        <v>15</v>
      </c>
      <c r="L5" s="7">
        <v>89.877397399999992</v>
      </c>
      <c r="M5" s="7">
        <v>1.01484</v>
      </c>
      <c r="N5" s="7">
        <v>1.0080654</v>
      </c>
    </row>
    <row r="6" spans="1:15" x14ac:dyDescent="0.2">
      <c r="A6" s="2" t="s">
        <v>3</v>
      </c>
      <c r="B6">
        <v>38.42</v>
      </c>
      <c r="C6">
        <v>1E-3</v>
      </c>
      <c r="D6" s="9">
        <v>7.7629300000000004E-3</v>
      </c>
      <c r="E6">
        <v>0.04</v>
      </c>
      <c r="F6" s="6">
        <v>14</v>
      </c>
      <c r="G6" s="6">
        <v>6</v>
      </c>
      <c r="H6" s="6">
        <v>1</v>
      </c>
      <c r="I6">
        <v>1</v>
      </c>
      <c r="J6">
        <v>1000</v>
      </c>
      <c r="K6">
        <v>15</v>
      </c>
      <c r="L6" s="7">
        <v>15.3795176</v>
      </c>
      <c r="M6" s="7">
        <v>7.2190561999999998</v>
      </c>
      <c r="N6" s="7">
        <v>1.1626061999999999</v>
      </c>
    </row>
    <row r="7" spans="1:15" x14ac:dyDescent="0.2">
      <c r="A7" s="2" t="s">
        <v>4</v>
      </c>
      <c r="B7">
        <v>38.42</v>
      </c>
      <c r="C7">
        <v>1E-3</v>
      </c>
      <c r="D7" s="9">
        <v>9.7615400000000008E-3</v>
      </c>
      <c r="E7">
        <v>0.09</v>
      </c>
      <c r="F7" s="6">
        <v>24</v>
      </c>
      <c r="G7" s="6">
        <v>2</v>
      </c>
      <c r="H7" s="6">
        <v>1.39</v>
      </c>
      <c r="I7">
        <v>1</v>
      </c>
      <c r="J7">
        <v>1000</v>
      </c>
      <c r="K7">
        <v>15</v>
      </c>
      <c r="L7" s="7">
        <v>25.802075800000001</v>
      </c>
      <c r="M7" s="7">
        <v>3.1801217999999998</v>
      </c>
      <c r="N7" s="7">
        <v>1.2718198000000001</v>
      </c>
    </row>
    <row r="8" spans="1:15" x14ac:dyDescent="0.2">
      <c r="A8" s="2" t="s">
        <v>5</v>
      </c>
      <c r="B8">
        <v>38.42</v>
      </c>
      <c r="C8">
        <v>1E-3</v>
      </c>
      <c r="D8" s="9">
        <v>1.6392650000000002E-2</v>
      </c>
      <c r="E8">
        <v>0.05</v>
      </c>
      <c r="F8" s="6">
        <v>15</v>
      </c>
      <c r="G8" s="6">
        <v>5</v>
      </c>
      <c r="H8" s="6">
        <v>1</v>
      </c>
      <c r="I8">
        <v>1</v>
      </c>
      <c r="J8">
        <v>1000</v>
      </c>
      <c r="K8">
        <v>15</v>
      </c>
      <c r="L8" s="7">
        <v>10.7191832</v>
      </c>
      <c r="M8" s="7">
        <v>2.5729569999999997</v>
      </c>
      <c r="N8" s="7">
        <v>1.0394251999999999</v>
      </c>
    </row>
    <row r="9" spans="1:15" x14ac:dyDescent="0.2">
      <c r="A9" s="3" t="s">
        <v>20</v>
      </c>
      <c r="B9">
        <v>38.42</v>
      </c>
      <c r="C9">
        <v>1E-3</v>
      </c>
      <c r="D9" s="9">
        <v>7.9893299999999993E-3</v>
      </c>
      <c r="E9">
        <v>0.06</v>
      </c>
      <c r="F9" s="6">
        <v>18</v>
      </c>
      <c r="G9" s="6">
        <v>1.5</v>
      </c>
      <c r="H9" s="6">
        <v>0.8</v>
      </c>
      <c r="I9">
        <v>1</v>
      </c>
      <c r="J9">
        <v>1000</v>
      </c>
      <c r="K9">
        <v>15</v>
      </c>
      <c r="L9" s="7">
        <v>17.412068999999999</v>
      </c>
      <c r="M9" s="7">
        <v>1.0471119999999998</v>
      </c>
      <c r="N9" s="7">
        <v>1.005566</v>
      </c>
    </row>
    <row r="10" spans="1:1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</row>
    <row r="14" spans="1:15" s="11" customFormat="1" x14ac:dyDescent="0.2"/>
    <row r="15" spans="1:15" s="11" customFormat="1" x14ac:dyDescent="0.2"/>
    <row r="17" spans="1:14" x14ac:dyDescent="0.2">
      <c r="A17" s="2" t="s">
        <v>0</v>
      </c>
      <c r="B17" s="1" t="s">
        <v>6</v>
      </c>
      <c r="C17" s="1" t="s">
        <v>8</v>
      </c>
      <c r="D17" s="1" t="s">
        <v>39</v>
      </c>
      <c r="E17" s="1" t="s">
        <v>21</v>
      </c>
      <c r="F17" s="1" t="s">
        <v>9</v>
      </c>
      <c r="G17" s="1" t="s">
        <v>43</v>
      </c>
      <c r="H17" s="1" t="s">
        <v>44</v>
      </c>
      <c r="I17" s="1" t="s">
        <v>12</v>
      </c>
      <c r="J17" s="1" t="s">
        <v>13</v>
      </c>
      <c r="K17" s="1" t="s">
        <v>15</v>
      </c>
      <c r="L17" s="1" t="s">
        <v>16</v>
      </c>
      <c r="M17" s="1" t="s">
        <v>45</v>
      </c>
      <c r="N17" s="1" t="s">
        <v>46</v>
      </c>
    </row>
    <row r="18" spans="1:14" x14ac:dyDescent="0.2">
      <c r="A18" s="2" t="s">
        <v>48</v>
      </c>
      <c r="B18">
        <v>38.42</v>
      </c>
      <c r="C18">
        <v>1E-3</v>
      </c>
      <c r="D18" s="9">
        <v>5.4082599999999998E-3</v>
      </c>
      <c r="E18">
        <v>0.4</v>
      </c>
      <c r="F18" s="6">
        <v>205</v>
      </c>
      <c r="G18" s="6">
        <v>11.6</v>
      </c>
      <c r="H18" s="6">
        <v>0.97</v>
      </c>
      <c r="I18">
        <v>1</v>
      </c>
      <c r="J18">
        <v>1000</v>
      </c>
      <c r="K18">
        <v>15</v>
      </c>
      <c r="L18" s="7">
        <v>195.13428400000001</v>
      </c>
      <c r="M18" s="7">
        <v>10.495934999999999</v>
      </c>
      <c r="N18" s="13">
        <v>1.1954050000000001</v>
      </c>
    </row>
    <row r="19" spans="1:14" x14ac:dyDescent="0.2">
      <c r="A19" s="2" t="s">
        <v>49</v>
      </c>
      <c r="B19">
        <v>38.42</v>
      </c>
      <c r="C19">
        <v>1E-3</v>
      </c>
      <c r="D19" s="9">
        <v>5.4082599999999998E-3</v>
      </c>
      <c r="E19">
        <v>0.4</v>
      </c>
      <c r="F19" s="6">
        <v>205</v>
      </c>
      <c r="G19" s="6">
        <v>11.6</v>
      </c>
      <c r="H19" s="6">
        <v>0.97</v>
      </c>
      <c r="I19">
        <v>1</v>
      </c>
      <c r="J19">
        <v>1000</v>
      </c>
      <c r="K19">
        <v>15</v>
      </c>
      <c r="L19" s="7">
        <v>193.85673700000001</v>
      </c>
      <c r="M19" s="7">
        <v>10.424636</v>
      </c>
      <c r="N19" s="13">
        <v>1.1968529999999999</v>
      </c>
    </row>
    <row r="20" spans="1:14" x14ac:dyDescent="0.2">
      <c r="A20" s="2" t="s">
        <v>50</v>
      </c>
      <c r="B20">
        <v>38.42</v>
      </c>
      <c r="C20">
        <v>1E-3</v>
      </c>
      <c r="D20" s="9">
        <v>5.4082599999999998E-3</v>
      </c>
      <c r="E20">
        <v>0.4</v>
      </c>
      <c r="F20" s="6">
        <v>205</v>
      </c>
      <c r="G20" s="6">
        <v>11.6</v>
      </c>
      <c r="H20" s="6">
        <v>0.97</v>
      </c>
      <c r="I20">
        <v>1</v>
      </c>
      <c r="J20">
        <v>1000</v>
      </c>
      <c r="K20">
        <v>15</v>
      </c>
      <c r="L20" s="7">
        <v>193.03920199999999</v>
      </c>
      <c r="M20" s="7">
        <v>10.384231</v>
      </c>
      <c r="N20" s="13">
        <v>1.1966060000000001</v>
      </c>
    </row>
    <row r="21" spans="1:14" x14ac:dyDescent="0.2">
      <c r="A21" s="2" t="s">
        <v>51</v>
      </c>
      <c r="B21">
        <v>38.42</v>
      </c>
      <c r="C21">
        <v>1E-3</v>
      </c>
      <c r="D21" s="9">
        <v>5.4082599999999998E-3</v>
      </c>
      <c r="E21">
        <v>0.4</v>
      </c>
      <c r="F21" s="6">
        <v>205</v>
      </c>
      <c r="G21" s="6">
        <v>11.6</v>
      </c>
      <c r="H21" s="6">
        <v>0.97</v>
      </c>
      <c r="I21">
        <v>1</v>
      </c>
      <c r="J21">
        <v>1000</v>
      </c>
      <c r="K21">
        <v>15</v>
      </c>
      <c r="L21" s="7">
        <v>194.751498</v>
      </c>
      <c r="M21" s="7">
        <v>10.475153000000001</v>
      </c>
      <c r="N21" s="13">
        <v>1.1962740000000001</v>
      </c>
    </row>
    <row r="22" spans="1:14" x14ac:dyDescent="0.2">
      <c r="A22" s="2" t="s">
        <v>52</v>
      </c>
      <c r="B22">
        <v>38.42</v>
      </c>
      <c r="C22">
        <v>1E-3</v>
      </c>
      <c r="D22" s="9">
        <v>5.4082599999999998E-3</v>
      </c>
      <c r="E22">
        <v>0.4</v>
      </c>
      <c r="F22" s="6">
        <v>205</v>
      </c>
      <c r="G22" s="6">
        <v>11.6</v>
      </c>
      <c r="H22" s="6">
        <v>0.97</v>
      </c>
      <c r="I22">
        <v>1</v>
      </c>
      <c r="J22">
        <v>1000</v>
      </c>
      <c r="K22">
        <v>15</v>
      </c>
      <c r="L22" s="7">
        <v>193.770759</v>
      </c>
      <c r="M22" s="7">
        <v>10.429126</v>
      </c>
      <c r="N22" s="13">
        <v>1.1941010000000001</v>
      </c>
    </row>
    <row r="23" spans="1:14" x14ac:dyDescent="0.2">
      <c r="A23" s="2"/>
      <c r="D23" s="9"/>
      <c r="F23" s="11"/>
      <c r="G23" s="11"/>
      <c r="H23" s="11"/>
      <c r="I23" s="11"/>
      <c r="J23" s="11"/>
      <c r="K23" s="11" t="s">
        <v>27</v>
      </c>
      <c r="L23" s="12">
        <f>AVERAGE(Table1358910[E_model])</f>
        <v>194.11049599999998</v>
      </c>
      <c r="M23" s="12">
        <f>AVERAGE(Table1358910[lambda_12])</f>
        <v>10.4418162</v>
      </c>
      <c r="N23" s="12">
        <f>AVERAGE(Table1358910[lambda_23])</f>
        <v>1.1958477999999999</v>
      </c>
    </row>
    <row r="24" spans="1:14" x14ac:dyDescent="0.2">
      <c r="A24" s="2"/>
      <c r="D24" s="9"/>
      <c r="F24" s="11"/>
      <c r="G24" s="11"/>
      <c r="H24" s="11"/>
      <c r="I24" s="11"/>
      <c r="J24" s="11"/>
      <c r="K24" s="11" t="s">
        <v>53</v>
      </c>
      <c r="L24" s="12">
        <f>STDEV(Table1358910[E_model])</f>
        <v>0.83464230761357194</v>
      </c>
      <c r="M24" s="12">
        <f>STDEV(Table1358910[lambda_12])</f>
        <v>4.4194011061454944E-2</v>
      </c>
      <c r="N24" s="12">
        <f>STDEV(Table1358910[lambda_23])</f>
        <v>1.1196341813288512E-3</v>
      </c>
    </row>
    <row r="25" spans="1:14" x14ac:dyDescent="0.2">
      <c r="A25" s="2"/>
      <c r="D25" s="9"/>
      <c r="F25" s="11"/>
      <c r="G25" s="11"/>
      <c r="H25" s="11"/>
      <c r="I25" s="11"/>
      <c r="J25" s="11"/>
      <c r="K25" s="11"/>
      <c r="L25" s="12"/>
      <c r="M25" s="12"/>
      <c r="N25" s="12"/>
    </row>
    <row r="26" spans="1:14" x14ac:dyDescent="0.2">
      <c r="A26" s="2"/>
      <c r="D26" s="9"/>
      <c r="F26" s="11"/>
      <c r="G26" s="11"/>
      <c r="H26" s="11"/>
      <c r="I26" s="11"/>
      <c r="J26" s="11"/>
      <c r="K26" s="11"/>
      <c r="L26" s="12"/>
      <c r="M26" s="12"/>
      <c r="N26" s="12"/>
    </row>
    <row r="27" spans="1:14" x14ac:dyDescent="0.2">
      <c r="F27" s="11"/>
      <c r="G27" s="11"/>
      <c r="H27" s="11"/>
      <c r="I27" s="11"/>
      <c r="J27" s="11"/>
      <c r="K27" s="11"/>
      <c r="L27" s="11"/>
      <c r="M27" s="11"/>
      <c r="N27" s="11"/>
    </row>
    <row r="29" spans="1:14" x14ac:dyDescent="0.2">
      <c r="A29" s="2" t="s">
        <v>1</v>
      </c>
      <c r="B29" s="1" t="s">
        <v>6</v>
      </c>
      <c r="C29" s="1" t="s">
        <v>8</v>
      </c>
      <c r="D29" s="1" t="s">
        <v>39</v>
      </c>
      <c r="E29" s="1" t="s">
        <v>21</v>
      </c>
      <c r="F29" s="1" t="s">
        <v>9</v>
      </c>
      <c r="G29" s="1" t="s">
        <v>43</v>
      </c>
      <c r="H29" s="1" t="s">
        <v>44</v>
      </c>
      <c r="I29" s="1" t="s">
        <v>12</v>
      </c>
      <c r="J29" s="1" t="s">
        <v>13</v>
      </c>
      <c r="K29" s="1" t="s">
        <v>15</v>
      </c>
      <c r="L29" s="1" t="s">
        <v>16</v>
      </c>
      <c r="M29" s="1" t="s">
        <v>45</v>
      </c>
      <c r="N29" s="1" t="s">
        <v>46</v>
      </c>
    </row>
    <row r="30" spans="1:14" x14ac:dyDescent="0.2">
      <c r="A30" s="2" t="s">
        <v>48</v>
      </c>
      <c r="B30">
        <v>38.42</v>
      </c>
      <c r="C30">
        <v>1E-3</v>
      </c>
      <c r="D30" s="9">
        <v>5.8838400000000004E-3</v>
      </c>
      <c r="E30">
        <v>0.6</v>
      </c>
      <c r="F30" s="6">
        <v>408</v>
      </c>
      <c r="G30" s="6">
        <v>16</v>
      </c>
      <c r="H30" s="6">
        <v>0.7</v>
      </c>
      <c r="I30">
        <v>1</v>
      </c>
      <c r="J30">
        <v>1000</v>
      </c>
      <c r="K30">
        <v>15</v>
      </c>
      <c r="L30" s="7">
        <v>350.620363</v>
      </c>
      <c r="M30" s="7">
        <v>13.274611</v>
      </c>
      <c r="N30" s="13">
        <v>1.0243850000000001</v>
      </c>
    </row>
    <row r="31" spans="1:14" x14ac:dyDescent="0.2">
      <c r="A31" s="2" t="s">
        <v>49</v>
      </c>
      <c r="B31">
        <v>38.42</v>
      </c>
      <c r="C31">
        <v>1E-3</v>
      </c>
      <c r="D31" s="9">
        <v>5.8838400000000004E-3</v>
      </c>
      <c r="E31">
        <v>0.6</v>
      </c>
      <c r="F31" s="6">
        <v>408</v>
      </c>
      <c r="G31" s="6">
        <v>16</v>
      </c>
      <c r="H31" s="6">
        <v>0.7</v>
      </c>
      <c r="I31">
        <v>1</v>
      </c>
      <c r="J31">
        <v>1000</v>
      </c>
      <c r="K31">
        <v>15</v>
      </c>
      <c r="L31" s="7">
        <v>352.24952300000001</v>
      </c>
      <c r="M31" s="7">
        <v>13.334693</v>
      </c>
      <c r="N31" s="13">
        <v>1.0243720000000001</v>
      </c>
    </row>
    <row r="32" spans="1:14" x14ac:dyDescent="0.2">
      <c r="A32" s="2" t="s">
        <v>50</v>
      </c>
      <c r="B32">
        <v>38.42</v>
      </c>
      <c r="C32">
        <v>1E-3</v>
      </c>
      <c r="D32" s="9">
        <v>5.8838400000000004E-3</v>
      </c>
      <c r="E32">
        <v>0.6</v>
      </c>
      <c r="F32" s="6">
        <v>408</v>
      </c>
      <c r="G32" s="6">
        <v>16</v>
      </c>
      <c r="H32" s="6">
        <v>0.7</v>
      </c>
      <c r="I32">
        <v>1</v>
      </c>
      <c r="J32">
        <v>1000</v>
      </c>
      <c r="K32">
        <v>15</v>
      </c>
      <c r="L32" s="7">
        <v>349.33287000000001</v>
      </c>
      <c r="M32" s="7">
        <v>13.243105999999999</v>
      </c>
      <c r="N32" s="13">
        <v>1.024635</v>
      </c>
    </row>
    <row r="33" spans="1:14" x14ac:dyDescent="0.2">
      <c r="A33" s="2" t="s">
        <v>51</v>
      </c>
      <c r="B33">
        <v>38.42</v>
      </c>
      <c r="C33">
        <v>1E-3</v>
      </c>
      <c r="D33" s="9">
        <v>5.8838400000000004E-3</v>
      </c>
      <c r="E33">
        <v>0.6</v>
      </c>
      <c r="F33" s="6">
        <v>408</v>
      </c>
      <c r="G33" s="6">
        <v>16</v>
      </c>
      <c r="H33" s="6">
        <v>0.7</v>
      </c>
      <c r="I33">
        <v>1</v>
      </c>
      <c r="J33">
        <v>1000</v>
      </c>
      <c r="K33">
        <v>15</v>
      </c>
      <c r="L33" s="7">
        <v>352.03458699999999</v>
      </c>
      <c r="M33" s="7">
        <v>13.337253</v>
      </c>
      <c r="N33" s="13">
        <v>1.0224839999999999</v>
      </c>
    </row>
    <row r="34" spans="1:14" x14ac:dyDescent="0.2">
      <c r="A34" s="2" t="s">
        <v>52</v>
      </c>
      <c r="B34">
        <v>38.42</v>
      </c>
      <c r="C34">
        <v>1E-3</v>
      </c>
      <c r="D34" s="9">
        <v>5.8838400000000004E-3</v>
      </c>
      <c r="E34">
        <v>0.6</v>
      </c>
      <c r="F34" s="6">
        <v>408</v>
      </c>
      <c r="G34" s="6">
        <v>16</v>
      </c>
      <c r="H34" s="6">
        <v>0.7</v>
      </c>
      <c r="I34">
        <v>1</v>
      </c>
      <c r="J34">
        <v>1000</v>
      </c>
      <c r="K34">
        <v>15</v>
      </c>
      <c r="L34" s="7">
        <v>351.95969100000002</v>
      </c>
      <c r="M34" s="7">
        <v>13.323479000000001</v>
      </c>
      <c r="N34" s="13">
        <v>1.024378</v>
      </c>
    </row>
    <row r="35" spans="1:14" x14ac:dyDescent="0.2">
      <c r="K35" s="11" t="s">
        <v>27</v>
      </c>
      <c r="L35" s="12">
        <f>AVERAGE(Table135891011[E_model])</f>
        <v>351.23940679999998</v>
      </c>
      <c r="M35" s="12">
        <f>AVERAGE(Table135891011[lambda_12])</f>
        <v>13.3026284</v>
      </c>
      <c r="N35" s="12">
        <f>AVERAGE(Table135891011[lambda_23])</f>
        <v>1.0240508000000001</v>
      </c>
    </row>
    <row r="36" spans="1:14" x14ac:dyDescent="0.2">
      <c r="K36" s="11" t="s">
        <v>53</v>
      </c>
      <c r="L36" s="12">
        <f>STDEV(Table135891011[E_model])</f>
        <v>1.2439406550170291</v>
      </c>
      <c r="M36" s="12">
        <f>STDEV(Table135891011[lambda_12])</f>
        <v>4.1802032914680522E-2</v>
      </c>
      <c r="N36" s="12">
        <f>STDEV(Table135891011[lambda_23])</f>
        <v>8.8290299580421499E-4</v>
      </c>
    </row>
    <row r="41" spans="1:14" x14ac:dyDescent="0.2">
      <c r="A41" s="2" t="s">
        <v>2</v>
      </c>
      <c r="B41" s="1" t="s">
        <v>6</v>
      </c>
      <c r="C41" s="1" t="s">
        <v>8</v>
      </c>
      <c r="D41" s="1" t="s">
        <v>39</v>
      </c>
      <c r="E41" s="1" t="s">
        <v>21</v>
      </c>
      <c r="F41" s="1" t="s">
        <v>9</v>
      </c>
      <c r="G41" s="1" t="s">
        <v>43</v>
      </c>
      <c r="H41" s="1" t="s">
        <v>44</v>
      </c>
      <c r="I41" s="1" t="s">
        <v>12</v>
      </c>
      <c r="J41" s="1" t="s">
        <v>13</v>
      </c>
      <c r="K41" s="1" t="s">
        <v>15</v>
      </c>
      <c r="L41" s="1" t="s">
        <v>16</v>
      </c>
      <c r="M41" s="1" t="s">
        <v>45</v>
      </c>
      <c r="N41" s="1" t="s">
        <v>46</v>
      </c>
    </row>
    <row r="42" spans="1:14" x14ac:dyDescent="0.2">
      <c r="A42" s="2" t="s">
        <v>48</v>
      </c>
      <c r="B42">
        <v>38.42</v>
      </c>
      <c r="C42">
        <v>1E-3</v>
      </c>
      <c r="D42" s="9">
        <v>4.3793900000000004E-3</v>
      </c>
      <c r="E42">
        <v>0.3</v>
      </c>
      <c r="F42" s="6">
        <v>110</v>
      </c>
      <c r="G42" s="6">
        <v>3</v>
      </c>
      <c r="H42" s="6">
        <v>0.95</v>
      </c>
      <c r="I42">
        <v>1</v>
      </c>
      <c r="J42">
        <v>1000</v>
      </c>
      <c r="K42">
        <v>15</v>
      </c>
      <c r="L42" s="7">
        <v>89.888918000000004</v>
      </c>
      <c r="M42" s="7">
        <v>1.0143409999999999</v>
      </c>
      <c r="N42" s="13">
        <v>1.0062949999999999</v>
      </c>
    </row>
    <row r="43" spans="1:14" x14ac:dyDescent="0.2">
      <c r="A43" s="2" t="s">
        <v>49</v>
      </c>
      <c r="B43">
        <v>38.42</v>
      </c>
      <c r="C43">
        <v>1E-3</v>
      </c>
      <c r="D43" s="9">
        <v>4.3793900000000004E-3</v>
      </c>
      <c r="E43">
        <v>0.3</v>
      </c>
      <c r="F43" s="6">
        <v>110</v>
      </c>
      <c r="G43" s="6">
        <v>3</v>
      </c>
      <c r="H43" s="6">
        <v>0.95</v>
      </c>
      <c r="I43">
        <v>1</v>
      </c>
      <c r="J43">
        <v>1000</v>
      </c>
      <c r="K43">
        <v>15</v>
      </c>
      <c r="L43" s="7">
        <v>89.873260000000002</v>
      </c>
      <c r="M43" s="7">
        <v>1.0162910000000001</v>
      </c>
      <c r="N43" s="13">
        <v>1.009476</v>
      </c>
    </row>
    <row r="44" spans="1:14" x14ac:dyDescent="0.2">
      <c r="A44" s="2" t="s">
        <v>50</v>
      </c>
      <c r="B44">
        <v>38.42</v>
      </c>
      <c r="C44">
        <v>1E-3</v>
      </c>
      <c r="D44" s="9">
        <v>4.3793900000000004E-3</v>
      </c>
      <c r="E44">
        <v>0.3</v>
      </c>
      <c r="F44" s="6">
        <v>110</v>
      </c>
      <c r="G44" s="6">
        <v>3</v>
      </c>
      <c r="H44" s="6">
        <v>0.95</v>
      </c>
      <c r="I44">
        <v>1</v>
      </c>
      <c r="J44">
        <v>1000</v>
      </c>
      <c r="K44">
        <v>15</v>
      </c>
      <c r="L44" s="7">
        <v>89.876335999999995</v>
      </c>
      <c r="M44" s="7">
        <v>1.014332</v>
      </c>
      <c r="N44" s="13">
        <v>1.007919</v>
      </c>
    </row>
    <row r="45" spans="1:14" x14ac:dyDescent="0.2">
      <c r="A45" s="2" t="s">
        <v>51</v>
      </c>
      <c r="B45">
        <v>38.42</v>
      </c>
      <c r="C45">
        <v>1E-3</v>
      </c>
      <c r="D45" s="9">
        <v>4.3793900000000004E-3</v>
      </c>
      <c r="E45">
        <v>0.3</v>
      </c>
      <c r="F45" s="6">
        <v>110</v>
      </c>
      <c r="G45" s="6">
        <v>3</v>
      </c>
      <c r="H45" s="6">
        <v>0.95</v>
      </c>
      <c r="I45">
        <v>1</v>
      </c>
      <c r="J45">
        <v>1000</v>
      </c>
      <c r="K45">
        <v>15</v>
      </c>
      <c r="L45" s="7">
        <v>89.876919999999998</v>
      </c>
      <c r="M45" s="7">
        <v>1.0136000000000001</v>
      </c>
      <c r="N45" s="13">
        <v>1.0074799999999999</v>
      </c>
    </row>
    <row r="46" spans="1:14" x14ac:dyDescent="0.2">
      <c r="A46" s="2" t="s">
        <v>52</v>
      </c>
      <c r="B46">
        <v>38.42</v>
      </c>
      <c r="C46">
        <v>1E-3</v>
      </c>
      <c r="D46" s="9">
        <v>4.3793900000000004E-3</v>
      </c>
      <c r="E46">
        <v>0.3</v>
      </c>
      <c r="F46" s="6">
        <v>110</v>
      </c>
      <c r="G46" s="6">
        <v>3</v>
      </c>
      <c r="H46" s="6">
        <v>0.95</v>
      </c>
      <c r="I46">
        <v>1</v>
      </c>
      <c r="J46">
        <v>1000</v>
      </c>
      <c r="K46">
        <v>15</v>
      </c>
      <c r="L46" s="7">
        <v>89.871553000000006</v>
      </c>
      <c r="M46" s="7">
        <v>1.015636</v>
      </c>
      <c r="N46" s="13">
        <v>1.0091570000000001</v>
      </c>
    </row>
    <row r="47" spans="1:14" x14ac:dyDescent="0.2">
      <c r="K47" s="11" t="s">
        <v>27</v>
      </c>
      <c r="L47">
        <f>AVERAGE(Table135891012[E_model])</f>
        <v>89.877397399999992</v>
      </c>
      <c r="M47">
        <f>AVERAGE(Table135891012[lambda_12])</f>
        <v>1.01484</v>
      </c>
      <c r="N47">
        <f>AVERAGE(Table135891012[lambda_23])</f>
        <v>1.0080654</v>
      </c>
    </row>
    <row r="48" spans="1:14" x14ac:dyDescent="0.2">
      <c r="K48" s="11" t="s">
        <v>53</v>
      </c>
      <c r="L48">
        <f>STDEV(Table135891012[E_model])</f>
        <v>6.8072350334041267E-3</v>
      </c>
      <c r="M48">
        <f>STDEV(Table135891012[lambda_12])</f>
        <v>1.0935815013066064E-3</v>
      </c>
      <c r="N48">
        <f>STDEV(Table135891012[lambda_23])</f>
        <v>1.2922678901838216E-3</v>
      </c>
    </row>
    <row r="53" spans="1:14" x14ac:dyDescent="0.2">
      <c r="A53" s="2" t="s">
        <v>3</v>
      </c>
      <c r="B53" s="1" t="s">
        <v>6</v>
      </c>
      <c r="C53" s="1" t="s">
        <v>8</v>
      </c>
      <c r="D53" s="1" t="s">
        <v>39</v>
      </c>
      <c r="E53" s="1" t="s">
        <v>21</v>
      </c>
      <c r="F53" s="1" t="s">
        <v>9</v>
      </c>
      <c r="G53" s="1" t="s">
        <v>43</v>
      </c>
      <c r="H53" s="1" t="s">
        <v>44</v>
      </c>
      <c r="I53" s="1" t="s">
        <v>12</v>
      </c>
      <c r="J53" s="1" t="s">
        <v>13</v>
      </c>
      <c r="K53" s="1" t="s">
        <v>15</v>
      </c>
      <c r="L53" s="1" t="s">
        <v>16</v>
      </c>
      <c r="M53" s="1" t="s">
        <v>45</v>
      </c>
      <c r="N53" s="1" t="s">
        <v>46</v>
      </c>
    </row>
    <row r="54" spans="1:14" x14ac:dyDescent="0.2">
      <c r="A54" s="2" t="s">
        <v>48</v>
      </c>
      <c r="B54">
        <v>38.42</v>
      </c>
      <c r="C54">
        <v>1E-3</v>
      </c>
      <c r="D54" s="9">
        <v>7.7629300000000004E-3</v>
      </c>
      <c r="E54">
        <v>0.04</v>
      </c>
      <c r="F54" s="6">
        <v>14</v>
      </c>
      <c r="G54" s="6">
        <v>6</v>
      </c>
      <c r="H54" s="6">
        <v>1</v>
      </c>
      <c r="I54">
        <v>1</v>
      </c>
      <c r="J54">
        <v>1000</v>
      </c>
      <c r="K54">
        <v>15</v>
      </c>
      <c r="L54" s="7">
        <v>15.369543</v>
      </c>
      <c r="M54" s="7">
        <v>7.2069450000000002</v>
      </c>
      <c r="N54" s="7">
        <v>1.1639649999999999</v>
      </c>
    </row>
    <row r="55" spans="1:14" x14ac:dyDescent="0.2">
      <c r="A55" s="2" t="s">
        <v>49</v>
      </c>
      <c r="B55">
        <v>38.42</v>
      </c>
      <c r="C55">
        <v>1E-3</v>
      </c>
      <c r="D55" s="9">
        <v>7.7629300000000004E-3</v>
      </c>
      <c r="E55">
        <v>0.04</v>
      </c>
      <c r="F55" s="6">
        <v>14</v>
      </c>
      <c r="G55" s="6">
        <v>6</v>
      </c>
      <c r="H55" s="6">
        <v>1</v>
      </c>
      <c r="I55">
        <v>1</v>
      </c>
      <c r="J55">
        <v>1000</v>
      </c>
      <c r="K55">
        <v>15</v>
      </c>
      <c r="L55" s="7">
        <v>15.359916</v>
      </c>
      <c r="M55" s="7">
        <v>7.1905039999999998</v>
      </c>
      <c r="N55" s="7">
        <v>1.1709959999999999</v>
      </c>
    </row>
    <row r="56" spans="1:14" x14ac:dyDescent="0.2">
      <c r="A56" s="2" t="s">
        <v>50</v>
      </c>
      <c r="B56">
        <v>38.42</v>
      </c>
      <c r="C56">
        <v>1E-3</v>
      </c>
      <c r="D56" s="9">
        <v>7.7629300000000004E-3</v>
      </c>
      <c r="E56">
        <v>0.04</v>
      </c>
      <c r="F56" s="6">
        <v>14</v>
      </c>
      <c r="G56" s="6">
        <v>6</v>
      </c>
      <c r="H56" s="6">
        <v>1</v>
      </c>
      <c r="I56">
        <v>1</v>
      </c>
      <c r="J56">
        <v>1000</v>
      </c>
      <c r="K56">
        <v>15</v>
      </c>
      <c r="L56" s="7">
        <v>15.37341</v>
      </c>
      <c r="M56" s="7">
        <v>7.2284459999999999</v>
      </c>
      <c r="N56" s="7">
        <v>1.159068</v>
      </c>
    </row>
    <row r="57" spans="1:14" x14ac:dyDescent="0.2">
      <c r="A57" s="2" t="s">
        <v>51</v>
      </c>
      <c r="B57">
        <v>38.42</v>
      </c>
      <c r="C57">
        <v>1E-3</v>
      </c>
      <c r="D57" s="9">
        <v>7.7629300000000004E-3</v>
      </c>
      <c r="E57">
        <v>0.04</v>
      </c>
      <c r="F57" s="6">
        <v>14</v>
      </c>
      <c r="G57" s="6">
        <v>6</v>
      </c>
      <c r="H57" s="6">
        <v>1</v>
      </c>
      <c r="I57">
        <v>1</v>
      </c>
      <c r="J57">
        <v>1000</v>
      </c>
      <c r="K57">
        <v>15</v>
      </c>
      <c r="L57" s="7">
        <v>15.384130000000001</v>
      </c>
      <c r="M57" s="7">
        <v>7.2245889999999999</v>
      </c>
      <c r="N57" s="7">
        <v>1.1632940000000001</v>
      </c>
    </row>
    <row r="58" spans="1:14" x14ac:dyDescent="0.2">
      <c r="A58" s="2" t="s">
        <v>52</v>
      </c>
      <c r="B58">
        <v>38.42</v>
      </c>
      <c r="C58">
        <v>1E-3</v>
      </c>
      <c r="D58" s="9">
        <v>7.7629300000000004E-3</v>
      </c>
      <c r="E58">
        <v>0.04</v>
      </c>
      <c r="F58" s="6">
        <v>14</v>
      </c>
      <c r="G58" s="6">
        <v>6</v>
      </c>
      <c r="H58" s="6">
        <v>1</v>
      </c>
      <c r="I58">
        <v>1</v>
      </c>
      <c r="J58">
        <v>1000</v>
      </c>
      <c r="K58">
        <v>15</v>
      </c>
      <c r="L58" s="7">
        <v>15.410589</v>
      </c>
      <c r="M58" s="7">
        <v>7.2447970000000002</v>
      </c>
      <c r="N58" s="7">
        <v>1.155708</v>
      </c>
    </row>
    <row r="59" spans="1:14" x14ac:dyDescent="0.2">
      <c r="K59" s="11" t="s">
        <v>27</v>
      </c>
      <c r="L59">
        <f>AVERAGE(Table135891013[E_model])</f>
        <v>15.3795176</v>
      </c>
      <c r="M59">
        <f>AVERAGE(Table135891013[lambda_12])</f>
        <v>7.2190561999999998</v>
      </c>
      <c r="N59">
        <f>AVERAGE(Table135891013[lambda_23])</f>
        <v>1.1626061999999999</v>
      </c>
    </row>
    <row r="60" spans="1:14" x14ac:dyDescent="0.2">
      <c r="K60" s="11" t="s">
        <v>53</v>
      </c>
      <c r="L60">
        <f>STDEV(Table135891013[E_model])</f>
        <v>1.9414712701969046E-2</v>
      </c>
      <c r="M60">
        <f>STDEV(Table135891013[lambda_12])</f>
        <v>2.0876292144439913E-2</v>
      </c>
      <c r="N60">
        <f>STDEV(Table135891013[lambda_23])</f>
        <v>5.7622081878390876E-3</v>
      </c>
    </row>
    <row r="65" spans="1:14" x14ac:dyDescent="0.2">
      <c r="A65" s="2" t="s">
        <v>4</v>
      </c>
      <c r="B65" s="1" t="s">
        <v>6</v>
      </c>
      <c r="C65" s="1" t="s">
        <v>8</v>
      </c>
      <c r="D65" s="1" t="s">
        <v>39</v>
      </c>
      <c r="E65" s="1" t="s">
        <v>21</v>
      </c>
      <c r="F65" s="1" t="s">
        <v>9</v>
      </c>
      <c r="G65" s="1" t="s">
        <v>43</v>
      </c>
      <c r="H65" s="1" t="s">
        <v>44</v>
      </c>
      <c r="I65" s="1" t="s">
        <v>12</v>
      </c>
      <c r="J65" s="1" t="s">
        <v>13</v>
      </c>
      <c r="K65" s="1" t="s">
        <v>15</v>
      </c>
      <c r="L65" s="1" t="s">
        <v>16</v>
      </c>
      <c r="M65" s="1" t="s">
        <v>45</v>
      </c>
      <c r="N65" s="1" t="s">
        <v>46</v>
      </c>
    </row>
    <row r="66" spans="1:14" x14ac:dyDescent="0.2">
      <c r="A66" s="2" t="s">
        <v>48</v>
      </c>
      <c r="B66">
        <v>38.42</v>
      </c>
      <c r="C66">
        <v>1E-3</v>
      </c>
      <c r="D66" s="9">
        <v>9.7615400000000008E-3</v>
      </c>
      <c r="E66">
        <v>0.09</v>
      </c>
      <c r="F66" s="6">
        <v>24</v>
      </c>
      <c r="G66" s="6">
        <v>2</v>
      </c>
      <c r="H66" s="6">
        <v>1.39</v>
      </c>
      <c r="I66">
        <v>1</v>
      </c>
      <c r="J66">
        <v>1000</v>
      </c>
      <c r="K66">
        <v>15</v>
      </c>
      <c r="L66" s="7">
        <v>25.712112000000001</v>
      </c>
      <c r="M66" s="7">
        <v>3.1656789999999999</v>
      </c>
      <c r="N66" s="7">
        <v>1.2674909999999999</v>
      </c>
    </row>
    <row r="67" spans="1:14" x14ac:dyDescent="0.2">
      <c r="A67" s="2" t="s">
        <v>49</v>
      </c>
      <c r="B67">
        <v>38.42</v>
      </c>
      <c r="C67">
        <v>1E-3</v>
      </c>
      <c r="D67" s="9">
        <v>9.7615400000000008E-3</v>
      </c>
      <c r="E67">
        <v>0.09</v>
      </c>
      <c r="F67" s="6">
        <v>24</v>
      </c>
      <c r="G67" s="6">
        <v>2</v>
      </c>
      <c r="H67" s="6">
        <v>1.39</v>
      </c>
      <c r="I67">
        <v>1</v>
      </c>
      <c r="J67">
        <v>1000</v>
      </c>
      <c r="K67">
        <v>15</v>
      </c>
      <c r="L67" s="7">
        <v>25.853349999999999</v>
      </c>
      <c r="M67" s="7">
        <v>3.2076539999999998</v>
      </c>
      <c r="N67" s="7">
        <v>1.2667139999999999</v>
      </c>
    </row>
    <row r="68" spans="1:14" x14ac:dyDescent="0.2">
      <c r="A68" s="2" t="s">
        <v>50</v>
      </c>
      <c r="B68">
        <v>38.42</v>
      </c>
      <c r="C68">
        <v>1E-3</v>
      </c>
      <c r="D68" s="9">
        <v>9.7615400000000008E-3</v>
      </c>
      <c r="E68">
        <v>0.09</v>
      </c>
      <c r="F68" s="6">
        <v>24</v>
      </c>
      <c r="G68" s="6">
        <v>2</v>
      </c>
      <c r="H68" s="6">
        <v>1.39</v>
      </c>
      <c r="I68">
        <v>1</v>
      </c>
      <c r="J68">
        <v>1000</v>
      </c>
      <c r="K68">
        <v>15</v>
      </c>
      <c r="L68" s="7">
        <v>25.790899</v>
      </c>
      <c r="M68" s="7">
        <v>3.1650550000000002</v>
      </c>
      <c r="N68" s="7">
        <v>1.2769680000000001</v>
      </c>
    </row>
    <row r="69" spans="1:14" x14ac:dyDescent="0.2">
      <c r="A69" s="2" t="s">
        <v>51</v>
      </c>
      <c r="B69">
        <v>38.42</v>
      </c>
      <c r="C69">
        <v>1E-3</v>
      </c>
      <c r="D69" s="9">
        <v>9.7615400000000008E-3</v>
      </c>
      <c r="E69">
        <v>0.09</v>
      </c>
      <c r="F69" s="6">
        <v>24</v>
      </c>
      <c r="G69" s="6">
        <v>2</v>
      </c>
      <c r="H69" s="6">
        <v>1.39</v>
      </c>
      <c r="I69">
        <v>1</v>
      </c>
      <c r="J69">
        <v>1000</v>
      </c>
      <c r="K69">
        <v>15</v>
      </c>
      <c r="L69" s="7">
        <v>25.800678000000001</v>
      </c>
      <c r="M69" s="7">
        <v>3.181206</v>
      </c>
      <c r="N69" s="7">
        <v>1.269771</v>
      </c>
    </row>
    <row r="70" spans="1:14" x14ac:dyDescent="0.2">
      <c r="A70" s="2" t="s">
        <v>52</v>
      </c>
      <c r="B70">
        <v>38.42</v>
      </c>
      <c r="C70">
        <v>1E-3</v>
      </c>
      <c r="D70" s="9">
        <v>9.7615400000000008E-3</v>
      </c>
      <c r="E70">
        <v>0.09</v>
      </c>
      <c r="F70" s="6">
        <v>24</v>
      </c>
      <c r="G70" s="6">
        <v>2</v>
      </c>
      <c r="H70" s="6">
        <v>1.39</v>
      </c>
      <c r="I70">
        <v>1</v>
      </c>
      <c r="J70">
        <v>1000</v>
      </c>
      <c r="K70">
        <v>15</v>
      </c>
      <c r="L70" s="7">
        <v>25.853339999999999</v>
      </c>
      <c r="M70" s="7">
        <v>3.1810149999999999</v>
      </c>
      <c r="N70" s="7">
        <v>1.2781549999999999</v>
      </c>
    </row>
    <row r="71" spans="1:14" x14ac:dyDescent="0.2">
      <c r="K71" s="11" t="s">
        <v>27</v>
      </c>
      <c r="L71">
        <f>AVERAGE(Table135891014[E_model])</f>
        <v>25.802075800000001</v>
      </c>
      <c r="M71">
        <f>AVERAGE(Table135891014[lambda_12])</f>
        <v>3.1801217999999998</v>
      </c>
      <c r="N71">
        <f>AVERAGE(Table135891014[lambda_23])</f>
        <v>1.2718198000000001</v>
      </c>
    </row>
    <row r="72" spans="1:14" x14ac:dyDescent="0.2">
      <c r="K72" s="11" t="s">
        <v>53</v>
      </c>
      <c r="L72">
        <f>STDEV(Table135891014[E_model])</f>
        <v>5.8046149314144029E-2</v>
      </c>
      <c r="M72">
        <f>STDEV(Table135891014[lambda_12])</f>
        <v>1.7288712118026496E-2</v>
      </c>
      <c r="N72">
        <f>STDEV(Table135891014[lambda_23])</f>
        <v>5.376895172867005E-3</v>
      </c>
    </row>
    <row r="77" spans="1:14" x14ac:dyDescent="0.2">
      <c r="A77" s="2" t="s">
        <v>5</v>
      </c>
      <c r="B77" s="1" t="s">
        <v>6</v>
      </c>
      <c r="C77" s="1" t="s">
        <v>8</v>
      </c>
      <c r="D77" s="1" t="s">
        <v>39</v>
      </c>
      <c r="E77" s="1" t="s">
        <v>21</v>
      </c>
      <c r="F77" s="1" t="s">
        <v>9</v>
      </c>
      <c r="G77" s="1" t="s">
        <v>43</v>
      </c>
      <c r="H77" s="1" t="s">
        <v>44</v>
      </c>
      <c r="I77" s="1" t="s">
        <v>12</v>
      </c>
      <c r="J77" s="1" t="s">
        <v>13</v>
      </c>
      <c r="K77" s="1" t="s">
        <v>15</v>
      </c>
      <c r="L77" s="1" t="s">
        <v>16</v>
      </c>
      <c r="M77" s="1" t="s">
        <v>45</v>
      </c>
      <c r="N77" s="1" t="s">
        <v>46</v>
      </c>
    </row>
    <row r="78" spans="1:14" x14ac:dyDescent="0.2">
      <c r="A78" s="2" t="s">
        <v>48</v>
      </c>
      <c r="B78">
        <v>38.42</v>
      </c>
      <c r="C78">
        <v>1E-3</v>
      </c>
      <c r="D78" s="9">
        <v>1.6392650000000002E-2</v>
      </c>
      <c r="E78">
        <v>0.05</v>
      </c>
      <c r="F78" s="6">
        <v>15</v>
      </c>
      <c r="G78" s="6">
        <v>5</v>
      </c>
      <c r="H78" s="6">
        <v>1</v>
      </c>
      <c r="I78">
        <v>1</v>
      </c>
      <c r="J78">
        <v>1000</v>
      </c>
      <c r="K78">
        <v>15</v>
      </c>
      <c r="L78" s="7">
        <v>10.724009000000001</v>
      </c>
      <c r="M78" s="7">
        <v>2.5745429999999998</v>
      </c>
      <c r="N78" s="7">
        <v>1.039091</v>
      </c>
    </row>
    <row r="79" spans="1:14" x14ac:dyDescent="0.2">
      <c r="A79" s="2" t="s">
        <v>49</v>
      </c>
      <c r="B79">
        <v>38.42</v>
      </c>
      <c r="C79">
        <v>1E-3</v>
      </c>
      <c r="D79" s="9">
        <v>1.6392650000000002E-2</v>
      </c>
      <c r="E79">
        <v>0.05</v>
      </c>
      <c r="F79" s="6">
        <v>15</v>
      </c>
      <c r="G79" s="6">
        <v>5</v>
      </c>
      <c r="H79" s="6">
        <v>1</v>
      </c>
      <c r="I79">
        <v>1</v>
      </c>
      <c r="J79">
        <v>1000</v>
      </c>
      <c r="K79">
        <v>15</v>
      </c>
      <c r="L79" s="7">
        <v>10.765339000000001</v>
      </c>
      <c r="M79" s="7">
        <v>2.5971739999999999</v>
      </c>
      <c r="N79" s="7">
        <v>1.0409390000000001</v>
      </c>
    </row>
    <row r="80" spans="1:14" x14ac:dyDescent="0.2">
      <c r="A80" s="2" t="s">
        <v>50</v>
      </c>
      <c r="B80">
        <v>38.42</v>
      </c>
      <c r="C80">
        <v>1E-3</v>
      </c>
      <c r="D80" s="9">
        <v>1.6392650000000002E-2</v>
      </c>
      <c r="E80">
        <v>0.05</v>
      </c>
      <c r="F80" s="6">
        <v>15</v>
      </c>
      <c r="G80" s="6">
        <v>5</v>
      </c>
      <c r="H80" s="6">
        <v>1</v>
      </c>
      <c r="I80">
        <v>1</v>
      </c>
      <c r="J80">
        <v>1000</v>
      </c>
      <c r="K80">
        <v>15</v>
      </c>
      <c r="L80" s="7">
        <v>10.759601999999999</v>
      </c>
      <c r="M80" s="7">
        <v>2.5947870000000002</v>
      </c>
      <c r="N80" s="7">
        <v>1.0391900000000001</v>
      </c>
    </row>
    <row r="81" spans="1:29" x14ac:dyDescent="0.2">
      <c r="A81" s="2" t="s">
        <v>51</v>
      </c>
      <c r="B81">
        <v>38.42</v>
      </c>
      <c r="C81">
        <v>1E-3</v>
      </c>
      <c r="D81" s="9">
        <v>1.6392650000000002E-2</v>
      </c>
      <c r="E81">
        <v>0.05</v>
      </c>
      <c r="F81" s="6">
        <v>15</v>
      </c>
      <c r="G81" s="6">
        <v>5</v>
      </c>
      <c r="H81" s="6">
        <v>1</v>
      </c>
      <c r="I81">
        <v>1</v>
      </c>
      <c r="J81">
        <v>1000</v>
      </c>
      <c r="K81">
        <v>15</v>
      </c>
      <c r="L81" s="7">
        <v>10.654957</v>
      </c>
      <c r="M81" s="7">
        <v>2.5455169999999998</v>
      </c>
      <c r="N81" s="7">
        <v>1.036392</v>
      </c>
    </row>
    <row r="82" spans="1:29" x14ac:dyDescent="0.2">
      <c r="A82" s="2" t="s">
        <v>52</v>
      </c>
      <c r="B82">
        <v>38.42</v>
      </c>
      <c r="C82">
        <v>1E-3</v>
      </c>
      <c r="D82" s="9">
        <v>1.6392650000000002E-2</v>
      </c>
      <c r="E82">
        <v>0.05</v>
      </c>
      <c r="F82" s="6">
        <v>15</v>
      </c>
      <c r="G82" s="6">
        <v>5</v>
      </c>
      <c r="H82" s="6">
        <v>1</v>
      </c>
      <c r="I82">
        <v>1</v>
      </c>
      <c r="J82">
        <v>1000</v>
      </c>
      <c r="K82">
        <v>15</v>
      </c>
      <c r="L82" s="7">
        <v>10.692009000000001</v>
      </c>
      <c r="M82" s="7">
        <v>2.5527639999999998</v>
      </c>
      <c r="N82" s="7">
        <v>1.0415140000000001</v>
      </c>
    </row>
    <row r="83" spans="1:29" x14ac:dyDescent="0.2">
      <c r="K83" s="11" t="s">
        <v>27</v>
      </c>
      <c r="L83">
        <f>AVERAGE(Table13589101415[E_model])</f>
        <v>10.7191832</v>
      </c>
      <c r="M83">
        <f>AVERAGE(Table13589101415[lambda_12])</f>
        <v>2.5729569999999997</v>
      </c>
      <c r="N83">
        <f>AVERAGE(Table13589101415[lambda_23])</f>
        <v>1.0394251999999999</v>
      </c>
    </row>
    <row r="84" spans="1:29" x14ac:dyDescent="0.2">
      <c r="K84" s="11" t="s">
        <v>53</v>
      </c>
      <c r="L84">
        <f>STDEV(Table13589101415[E_model])</f>
        <v>4.6504751168025972E-2</v>
      </c>
      <c r="M84">
        <f>STDEV(Table13589101415[lambda_12])</f>
        <v>2.3591514544428996E-2</v>
      </c>
      <c r="N84">
        <f>STDEV(Table13589101415[lambda_23])</f>
        <v>2.0013737032348864E-3</v>
      </c>
    </row>
    <row r="89" spans="1:29" x14ac:dyDescent="0.2">
      <c r="A89" s="3" t="s">
        <v>20</v>
      </c>
      <c r="B89" s="1" t="s">
        <v>6</v>
      </c>
      <c r="C89" s="1" t="s">
        <v>8</v>
      </c>
      <c r="D89" s="1" t="s">
        <v>39</v>
      </c>
      <c r="E89" s="1" t="s">
        <v>21</v>
      </c>
      <c r="F89" s="1" t="s">
        <v>9</v>
      </c>
      <c r="G89" s="1" t="s">
        <v>43</v>
      </c>
      <c r="H89" s="1" t="s">
        <v>44</v>
      </c>
      <c r="I89" s="1" t="s">
        <v>12</v>
      </c>
      <c r="J89" s="1" t="s">
        <v>13</v>
      </c>
      <c r="K89" s="1" t="s">
        <v>15</v>
      </c>
      <c r="L89" s="1" t="s">
        <v>16</v>
      </c>
      <c r="M89" s="1" t="s">
        <v>45</v>
      </c>
      <c r="N89" s="1" t="s">
        <v>46</v>
      </c>
    </row>
    <row r="90" spans="1:29" x14ac:dyDescent="0.2">
      <c r="A90" s="2" t="s">
        <v>48</v>
      </c>
      <c r="B90">
        <v>38.42</v>
      </c>
      <c r="C90">
        <v>1E-3</v>
      </c>
      <c r="D90" s="9">
        <v>7.9893299999999993E-3</v>
      </c>
      <c r="E90">
        <v>0.06</v>
      </c>
      <c r="F90" s="6">
        <v>18</v>
      </c>
      <c r="G90" s="6">
        <v>1.5</v>
      </c>
      <c r="H90" s="6">
        <v>0.8</v>
      </c>
      <c r="I90">
        <v>1</v>
      </c>
      <c r="J90">
        <v>1000</v>
      </c>
      <c r="K90">
        <v>15</v>
      </c>
      <c r="L90" s="7">
        <v>17.424403999999999</v>
      </c>
      <c r="M90" s="7">
        <v>1.0522750000000001</v>
      </c>
      <c r="N90" s="7">
        <v>1.0062340000000001</v>
      </c>
    </row>
    <row r="91" spans="1:29" x14ac:dyDescent="0.2">
      <c r="A91" s="2" t="s">
        <v>49</v>
      </c>
      <c r="B91">
        <v>38.42</v>
      </c>
      <c r="C91">
        <v>1E-3</v>
      </c>
      <c r="D91" s="9">
        <v>7.9893299999999993E-3</v>
      </c>
      <c r="E91">
        <v>0.06</v>
      </c>
      <c r="F91" s="6">
        <v>18</v>
      </c>
      <c r="G91" s="6">
        <v>1.5</v>
      </c>
      <c r="H91" s="6">
        <v>0.8</v>
      </c>
      <c r="I91">
        <v>1</v>
      </c>
      <c r="J91">
        <v>1000</v>
      </c>
      <c r="K91">
        <v>15</v>
      </c>
      <c r="L91" s="7">
        <v>17.398631999999999</v>
      </c>
      <c r="M91" s="7">
        <v>1.0458270000000001</v>
      </c>
      <c r="N91" s="7">
        <v>1.0046820000000001</v>
      </c>
      <c r="V91" t="s">
        <v>54</v>
      </c>
      <c r="AC91" t="s">
        <v>55</v>
      </c>
    </row>
    <row r="92" spans="1:29" x14ac:dyDescent="0.2">
      <c r="A92" s="2" t="s">
        <v>50</v>
      </c>
      <c r="B92">
        <v>38.42</v>
      </c>
      <c r="C92">
        <v>1E-3</v>
      </c>
      <c r="D92" s="9">
        <v>7.9893299999999993E-3</v>
      </c>
      <c r="E92">
        <v>0.06</v>
      </c>
      <c r="F92" s="6">
        <v>18</v>
      </c>
      <c r="G92" s="6">
        <v>1.5</v>
      </c>
      <c r="H92" s="6">
        <v>0.8</v>
      </c>
      <c r="I92">
        <v>1</v>
      </c>
      <c r="J92">
        <v>1000</v>
      </c>
      <c r="K92">
        <v>15</v>
      </c>
      <c r="L92" s="7">
        <v>17.389393999999999</v>
      </c>
      <c r="M92" s="7">
        <v>1.04111</v>
      </c>
      <c r="N92" s="7">
        <v>1.005571</v>
      </c>
    </row>
    <row r="93" spans="1:29" x14ac:dyDescent="0.2">
      <c r="A93" s="2" t="s">
        <v>51</v>
      </c>
      <c r="B93">
        <v>38.42</v>
      </c>
      <c r="C93">
        <v>1E-3</v>
      </c>
      <c r="D93" s="9">
        <v>7.9893299999999993E-3</v>
      </c>
      <c r="E93">
        <v>0.06</v>
      </c>
      <c r="F93" s="6">
        <v>18</v>
      </c>
      <c r="G93" s="6">
        <v>1.5</v>
      </c>
      <c r="H93" s="6">
        <v>0.8</v>
      </c>
      <c r="I93">
        <v>1</v>
      </c>
      <c r="J93">
        <v>1000</v>
      </c>
      <c r="K93">
        <v>15</v>
      </c>
      <c r="L93" s="7">
        <v>17.414384999999999</v>
      </c>
      <c r="M93" s="7">
        <v>1.047204</v>
      </c>
      <c r="N93" s="7">
        <v>1.005692</v>
      </c>
    </row>
    <row r="94" spans="1:29" x14ac:dyDescent="0.2">
      <c r="A94" s="2" t="s">
        <v>52</v>
      </c>
      <c r="B94">
        <v>38.42</v>
      </c>
      <c r="C94">
        <v>1E-3</v>
      </c>
      <c r="D94" s="9">
        <v>7.9893299999999993E-3</v>
      </c>
      <c r="E94">
        <v>0.06</v>
      </c>
      <c r="F94" s="6">
        <v>18</v>
      </c>
      <c r="G94" s="6">
        <v>1.5</v>
      </c>
      <c r="H94" s="6">
        <v>0.8</v>
      </c>
      <c r="I94">
        <v>1</v>
      </c>
      <c r="J94">
        <v>1000</v>
      </c>
      <c r="K94">
        <v>15</v>
      </c>
      <c r="L94" s="7">
        <v>17.433530000000001</v>
      </c>
      <c r="M94" s="7">
        <v>1.0491440000000001</v>
      </c>
      <c r="N94" s="7">
        <v>1.0056510000000001</v>
      </c>
    </row>
    <row r="95" spans="1:29" x14ac:dyDescent="0.2">
      <c r="K95" s="11" t="s">
        <v>27</v>
      </c>
      <c r="L95">
        <f>AVERAGE(Table13589101416[E_model])</f>
        <v>17.412068999999999</v>
      </c>
      <c r="M95">
        <f>AVERAGE(Table13589101416[lambda_12])</f>
        <v>1.0471119999999998</v>
      </c>
      <c r="N95">
        <f>AVERAGE(Table13589101416[lambda_23])</f>
        <v>1.005566</v>
      </c>
    </row>
    <row r="96" spans="1:29" x14ac:dyDescent="0.2">
      <c r="K96" s="11" t="s">
        <v>53</v>
      </c>
      <c r="L96">
        <f>STDEV(Table13589101416[E_model])</f>
        <v>1.8116285463637905E-2</v>
      </c>
      <c r="M96">
        <f>STDEV(Table13589101416[lambda_12])</f>
        <v>4.1373084849936296E-3</v>
      </c>
      <c r="N96">
        <f>STDEV(Table13589101416[lambda_23])</f>
        <v>5.5919719241068818E-4</v>
      </c>
    </row>
  </sheetData>
  <pageMargins left="0.7" right="0.7" top="0.75" bottom="0.75" header="0.3" footer="0.3"/>
  <pageSetup paperSize="9" orientation="landscape" r:id="rId1"/>
  <drawing r:id="rId2"/>
  <tableParts count="8"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8"/>
  <sheetViews>
    <sheetView tabSelected="1" topLeftCell="A5" zoomScale="180" zoomScaleNormal="180" workbookViewId="0">
      <selection activeCell="Q40" sqref="Q40:U47"/>
    </sheetView>
  </sheetViews>
  <sheetFormatPr baseColWidth="10" defaultColWidth="8.83203125" defaultRowHeight="15" x14ac:dyDescent="0.2"/>
  <cols>
    <col min="1" max="1" width="42.5" bestFit="1" customWidth="1"/>
    <col min="2" max="2" width="15" bestFit="1" customWidth="1"/>
  </cols>
  <sheetData>
    <row r="1" spans="1:15" x14ac:dyDescent="0.2">
      <c r="B1" t="s">
        <v>57</v>
      </c>
    </row>
    <row r="2" spans="1:15" x14ac:dyDescent="0.2">
      <c r="B2" t="s">
        <v>83</v>
      </c>
    </row>
    <row r="3" spans="1:15" x14ac:dyDescent="0.2">
      <c r="A3" t="s">
        <v>84</v>
      </c>
      <c r="B3" t="s">
        <v>32</v>
      </c>
      <c r="C3" s="1" t="s">
        <v>6</v>
      </c>
      <c r="D3" s="1" t="s">
        <v>8</v>
      </c>
      <c r="E3" s="1" t="s">
        <v>39</v>
      </c>
      <c r="F3" s="1" t="s">
        <v>21</v>
      </c>
      <c r="G3" s="1" t="s">
        <v>9</v>
      </c>
      <c r="H3" s="1" t="s">
        <v>43</v>
      </c>
      <c r="I3" s="1" t="s">
        <v>44</v>
      </c>
      <c r="J3" s="1" t="s">
        <v>12</v>
      </c>
      <c r="K3" s="1" t="s">
        <v>13</v>
      </c>
      <c r="L3" s="1" t="s">
        <v>15</v>
      </c>
      <c r="M3" s="1" t="s">
        <v>16</v>
      </c>
      <c r="N3" s="1" t="s">
        <v>45</v>
      </c>
      <c r="O3" s="1" t="s">
        <v>46</v>
      </c>
    </row>
    <row r="4" spans="1:15" x14ac:dyDescent="0.2">
      <c r="A4" t="s">
        <v>85</v>
      </c>
      <c r="B4" s="2" t="s">
        <v>0</v>
      </c>
      <c r="C4">
        <v>38.42</v>
      </c>
      <c r="D4">
        <v>1E-3</v>
      </c>
      <c r="E4" s="9"/>
      <c r="F4">
        <v>0.4</v>
      </c>
      <c r="G4" s="6">
        <v>205</v>
      </c>
      <c r="H4" s="6">
        <v>11.6</v>
      </c>
      <c r="I4" s="6">
        <v>0.97</v>
      </c>
      <c r="J4">
        <v>1</v>
      </c>
      <c r="K4">
        <v>1000</v>
      </c>
      <c r="L4">
        <v>25</v>
      </c>
      <c r="M4" s="7">
        <v>193.419422</v>
      </c>
      <c r="N4" s="7">
        <v>10.545054</v>
      </c>
      <c r="O4" s="7">
        <v>1.2217800000000001</v>
      </c>
    </row>
    <row r="5" spans="1:15" x14ac:dyDescent="0.2">
      <c r="B5" s="2" t="s">
        <v>1</v>
      </c>
      <c r="C5">
        <v>38.42</v>
      </c>
      <c r="D5">
        <v>1E-3</v>
      </c>
      <c r="E5" s="9"/>
      <c r="F5">
        <v>0.6</v>
      </c>
      <c r="G5" s="6">
        <v>405.61</v>
      </c>
      <c r="H5" s="6">
        <v>16.25</v>
      </c>
      <c r="I5" s="6">
        <v>0.71</v>
      </c>
      <c r="J5">
        <v>1</v>
      </c>
      <c r="K5">
        <v>1000</v>
      </c>
      <c r="L5">
        <v>25</v>
      </c>
      <c r="M5" s="7">
        <v>353.77064000000001</v>
      </c>
      <c r="N5" s="7">
        <v>13.507410999999999</v>
      </c>
      <c r="O5" s="7">
        <v>1.043318</v>
      </c>
    </row>
    <row r="6" spans="1:15" x14ac:dyDescent="0.2">
      <c r="B6" s="2" t="s">
        <v>2</v>
      </c>
      <c r="C6">
        <v>38.42</v>
      </c>
      <c r="D6">
        <v>1E-3</v>
      </c>
      <c r="E6" s="9"/>
      <c r="F6">
        <v>0.3</v>
      </c>
      <c r="G6" s="6">
        <v>110</v>
      </c>
      <c r="H6" s="6">
        <v>3</v>
      </c>
      <c r="I6" s="6">
        <v>0.95</v>
      </c>
      <c r="J6">
        <v>1</v>
      </c>
      <c r="K6">
        <v>1000</v>
      </c>
      <c r="L6">
        <v>25</v>
      </c>
      <c r="M6" s="7">
        <v>89.861519999999999</v>
      </c>
      <c r="N6" s="7">
        <v>1.0209999999999999</v>
      </c>
      <c r="O6" s="7">
        <v>1.0092140000000001</v>
      </c>
    </row>
    <row r="7" spans="1:15" x14ac:dyDescent="0.2">
      <c r="B7" s="2" t="s">
        <v>3</v>
      </c>
      <c r="C7">
        <v>38.42</v>
      </c>
      <c r="D7">
        <v>1E-3</v>
      </c>
      <c r="E7" s="9"/>
      <c r="F7">
        <v>0.04</v>
      </c>
      <c r="G7" s="6">
        <v>11</v>
      </c>
      <c r="H7" s="6">
        <v>6</v>
      </c>
      <c r="I7" s="6">
        <v>1.05</v>
      </c>
      <c r="J7">
        <v>1</v>
      </c>
      <c r="K7">
        <v>1000</v>
      </c>
      <c r="L7">
        <v>25</v>
      </c>
      <c r="M7" s="7">
        <v>14.580048</v>
      </c>
      <c r="N7" s="7">
        <v>8.4666149999999991</v>
      </c>
      <c r="O7" s="7">
        <v>1.633667</v>
      </c>
    </row>
    <row r="8" spans="1:15" x14ac:dyDescent="0.2">
      <c r="B8" s="2" t="s">
        <v>4</v>
      </c>
      <c r="C8">
        <v>38.42</v>
      </c>
      <c r="D8">
        <v>1E-3</v>
      </c>
      <c r="E8" s="9"/>
      <c r="F8">
        <v>0.09</v>
      </c>
      <c r="G8" s="6">
        <v>24</v>
      </c>
      <c r="H8" s="6">
        <v>2</v>
      </c>
      <c r="I8" s="6">
        <v>1.39</v>
      </c>
      <c r="J8">
        <v>1</v>
      </c>
      <c r="K8">
        <v>1000</v>
      </c>
      <c r="L8">
        <v>25</v>
      </c>
      <c r="M8" s="7">
        <v>24.949591999999999</v>
      </c>
      <c r="N8" s="7">
        <v>3.3175490000000001</v>
      </c>
      <c r="O8" s="7">
        <v>1.4905409999999999</v>
      </c>
    </row>
    <row r="9" spans="1:15" x14ac:dyDescent="0.2">
      <c r="B9" s="2" t="s">
        <v>5</v>
      </c>
      <c r="C9">
        <v>38.42</v>
      </c>
      <c r="D9">
        <v>1E-3</v>
      </c>
      <c r="E9" s="9"/>
      <c r="F9">
        <v>0.05</v>
      </c>
      <c r="G9" s="6">
        <v>11.36</v>
      </c>
      <c r="H9" s="6">
        <v>5.57</v>
      </c>
      <c r="I9" s="6">
        <v>1.1200000000000001</v>
      </c>
      <c r="J9">
        <v>1</v>
      </c>
      <c r="K9">
        <v>1000</v>
      </c>
      <c r="L9">
        <v>25</v>
      </c>
      <c r="M9" s="7">
        <v>10.285821</v>
      </c>
      <c r="N9" s="7">
        <v>3.8489239999999998</v>
      </c>
      <c r="O9" s="7">
        <v>1.797388</v>
      </c>
    </row>
    <row r="10" spans="1:15" x14ac:dyDescent="0.2">
      <c r="A10" t="s">
        <v>86</v>
      </c>
      <c r="B10" s="3" t="s">
        <v>20</v>
      </c>
      <c r="C10">
        <v>38.42</v>
      </c>
      <c r="D10">
        <v>1E-3</v>
      </c>
      <c r="E10" s="9"/>
      <c r="F10">
        <v>0.06</v>
      </c>
      <c r="G10" s="6">
        <v>18</v>
      </c>
      <c r="H10" s="6">
        <v>1.5</v>
      </c>
      <c r="I10" s="6">
        <v>0.8</v>
      </c>
      <c r="J10">
        <v>1</v>
      </c>
      <c r="K10">
        <v>1000</v>
      </c>
      <c r="L10">
        <v>25</v>
      </c>
      <c r="M10" s="7">
        <v>16.660547999999999</v>
      </c>
      <c r="N10" s="7">
        <v>1.0539639999999999</v>
      </c>
      <c r="O10" s="7">
        <v>1.008</v>
      </c>
    </row>
    <row r="11" spans="1:15" x14ac:dyDescent="0.2">
      <c r="A11" t="s">
        <v>88</v>
      </c>
      <c r="M11">
        <f>AVERAGE(Table1358917[E_model])</f>
        <v>100.5039415714286</v>
      </c>
      <c r="N11">
        <f>AVERAGE(Table1358917[lambda_12])</f>
        <v>5.965788142857142</v>
      </c>
      <c r="O11">
        <f>AVERAGE(Table1358917[lambda_23])</f>
        <v>1.3148439999999997</v>
      </c>
    </row>
    <row r="12" spans="1:15" x14ac:dyDescent="0.2">
      <c r="A12" t="s">
        <v>90</v>
      </c>
    </row>
    <row r="13" spans="1:15" x14ac:dyDescent="0.2">
      <c r="B13" t="s">
        <v>57</v>
      </c>
    </row>
    <row r="14" spans="1:15" x14ac:dyDescent="0.2">
      <c r="A14" t="s">
        <v>78</v>
      </c>
      <c r="B14" t="s">
        <v>58</v>
      </c>
    </row>
    <row r="15" spans="1:15" x14ac:dyDescent="0.2">
      <c r="A15" t="s">
        <v>84</v>
      </c>
      <c r="B15" t="s">
        <v>32</v>
      </c>
      <c r="C15" s="1" t="s">
        <v>6</v>
      </c>
      <c r="D15" s="1" t="s">
        <v>8</v>
      </c>
      <c r="E15" s="1" t="s">
        <v>39</v>
      </c>
      <c r="F15" s="1" t="s">
        <v>21</v>
      </c>
      <c r="G15" s="1" t="s">
        <v>9</v>
      </c>
      <c r="H15" s="1" t="s">
        <v>43</v>
      </c>
      <c r="I15" s="1" t="s">
        <v>44</v>
      </c>
      <c r="J15" s="1" t="s">
        <v>12</v>
      </c>
      <c r="K15" s="1" t="s">
        <v>13</v>
      </c>
      <c r="L15" s="1" t="s">
        <v>15</v>
      </c>
      <c r="M15" s="1" t="s">
        <v>16</v>
      </c>
      <c r="N15" s="1" t="s">
        <v>45</v>
      </c>
      <c r="O15" s="1" t="s">
        <v>46</v>
      </c>
    </row>
    <row r="16" spans="1:15" x14ac:dyDescent="0.2">
      <c r="A16" t="s">
        <v>74</v>
      </c>
      <c r="B16" s="2" t="s">
        <v>0</v>
      </c>
      <c r="C16">
        <v>28</v>
      </c>
      <c r="D16">
        <v>1E-3</v>
      </c>
      <c r="E16" s="14">
        <v>0</v>
      </c>
      <c r="F16">
        <v>0.38</v>
      </c>
      <c r="G16" s="6">
        <v>146</v>
      </c>
      <c r="H16" s="6">
        <v>11.6</v>
      </c>
      <c r="I16" s="6">
        <v>1.1000000000000001</v>
      </c>
      <c r="J16">
        <v>1</v>
      </c>
      <c r="K16">
        <v>1000</v>
      </c>
      <c r="L16">
        <v>25</v>
      </c>
      <c r="M16" s="7">
        <v>141.02303800000001</v>
      </c>
      <c r="N16" s="7">
        <v>10.541632</v>
      </c>
      <c r="O16" s="7">
        <v>1.2198850000000001</v>
      </c>
    </row>
    <row r="17" spans="1:15" x14ac:dyDescent="0.2">
      <c r="A17" s="15" t="s">
        <v>87</v>
      </c>
      <c r="B17" s="2" t="s">
        <v>1</v>
      </c>
      <c r="C17">
        <v>28</v>
      </c>
      <c r="D17">
        <v>1E-3</v>
      </c>
      <c r="E17" s="14">
        <v>0</v>
      </c>
      <c r="F17">
        <v>0.6</v>
      </c>
      <c r="G17" s="6">
        <v>301</v>
      </c>
      <c r="H17" s="6">
        <v>16.5</v>
      </c>
      <c r="I17" s="6">
        <v>0.7</v>
      </c>
      <c r="J17">
        <v>1</v>
      </c>
      <c r="K17">
        <v>1000</v>
      </c>
      <c r="L17">
        <v>25</v>
      </c>
      <c r="M17" s="7">
        <v>257.510785</v>
      </c>
      <c r="N17" s="7">
        <v>13.488009</v>
      </c>
      <c r="O17" s="7">
        <v>1.042937</v>
      </c>
    </row>
    <row r="18" spans="1:15" x14ac:dyDescent="0.2">
      <c r="A18" t="s">
        <v>75</v>
      </c>
      <c r="B18" s="2" t="s">
        <v>2</v>
      </c>
      <c r="C18">
        <v>28</v>
      </c>
      <c r="D18">
        <v>1E-3</v>
      </c>
      <c r="E18" s="14">
        <v>0</v>
      </c>
      <c r="F18">
        <v>0.35</v>
      </c>
      <c r="G18" s="6">
        <v>79.09</v>
      </c>
      <c r="H18" s="6">
        <v>3</v>
      </c>
      <c r="I18" s="6">
        <v>0.85</v>
      </c>
      <c r="J18">
        <v>1</v>
      </c>
      <c r="K18">
        <v>1000</v>
      </c>
      <c r="L18">
        <v>25</v>
      </c>
      <c r="M18" s="7">
        <v>71.829076999999998</v>
      </c>
      <c r="N18" s="7">
        <v>1.799644</v>
      </c>
      <c r="O18" s="7">
        <v>1.0065679999999999</v>
      </c>
    </row>
    <row r="19" spans="1:15" x14ac:dyDescent="0.2">
      <c r="A19">
        <f>0.55 + 5.95 + 0</f>
        <v>6.5</v>
      </c>
      <c r="B19" s="2" t="s">
        <v>3</v>
      </c>
      <c r="C19">
        <v>28</v>
      </c>
      <c r="D19">
        <v>1E-3</v>
      </c>
      <c r="E19" s="14">
        <v>0</v>
      </c>
      <c r="F19">
        <v>3.5000000000000003E-2</v>
      </c>
      <c r="G19" s="6">
        <v>9.07</v>
      </c>
      <c r="H19" s="6">
        <v>7.26</v>
      </c>
      <c r="I19" s="6">
        <v>1.5</v>
      </c>
      <c r="J19">
        <v>1</v>
      </c>
      <c r="K19">
        <v>1000</v>
      </c>
      <c r="L19">
        <v>25</v>
      </c>
      <c r="M19" s="7">
        <v>10.973986999999999</v>
      </c>
      <c r="N19" s="7">
        <v>8.5951009999999997</v>
      </c>
      <c r="O19" s="7">
        <v>1.6391629999999999</v>
      </c>
    </row>
    <row r="20" spans="1:15" x14ac:dyDescent="0.2">
      <c r="A20" s="15" t="s">
        <v>89</v>
      </c>
      <c r="B20" s="2" t="s">
        <v>4</v>
      </c>
      <c r="C20">
        <v>28</v>
      </c>
      <c r="D20">
        <v>1E-3</v>
      </c>
      <c r="E20" s="14">
        <v>0</v>
      </c>
      <c r="F20">
        <v>0.08</v>
      </c>
      <c r="G20" s="6">
        <v>17.5</v>
      </c>
      <c r="H20" s="6">
        <v>2.4500000000000002</v>
      </c>
      <c r="I20" s="6">
        <v>1.6</v>
      </c>
      <c r="J20">
        <v>1</v>
      </c>
      <c r="K20">
        <v>1000</v>
      </c>
      <c r="L20">
        <v>25</v>
      </c>
      <c r="M20" s="7">
        <v>18.921458999999999</v>
      </c>
      <c r="N20" s="7">
        <v>3.5301399999999998</v>
      </c>
      <c r="O20" s="7">
        <v>1.49424</v>
      </c>
    </row>
    <row r="21" spans="1:15" x14ac:dyDescent="0.2">
      <c r="A21" t="s">
        <v>76</v>
      </c>
      <c r="B21" s="2" t="s">
        <v>5</v>
      </c>
      <c r="C21">
        <v>28</v>
      </c>
      <c r="D21">
        <v>1E-3</v>
      </c>
      <c r="E21" s="14">
        <v>0</v>
      </c>
      <c r="F21">
        <v>3.5000000000000003E-2</v>
      </c>
      <c r="G21" s="6">
        <v>8.5</v>
      </c>
      <c r="H21" s="6">
        <v>5.33</v>
      </c>
      <c r="I21" s="6">
        <v>1.25</v>
      </c>
      <c r="J21">
        <v>1</v>
      </c>
      <c r="K21">
        <v>1000</v>
      </c>
      <c r="L21">
        <v>25</v>
      </c>
      <c r="M21" s="7">
        <v>10.109330999999999</v>
      </c>
      <c r="N21" s="7">
        <v>6.410571</v>
      </c>
      <c r="O21" s="7">
        <v>1.7199549999999999</v>
      </c>
    </row>
    <row r="22" spans="1:15" x14ac:dyDescent="0.2">
      <c r="A22">
        <f>0.55 + 0.75 + 0</f>
        <v>1.3</v>
      </c>
      <c r="B22" s="3" t="s">
        <v>20</v>
      </c>
      <c r="C22">
        <v>28</v>
      </c>
      <c r="D22">
        <v>1E-3</v>
      </c>
      <c r="E22" s="14">
        <v>0</v>
      </c>
      <c r="F22">
        <v>0.06</v>
      </c>
      <c r="G22" s="6">
        <v>12.54</v>
      </c>
      <c r="H22" s="6">
        <v>1.69</v>
      </c>
      <c r="I22" s="6">
        <v>0.86</v>
      </c>
      <c r="J22">
        <v>1</v>
      </c>
      <c r="K22">
        <v>1000</v>
      </c>
      <c r="L22">
        <v>25</v>
      </c>
      <c r="M22" s="7">
        <v>12.33361</v>
      </c>
      <c r="N22" s="7">
        <v>1.040538</v>
      </c>
      <c r="O22" s="7">
        <v>1.0064029999999999</v>
      </c>
    </row>
    <row r="23" spans="1:15" x14ac:dyDescent="0.2">
      <c r="M23">
        <f>AVERAGE(Table135891718[E_model])</f>
        <v>74.671612428571422</v>
      </c>
      <c r="N23">
        <f>AVERAGE(Table135891718[lambda_12])</f>
        <v>6.4865192857142855</v>
      </c>
      <c r="O23">
        <f>AVERAGE(Table135891718[lambda_23])</f>
        <v>1.3041644285714287</v>
      </c>
    </row>
    <row r="25" spans="1:15" x14ac:dyDescent="0.2">
      <c r="B25" t="s">
        <v>57</v>
      </c>
    </row>
    <row r="26" spans="1:15" x14ac:dyDescent="0.2">
      <c r="A26" t="s">
        <v>78</v>
      </c>
      <c r="B26" t="s">
        <v>58</v>
      </c>
    </row>
    <row r="27" spans="1:15" x14ac:dyDescent="0.2">
      <c r="A27" t="s">
        <v>79</v>
      </c>
      <c r="B27" t="s">
        <v>32</v>
      </c>
      <c r="C27" s="1" t="s">
        <v>6</v>
      </c>
      <c r="D27" s="1" t="s">
        <v>8</v>
      </c>
      <c r="E27" s="1" t="s">
        <v>39</v>
      </c>
      <c r="F27" s="1" t="s">
        <v>21</v>
      </c>
      <c r="G27" s="1" t="s">
        <v>9</v>
      </c>
      <c r="H27" s="1" t="s">
        <v>43</v>
      </c>
      <c r="I27" s="1" t="s">
        <v>44</v>
      </c>
      <c r="J27" s="1" t="s">
        <v>12</v>
      </c>
      <c r="K27" s="1" t="s">
        <v>13</v>
      </c>
      <c r="L27" s="1" t="s">
        <v>15</v>
      </c>
      <c r="M27" s="1" t="s">
        <v>16</v>
      </c>
      <c r="N27" s="1" t="s">
        <v>45</v>
      </c>
      <c r="O27" s="1" t="s">
        <v>46</v>
      </c>
    </row>
    <row r="28" spans="1:15" x14ac:dyDescent="0.2">
      <c r="B28" s="2" t="s">
        <v>0</v>
      </c>
      <c r="C28">
        <v>28</v>
      </c>
      <c r="D28">
        <v>1E-3</v>
      </c>
      <c r="E28" s="14">
        <v>0</v>
      </c>
      <c r="G28" s="6">
        <v>146</v>
      </c>
      <c r="H28" s="6">
        <v>7.05</v>
      </c>
      <c r="I28" s="6">
        <v>1.85</v>
      </c>
      <c r="J28">
        <v>1</v>
      </c>
      <c r="K28">
        <v>1000</v>
      </c>
      <c r="L28">
        <v>25</v>
      </c>
      <c r="M28" s="7">
        <v>140.93507500000001</v>
      </c>
      <c r="N28" s="7">
        <v>10.529203000000001</v>
      </c>
      <c r="O28" s="7">
        <v>1.2227410000000001</v>
      </c>
    </row>
    <row r="29" spans="1:15" x14ac:dyDescent="0.2">
      <c r="A29" t="s">
        <v>74</v>
      </c>
      <c r="B29" s="2" t="s">
        <v>1</v>
      </c>
      <c r="C29">
        <v>28</v>
      </c>
      <c r="D29">
        <v>1E-3</v>
      </c>
      <c r="E29" s="14">
        <v>0</v>
      </c>
      <c r="G29" s="6">
        <v>301</v>
      </c>
      <c r="H29" s="6">
        <v>7.05</v>
      </c>
      <c r="I29" s="6">
        <v>1.85</v>
      </c>
      <c r="J29">
        <v>1</v>
      </c>
      <c r="K29">
        <v>1000</v>
      </c>
      <c r="L29">
        <v>25</v>
      </c>
      <c r="M29" s="7">
        <v>256.50514500000003</v>
      </c>
      <c r="N29" s="7">
        <v>13.451223000000001</v>
      </c>
      <c r="O29" s="7">
        <v>1.0424089999999999</v>
      </c>
    </row>
    <row r="30" spans="1:15" x14ac:dyDescent="0.2">
      <c r="A30" s="15" t="s">
        <v>87</v>
      </c>
      <c r="B30" s="2" t="s">
        <v>2</v>
      </c>
      <c r="C30">
        <v>28</v>
      </c>
      <c r="D30">
        <v>1E-3</v>
      </c>
      <c r="E30" s="14">
        <v>0</v>
      </c>
      <c r="G30" s="6">
        <v>79.09</v>
      </c>
      <c r="H30" s="6">
        <v>7.05</v>
      </c>
      <c r="I30" s="6">
        <v>1.85</v>
      </c>
      <c r="J30">
        <v>1</v>
      </c>
      <c r="K30">
        <v>1000</v>
      </c>
      <c r="L30">
        <v>25</v>
      </c>
      <c r="M30" s="7">
        <v>71.801000000000002</v>
      </c>
      <c r="N30" s="7">
        <v>1.7954060000000001</v>
      </c>
      <c r="O30" s="7">
        <v>1.0063249999999999</v>
      </c>
    </row>
    <row r="31" spans="1:15" x14ac:dyDescent="0.2">
      <c r="A31" t="s">
        <v>77</v>
      </c>
      <c r="B31" s="2" t="s">
        <v>3</v>
      </c>
      <c r="C31">
        <v>28</v>
      </c>
      <c r="D31">
        <v>1E-3</v>
      </c>
      <c r="E31" s="14">
        <v>0</v>
      </c>
      <c r="G31" s="6">
        <v>9.07</v>
      </c>
      <c r="H31" s="6">
        <v>7.05</v>
      </c>
      <c r="I31" s="6">
        <v>1.85</v>
      </c>
      <c r="J31">
        <v>1</v>
      </c>
      <c r="K31">
        <v>1000</v>
      </c>
      <c r="L31">
        <v>25</v>
      </c>
      <c r="M31" s="7">
        <v>10.939475</v>
      </c>
      <c r="N31" s="7">
        <v>8.5734700000000004</v>
      </c>
      <c r="O31" s="7">
        <v>1.6364259999999999</v>
      </c>
    </row>
    <row r="32" spans="1:15" x14ac:dyDescent="0.2">
      <c r="A32">
        <f>1.1 + 5.95 + 0</f>
        <v>7.0500000000000007</v>
      </c>
      <c r="B32" s="2" t="s">
        <v>4</v>
      </c>
      <c r="C32">
        <v>28</v>
      </c>
      <c r="D32">
        <v>1E-3</v>
      </c>
      <c r="E32" s="14">
        <v>0</v>
      </c>
      <c r="G32" s="6">
        <v>17.5</v>
      </c>
      <c r="H32" s="6">
        <v>7.05</v>
      </c>
      <c r="I32" s="6">
        <v>1.85</v>
      </c>
      <c r="J32">
        <v>1</v>
      </c>
      <c r="K32">
        <v>1000</v>
      </c>
      <c r="L32">
        <v>25</v>
      </c>
      <c r="M32" s="7">
        <v>18.911864999999999</v>
      </c>
      <c r="N32" s="7">
        <v>3.5090680000000001</v>
      </c>
      <c r="O32" s="7">
        <v>1.5027919999999999</v>
      </c>
    </row>
    <row r="33" spans="1:21" x14ac:dyDescent="0.2">
      <c r="A33" s="15" t="s">
        <v>89</v>
      </c>
      <c r="B33" s="2" t="s">
        <v>5</v>
      </c>
      <c r="C33">
        <v>28</v>
      </c>
      <c r="D33">
        <v>1E-3</v>
      </c>
      <c r="E33" s="14">
        <v>0</v>
      </c>
      <c r="G33" s="6">
        <v>8.5</v>
      </c>
      <c r="H33" s="6">
        <v>7.05</v>
      </c>
      <c r="I33" s="6">
        <v>1.85</v>
      </c>
      <c r="J33">
        <v>1</v>
      </c>
      <c r="K33">
        <v>1000</v>
      </c>
      <c r="L33">
        <v>25</v>
      </c>
      <c r="M33" s="7">
        <v>10.097837</v>
      </c>
      <c r="N33" s="7">
        <v>6.3879020000000004</v>
      </c>
      <c r="O33" s="7">
        <v>1.721457</v>
      </c>
    </row>
    <row r="34" spans="1:21" x14ac:dyDescent="0.2">
      <c r="A34" t="s">
        <v>81</v>
      </c>
      <c r="B34" s="3" t="s">
        <v>20</v>
      </c>
      <c r="C34">
        <v>28</v>
      </c>
      <c r="D34">
        <v>1E-3</v>
      </c>
      <c r="E34" s="14">
        <v>0</v>
      </c>
      <c r="G34" s="6">
        <v>12.54</v>
      </c>
      <c r="H34" s="6">
        <v>7.05</v>
      </c>
      <c r="I34" s="6">
        <v>1.85</v>
      </c>
      <c r="J34">
        <v>1</v>
      </c>
      <c r="K34">
        <v>1000</v>
      </c>
      <c r="L34">
        <v>25</v>
      </c>
      <c r="M34" s="7">
        <v>12.369915000000001</v>
      </c>
      <c r="N34" s="7">
        <v>1.0594889999999999</v>
      </c>
      <c r="O34" s="7">
        <v>1.0084040000000001</v>
      </c>
    </row>
    <row r="35" spans="1:21" x14ac:dyDescent="0.2">
      <c r="A35">
        <f>1.1 + 0.75 + 0</f>
        <v>1.85</v>
      </c>
    </row>
    <row r="38" spans="1:21" x14ac:dyDescent="0.2">
      <c r="B38" t="s">
        <v>57</v>
      </c>
    </row>
    <row r="39" spans="1:21" x14ac:dyDescent="0.2">
      <c r="A39" t="s">
        <v>78</v>
      </c>
      <c r="B39" t="s">
        <v>58</v>
      </c>
    </row>
    <row r="40" spans="1:21" x14ac:dyDescent="0.2">
      <c r="A40" t="s">
        <v>82</v>
      </c>
      <c r="B40" t="s">
        <v>32</v>
      </c>
      <c r="C40" s="1" t="s">
        <v>6</v>
      </c>
      <c r="D40" s="1" t="s">
        <v>8</v>
      </c>
      <c r="E40" s="1" t="s">
        <v>39</v>
      </c>
      <c r="F40" s="1" t="s">
        <v>21</v>
      </c>
      <c r="G40" s="1" t="s">
        <v>9</v>
      </c>
      <c r="H40" s="1" t="s">
        <v>43</v>
      </c>
      <c r="I40" s="1" t="s">
        <v>44</v>
      </c>
      <c r="J40" s="1" t="s">
        <v>12</v>
      </c>
      <c r="K40" s="1" t="s">
        <v>13</v>
      </c>
      <c r="L40" s="1" t="s">
        <v>15</v>
      </c>
      <c r="M40" s="1" t="s">
        <v>16</v>
      </c>
      <c r="N40" s="1" t="s">
        <v>45</v>
      </c>
      <c r="O40" s="1" t="s">
        <v>46</v>
      </c>
      <c r="Q40" s="16" t="s">
        <v>32</v>
      </c>
      <c r="R40" s="19" t="s">
        <v>16</v>
      </c>
      <c r="S40" s="19" t="s">
        <v>43</v>
      </c>
      <c r="T40" s="20" t="s">
        <v>44</v>
      </c>
      <c r="U40" s="23" t="s">
        <v>6</v>
      </c>
    </row>
    <row r="41" spans="1:21" x14ac:dyDescent="0.2">
      <c r="B41" s="2" t="s">
        <v>0</v>
      </c>
      <c r="C41">
        <v>28</v>
      </c>
      <c r="D41">
        <v>1E-3</v>
      </c>
      <c r="E41" s="14">
        <v>0</v>
      </c>
      <c r="G41" s="6">
        <v>146</v>
      </c>
      <c r="H41" s="6">
        <v>7.6</v>
      </c>
      <c r="I41" s="6">
        <v>2.4</v>
      </c>
      <c r="J41">
        <v>1</v>
      </c>
      <c r="K41">
        <v>1000</v>
      </c>
      <c r="L41">
        <v>25</v>
      </c>
      <c r="M41" s="7">
        <v>141.32750200000001</v>
      </c>
      <c r="N41" s="7">
        <v>10.561657</v>
      </c>
      <c r="O41" s="7">
        <v>1.2211780000000001</v>
      </c>
      <c r="Q41" s="17" t="s">
        <v>0</v>
      </c>
      <c r="R41" s="21">
        <v>141.32750200000001</v>
      </c>
      <c r="S41" s="21">
        <v>10.561657</v>
      </c>
      <c r="T41" s="22">
        <v>1.2211780000000001</v>
      </c>
      <c r="U41" s="24">
        <v>28</v>
      </c>
    </row>
    <row r="42" spans="1:21" x14ac:dyDescent="0.2">
      <c r="A42" t="s">
        <v>74</v>
      </c>
      <c r="B42" s="2" t="s">
        <v>1</v>
      </c>
      <c r="C42">
        <v>28</v>
      </c>
      <c r="D42">
        <v>1E-3</v>
      </c>
      <c r="E42" s="14">
        <v>0</v>
      </c>
      <c r="G42" s="6">
        <v>301</v>
      </c>
      <c r="H42" s="6">
        <v>7.6</v>
      </c>
      <c r="I42" s="6">
        <v>2.4</v>
      </c>
      <c r="J42">
        <v>1</v>
      </c>
      <c r="K42">
        <v>1000</v>
      </c>
      <c r="L42">
        <v>25</v>
      </c>
      <c r="M42" s="7">
        <v>259.72715599999998</v>
      </c>
      <c r="N42" s="7">
        <v>13.584284</v>
      </c>
      <c r="O42" s="7">
        <v>1.04261</v>
      </c>
      <c r="Q42" s="18" t="s">
        <v>1</v>
      </c>
      <c r="R42" s="21">
        <v>259.72715599999998</v>
      </c>
      <c r="S42" s="21">
        <v>13.584284</v>
      </c>
      <c r="T42" s="22">
        <v>1.04261</v>
      </c>
      <c r="U42" s="24">
        <v>28</v>
      </c>
    </row>
    <row r="43" spans="1:21" x14ac:dyDescent="0.2">
      <c r="A43" s="15" t="s">
        <v>87</v>
      </c>
      <c r="B43" s="2" t="s">
        <v>2</v>
      </c>
      <c r="C43">
        <v>28</v>
      </c>
      <c r="D43">
        <v>1E-3</v>
      </c>
      <c r="E43" s="14">
        <v>0</v>
      </c>
      <c r="G43" s="6">
        <v>79.09</v>
      </c>
      <c r="H43" s="6">
        <v>7.6</v>
      </c>
      <c r="I43" s="6">
        <v>2.4</v>
      </c>
      <c r="J43">
        <v>1</v>
      </c>
      <c r="K43">
        <v>1000</v>
      </c>
      <c r="L43">
        <v>25</v>
      </c>
      <c r="M43" s="7">
        <v>72.028582</v>
      </c>
      <c r="N43" s="7">
        <v>1.820343</v>
      </c>
      <c r="O43" s="7">
        <v>1.007028</v>
      </c>
      <c r="Q43" s="17" t="s">
        <v>2</v>
      </c>
      <c r="R43" s="21">
        <v>72.028582</v>
      </c>
      <c r="S43" s="21">
        <v>1.820343</v>
      </c>
      <c r="T43" s="22">
        <v>1.007028</v>
      </c>
      <c r="U43" s="24">
        <v>28</v>
      </c>
    </row>
    <row r="44" spans="1:21" x14ac:dyDescent="0.2">
      <c r="A44" t="s">
        <v>80</v>
      </c>
      <c r="B44" s="2" t="s">
        <v>3</v>
      </c>
      <c r="C44">
        <v>28</v>
      </c>
      <c r="D44">
        <v>1E-3</v>
      </c>
      <c r="E44" s="14">
        <v>0</v>
      </c>
      <c r="G44" s="6">
        <v>9.07</v>
      </c>
      <c r="H44" s="6">
        <v>7.6</v>
      </c>
      <c r="I44" s="6">
        <v>2.4</v>
      </c>
      <c r="J44">
        <v>1</v>
      </c>
      <c r="K44">
        <v>1000</v>
      </c>
      <c r="L44">
        <v>25</v>
      </c>
      <c r="M44" s="7">
        <v>10.954138</v>
      </c>
      <c r="N44" s="7">
        <v>8.5859419999999993</v>
      </c>
      <c r="O44" s="7">
        <v>1.6402840000000001</v>
      </c>
      <c r="Q44" s="18" t="s">
        <v>3</v>
      </c>
      <c r="R44" s="21">
        <v>10.954138</v>
      </c>
      <c r="S44" s="21">
        <v>8.5859419999999993</v>
      </c>
      <c r="T44" s="22">
        <v>1.6402840000000001</v>
      </c>
      <c r="U44" s="24">
        <v>28</v>
      </c>
    </row>
    <row r="45" spans="1:21" x14ac:dyDescent="0.2">
      <c r="A45">
        <f>1.65 + 5.95 + 0</f>
        <v>7.6</v>
      </c>
      <c r="B45" s="2" t="s">
        <v>4</v>
      </c>
      <c r="C45">
        <v>28</v>
      </c>
      <c r="D45">
        <v>1E-3</v>
      </c>
      <c r="E45" s="14">
        <v>0</v>
      </c>
      <c r="G45" s="6">
        <v>17.5</v>
      </c>
      <c r="H45" s="6">
        <v>7.6</v>
      </c>
      <c r="I45" s="6">
        <v>2.4</v>
      </c>
      <c r="J45">
        <v>1</v>
      </c>
      <c r="K45">
        <v>1000</v>
      </c>
      <c r="L45">
        <v>25</v>
      </c>
      <c r="M45" s="7">
        <v>18.899308000000001</v>
      </c>
      <c r="N45" s="7">
        <v>3.5316619999999999</v>
      </c>
      <c r="O45" s="7">
        <v>1.490483</v>
      </c>
      <c r="Q45" s="17" t="s">
        <v>4</v>
      </c>
      <c r="R45" s="21">
        <v>18.899308000000001</v>
      </c>
      <c r="S45" s="21">
        <v>3.5316619999999999</v>
      </c>
      <c r="T45" s="22">
        <v>1.490483</v>
      </c>
      <c r="U45" s="24">
        <v>28</v>
      </c>
    </row>
    <row r="46" spans="1:21" x14ac:dyDescent="0.2">
      <c r="A46" s="15" t="s">
        <v>89</v>
      </c>
      <c r="B46" s="2" t="s">
        <v>5</v>
      </c>
      <c r="C46">
        <v>28</v>
      </c>
      <c r="D46">
        <v>1E-3</v>
      </c>
      <c r="E46" s="14">
        <v>0</v>
      </c>
      <c r="G46" s="6">
        <v>8.5</v>
      </c>
      <c r="H46" s="6">
        <v>7.6</v>
      </c>
      <c r="I46" s="6">
        <v>2.4</v>
      </c>
      <c r="J46">
        <v>1</v>
      </c>
      <c r="K46">
        <v>1000</v>
      </c>
      <c r="L46">
        <v>25</v>
      </c>
      <c r="M46" s="7">
        <v>10.106978</v>
      </c>
      <c r="N46" s="7">
        <v>6.3479349999999997</v>
      </c>
      <c r="O46" s="7">
        <v>1.7414609999999999</v>
      </c>
      <c r="Q46" s="18" t="s">
        <v>5</v>
      </c>
      <c r="R46" s="21">
        <v>10.106978</v>
      </c>
      <c r="S46" s="21">
        <v>6.3479349999999997</v>
      </c>
      <c r="T46" s="22">
        <v>1.7414609999999999</v>
      </c>
      <c r="U46" s="24">
        <v>28</v>
      </c>
    </row>
    <row r="47" spans="1:21" x14ac:dyDescent="0.2">
      <c r="A47" t="s">
        <v>81</v>
      </c>
      <c r="B47" s="3" t="s">
        <v>20</v>
      </c>
      <c r="C47">
        <v>28</v>
      </c>
      <c r="D47">
        <v>1E-3</v>
      </c>
      <c r="E47" s="14">
        <v>0</v>
      </c>
      <c r="G47" s="6">
        <v>12.54</v>
      </c>
      <c r="H47" s="6">
        <v>7.6</v>
      </c>
      <c r="I47" s="6">
        <v>2.4</v>
      </c>
      <c r="J47">
        <v>1</v>
      </c>
      <c r="K47">
        <v>1000</v>
      </c>
      <c r="L47">
        <v>25</v>
      </c>
      <c r="M47" s="7">
        <v>12.336137000000001</v>
      </c>
      <c r="N47" s="7">
        <v>1.042551</v>
      </c>
      <c r="O47" s="7">
        <v>1.006705</v>
      </c>
      <c r="Q47" s="17" t="s">
        <v>20</v>
      </c>
      <c r="R47" s="21">
        <v>12.336137000000001</v>
      </c>
      <c r="S47" s="21">
        <v>1.042551</v>
      </c>
      <c r="T47" s="22">
        <v>1.006705</v>
      </c>
      <c r="U47" s="24">
        <v>28</v>
      </c>
    </row>
    <row r="48" spans="1:21" x14ac:dyDescent="0.2">
      <c r="A48">
        <f>1.65 + 0.75 + 0</f>
        <v>2.4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H3:L8"/>
  <sheetViews>
    <sheetView workbookViewId="0">
      <selection activeCell="M3" sqref="M3"/>
    </sheetView>
  </sheetViews>
  <sheetFormatPr baseColWidth="10" defaultColWidth="8.83203125" defaultRowHeight="15" x14ac:dyDescent="0.2"/>
  <cols>
    <col min="8" max="8" width="15.1640625" bestFit="1" customWidth="1"/>
    <col min="9" max="9" width="10.83203125" bestFit="1" customWidth="1"/>
  </cols>
  <sheetData>
    <row r="3" spans="8:12" x14ac:dyDescent="0.2">
      <c r="H3" t="s">
        <v>59</v>
      </c>
      <c r="I3">
        <v>1</v>
      </c>
      <c r="J3">
        <v>2</v>
      </c>
      <c r="K3">
        <v>3</v>
      </c>
      <c r="L3">
        <v>4</v>
      </c>
    </row>
    <row r="4" spans="8:12" x14ac:dyDescent="0.2">
      <c r="H4" t="s">
        <v>60</v>
      </c>
      <c r="I4" t="s">
        <v>61</v>
      </c>
      <c r="J4" t="s">
        <v>62</v>
      </c>
    </row>
    <row r="5" spans="8:12" x14ac:dyDescent="0.2">
      <c r="H5" t="s">
        <v>63</v>
      </c>
      <c r="I5" t="s">
        <v>64</v>
      </c>
      <c r="J5" t="s">
        <v>65</v>
      </c>
    </row>
    <row r="6" spans="8:12" x14ac:dyDescent="0.2">
      <c r="H6" t="s">
        <v>66</v>
      </c>
      <c r="I6" t="s">
        <v>67</v>
      </c>
      <c r="J6" t="s">
        <v>68</v>
      </c>
    </row>
    <row r="7" spans="8:12" x14ac:dyDescent="0.2">
      <c r="H7" t="s">
        <v>69</v>
      </c>
      <c r="I7">
        <v>1</v>
      </c>
      <c r="J7">
        <v>2</v>
      </c>
    </row>
    <row r="8" spans="8:12" x14ac:dyDescent="0.2">
      <c r="H8" t="s">
        <v>70</v>
      </c>
      <c r="I8" t="s">
        <v>71</v>
      </c>
      <c r="J8" t="s">
        <v>72</v>
      </c>
      <c r="K8" t="s">
        <v>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F3C2B24EE74845B032A2CC0F813651" ma:contentTypeVersion="14" ma:contentTypeDescription="Create a new document." ma:contentTypeScope="" ma:versionID="6bf2199ff53a2e01a541fb39241cfca3">
  <xsd:schema xmlns:xsd="http://www.w3.org/2001/XMLSchema" xmlns:xs="http://www.w3.org/2001/XMLSchema" xmlns:p="http://schemas.microsoft.com/office/2006/metadata/properties" xmlns:ns3="dcdbe96c-9c47-4202-80f5-cac5e6e6d6c1" xmlns:ns4="1e8eff21-aac5-419e-8496-4266dd95c283" targetNamespace="http://schemas.microsoft.com/office/2006/metadata/properties" ma:root="true" ma:fieldsID="0fac6ab97260c49c8ca7a45f8d9f3ebc" ns3:_="" ns4:_="">
    <xsd:import namespace="dcdbe96c-9c47-4202-80f5-cac5e6e6d6c1"/>
    <xsd:import namespace="1e8eff21-aac5-419e-8496-4266dd95c28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3:SharedWithDetails" minOccurs="0"/>
                <xsd:element ref="ns3:SharingHintHash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dbe96c-9c47-4202-80f5-cac5e6e6d6c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8eff21-aac5-419e-8496-4266dd95c2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0965968-2BC9-4141-A5A2-7AB7FD486B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dbe96c-9c47-4202-80f5-cac5e6e6d6c1"/>
    <ds:schemaRef ds:uri="1e8eff21-aac5-419e-8496-4266dd95c2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6EC1023-2BCB-49E0-8007-0AC19E99111E}">
  <ds:schemaRefs>
    <ds:schemaRef ds:uri="1e8eff21-aac5-419e-8496-4266dd95c28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dcdbe96c-9c47-4202-80f5-cac5e6e6d6c1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81A746D-9887-4DE0-A143-C71008554F0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26.04.2023</vt:lpstr>
      <vt:lpstr>Sheet2</vt:lpstr>
      <vt:lpstr>04.05.2023</vt:lpstr>
      <vt:lpstr>04.05.2023-corrected</vt:lpstr>
      <vt:lpstr>05.05.2023</vt:lpstr>
      <vt:lpstr>10.05.2023</vt:lpstr>
      <vt:lpstr>30.06.2023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2023-04-20T11:04:38Z</dcterms:created>
  <dcterms:modified xsi:type="dcterms:W3CDTF">2023-07-07T09:54:44Z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0x01010063F3C2B24EE74845B032A2CC0F813651</vt:lpwstr>
  </property>
</Properties>
</file>