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8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9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rco luna\Desktop\"/>
    </mc:Choice>
  </mc:AlternateContent>
  <xr:revisionPtr revIDLastSave="0" documentId="8_{4A601FF7-AE5D-4E50-998B-057E94BDF2D4}" xr6:coauthVersionLast="45" xr6:coauthVersionMax="45" xr10:uidLastSave="{00000000-0000-0000-0000-000000000000}"/>
  <bookViews>
    <workbookView xWindow="-120" yWindow="-120" windowWidth="20730" windowHeight="11160" tabRatio="786" firstSheet="3" activeTab="3" xr2:uid="{00000000-000D-0000-FFFF-FFFF00000000}"/>
  </bookViews>
  <sheets>
    <sheet name="COSTOS SEC" sheetId="1" state="hidden" r:id="rId1"/>
    <sheet name="COSTOS SEC (2)" sheetId="16" state="hidden" r:id="rId2"/>
    <sheet name="COSTOS SEC (3)" sheetId="19" state="hidden" r:id="rId3"/>
    <sheet name="COSTOS SEC (FINAL)" sheetId="21" r:id="rId4"/>
    <sheet name="SEC -RLP1 " sheetId="18" r:id="rId5"/>
    <sheet name="COSTOS SEC (4)" sheetId="20" state="hidden" r:id="rId6"/>
    <sheet name="COSTOS  NO" sheetId="6" state="hidden" r:id="rId7"/>
    <sheet name="NO-RLP" sheetId="8" state="hidden" r:id="rId8"/>
    <sheet name="COSTOS  TCS" sheetId="7" state="hidden" r:id="rId9"/>
    <sheet name="TCS-RLP" sheetId="10" state="hidden" r:id="rId10"/>
    <sheet name="PRESUPUESTO (1)" sheetId="17" state="hidden" r:id="rId11"/>
    <sheet name="COSTOS  OI" sheetId="13" state="hidden" r:id="rId12"/>
    <sheet name="OI-RLP" sheetId="9" state="hidden" r:id="rId13"/>
    <sheet name="COSTOS  TCP" sheetId="14" state="hidden" r:id="rId14"/>
    <sheet name="TCP-RLP" sheetId="11" state="hidden" r:id="rId15"/>
    <sheet name="COSTOS  TLQ" sheetId="15" state="hidden" r:id="rId16"/>
    <sheet name="TLQ -RLP" sheetId="12" state="hidden" r:id="rId17"/>
    <sheet name="MOD.1 (4)" sheetId="5" state="hidden" r:id="rId18"/>
    <sheet name="SEC -RLP  (2)" sheetId="4" state="hidden" r:id="rId19"/>
    <sheet name="MOD.1- ANTIGUO" sheetId="2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7" hidden="1">'NO-RLP'!$A$8:$O$95</definedName>
    <definedName name="_xlnm._FilterDatabase" localSheetId="18" hidden="1">'SEC -RLP  (2)'!$A$8:$O$95</definedName>
    <definedName name="_xlnm._FilterDatabase" localSheetId="4" hidden="1">'SEC -RLP1 '!$A$8:$P$96</definedName>
    <definedName name="_xlnm._FilterDatabase" localSheetId="9" hidden="1">'TCS-RLP'!$A$8:$O$95</definedName>
    <definedName name="_xlnm.Print_Area" localSheetId="6">'COSTOS  NO'!$A$1:$K$70</definedName>
    <definedName name="_xlnm.Print_Area" localSheetId="11">'COSTOS  OI'!$A$1:$K$70</definedName>
    <definedName name="_xlnm.Print_Area" localSheetId="13">'COSTOS  TCP'!$A$1:$K$70</definedName>
    <definedName name="_xlnm.Print_Area" localSheetId="8">'COSTOS  TCS'!$A$1:$K$80</definedName>
    <definedName name="_xlnm.Print_Area" localSheetId="15">'COSTOS  TLQ'!$A$1:$K$70</definedName>
    <definedName name="_xlnm.Print_Area" localSheetId="0">'COSTOS SEC'!$A$1:$K$59</definedName>
    <definedName name="_xlnm.Print_Area" localSheetId="1">'COSTOS SEC (2)'!$A$1:$N$61</definedName>
    <definedName name="_xlnm.Print_Area" localSheetId="2">'COSTOS SEC (3)'!$A$1:$K$74</definedName>
    <definedName name="_xlnm.Print_Area" localSheetId="5">'COSTOS SEC (4)'!$A$1:$K$74</definedName>
    <definedName name="_xlnm.Print_Area" localSheetId="3">'COSTOS SEC (FINAL)'!$A$1:$I$74</definedName>
    <definedName name="_xlnm.Print_Area" localSheetId="17">'MOD.1 (4)'!$A$1:$M$69</definedName>
    <definedName name="_xlnm.Print_Area" localSheetId="19">'MOD.1- ANTIGUO'!$A$1:$P$161</definedName>
    <definedName name="_xlnm.Print_Area" localSheetId="7">'NO-RLP'!$A$1:$O$97</definedName>
    <definedName name="_xlnm.Print_Area" localSheetId="10">'PRESUPUESTO (1)'!$C$1:$S$100</definedName>
    <definedName name="BOA" localSheetId="4">'[1]PARAMETROS 10'!$T$5:$T$11</definedName>
    <definedName name="BOA">'[2]PARAMETROS 10'!$T$5:$T$11</definedName>
    <definedName name="CASTELLON" localSheetId="4">'[1]PARAMETROS 10'!$T$20:$T$27</definedName>
    <definedName name="CASTELLON">'[2]PARAMETROS 10'!$T$20:$T$27</definedName>
    <definedName name="cesar" localSheetId="4">'[1]PLAN ESTRAT 2015-2020 09'!$B$32:$B$130</definedName>
    <definedName name="cesar">'[2]PLAN ESTRAT 2015-2020 09'!$B$32:$B$130</definedName>
    <definedName name="chitis" localSheetId="4">'[3]PLAN ESTRAT 2015-2020 09'!$B$35:$B$122</definedName>
    <definedName name="chitis">'[4]PLAN ESTRAT 2015-2020 09'!$B$35:$B$122</definedName>
    <definedName name="comunicaciones" localSheetId="4">'[1]PARAMETROS 10'!$T$59</definedName>
    <definedName name="comunicaciones">'[2]PARAMETROS 10'!$T$59</definedName>
    <definedName name="GastosTerminal" localSheetId="4">'[1]PARAMETROS 10'!$T$45:$T$51</definedName>
    <definedName name="GastosTerminal">'[2]PARAMETROS 10'!$T$45:$T$51</definedName>
    <definedName name="juanito" localSheetId="4">'[1]PARAMETROS 10'!$B$4:$B$14</definedName>
    <definedName name="juanito">'[2]PARAMETROS 10'!$B$4:$B$14</definedName>
    <definedName name="JULIO" localSheetId="4">'[1]PARAMETROS 10'!$B$4:$B$10</definedName>
    <definedName name="JULIO">'[2]PARAMETROS 10'!$B$4:$B$10</definedName>
    <definedName name="limpieza" localSheetId="4">'[1]PARAMETROS 10'!$T$63</definedName>
    <definedName name="limpieza">'[2]PARAMETROS 10'!$T$63</definedName>
    <definedName name="ListaDatos" localSheetId="4">'[1]PARAMETROS 10'!$B$5:$B$85</definedName>
    <definedName name="ListaDatos">'[2]PARAMETROS 10'!$B$5:$B$85</definedName>
    <definedName name="ListaMateriales" localSheetId="6">#REF!</definedName>
    <definedName name="ListaMateriales" localSheetId="11">#REF!</definedName>
    <definedName name="ListaMateriales" localSheetId="13">#REF!</definedName>
    <definedName name="ListaMateriales" localSheetId="8">#REF!</definedName>
    <definedName name="ListaMateriales" localSheetId="15">#REF!</definedName>
    <definedName name="ListaMateriales" localSheetId="1">#REF!</definedName>
    <definedName name="ListaMateriales" localSheetId="2">#REF!</definedName>
    <definedName name="ListaMateriales" localSheetId="5">#REF!</definedName>
    <definedName name="ListaMateriales" localSheetId="3">#REF!</definedName>
    <definedName name="ListaMateriales" localSheetId="17">#REF!</definedName>
    <definedName name="ListaMateriales" localSheetId="7">#REF!</definedName>
    <definedName name="ListaMateriales" localSheetId="18">#REF!</definedName>
    <definedName name="ListaMateriales" localSheetId="4">#REF!</definedName>
    <definedName name="ListaMateriales">#REF!</definedName>
    <definedName name="materiales" localSheetId="4">'[1]PARAMETROS 10'!$N$4:$N$148</definedName>
    <definedName name="materiales">'[2]PARAMETROS 10'!$N$4:$N$148</definedName>
    <definedName name="nombre" localSheetId="4">'[5]PARAMETROS 10'!$B$5:$B$14</definedName>
    <definedName name="nombre">'[6]PARAMETROS 10'!$B$5:$B$14</definedName>
    <definedName name="oli" localSheetId="4">'[1]PARAMETROS 10'!$T$65</definedName>
    <definedName name="oli">'[2]PARAMETROS 10'!$T$65</definedName>
    <definedName name="pancho" localSheetId="4">'[1]PARAMETROS 10'!$T$61</definedName>
    <definedName name="pancho">'[2]PARAMETROS 10'!$T$61</definedName>
    <definedName name="papi" localSheetId="4">'[1]PLAN ESTRAT 2015-2020 09'!$B$17:$B$29</definedName>
    <definedName name="papi">'[2]PLAN ESTRAT 2015-2020 09'!$B$17:$B$29</definedName>
    <definedName name="pepito" localSheetId="4">'[1]PARAMETROS 10'!$T$56:$T$57</definedName>
    <definedName name="pepito">'[2]PARAMETROS 10'!$T$56:$T$57</definedName>
    <definedName name="pico" localSheetId="4">'[1]PLAN ESTRAT 2015-2020 09'!$B$17:$B$30</definedName>
    <definedName name="pico">'[2]PLAN ESTRAT 2015-2020 09'!$B$17:$B$30</definedName>
    <definedName name="RUTA" localSheetId="4">'[1]PARAMETROS 10'!$T$34:$T$40</definedName>
    <definedName name="RUTA">'[2]PARAMETROS 10'!$T$34:$T$40</definedName>
    <definedName name="seguridad" localSheetId="4">'[1]PARAMETROS 10'!$T$66</definedName>
    <definedName name="seguridad">'[2]PARAMETROS 10'!$T$66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6" i="21" l="1"/>
  <c r="E90" i="21"/>
  <c r="I72" i="21"/>
  <c r="I71" i="21"/>
  <c r="I70" i="21"/>
  <c r="I69" i="21"/>
  <c r="I68" i="21"/>
  <c r="B68" i="21"/>
  <c r="I67" i="21"/>
  <c r="I66" i="21"/>
  <c r="I65" i="21"/>
  <c r="B65" i="21"/>
  <c r="I64" i="21"/>
  <c r="I60" i="21"/>
  <c r="I59" i="21"/>
  <c r="I58" i="21"/>
  <c r="I57" i="21"/>
  <c r="B56" i="21"/>
  <c r="I55" i="21"/>
  <c r="F55" i="21"/>
  <c r="I54" i="21"/>
  <c r="F54" i="21"/>
  <c r="I53" i="21"/>
  <c r="I52" i="21"/>
  <c r="I51" i="21"/>
  <c r="I50" i="21"/>
  <c r="I49" i="21"/>
  <c r="B48" i="21"/>
  <c r="I47" i="21"/>
  <c r="I46" i="21"/>
  <c r="I45" i="21"/>
  <c r="I44" i="21"/>
  <c r="B43" i="21"/>
  <c r="B41" i="21"/>
  <c r="B40" i="21"/>
  <c r="B37" i="21"/>
  <c r="B36" i="21"/>
  <c r="B35" i="21"/>
  <c r="B34" i="21"/>
  <c r="B33" i="21"/>
  <c r="B32" i="21"/>
  <c r="B31" i="21"/>
  <c r="B30" i="21"/>
  <c r="B29" i="21"/>
  <c r="I26" i="21"/>
  <c r="I25" i="21"/>
  <c r="D20" i="21"/>
  <c r="E14" i="21"/>
  <c r="F13" i="21"/>
  <c r="F12" i="21"/>
  <c r="F11" i="21"/>
  <c r="F10" i="21"/>
  <c r="F9" i="21"/>
  <c r="I123" i="20"/>
  <c r="I122" i="20"/>
  <c r="I121" i="20"/>
  <c r="O119" i="20"/>
  <c r="H112" i="20"/>
  <c r="K108" i="20"/>
  <c r="J112" i="20" s="1"/>
  <c r="G104" i="20"/>
  <c r="I99" i="20"/>
  <c r="I98" i="20"/>
  <c r="I97" i="20"/>
  <c r="H88" i="20"/>
  <c r="K72" i="20"/>
  <c r="I72" i="20"/>
  <c r="K71" i="20"/>
  <c r="I71" i="20"/>
  <c r="I70" i="20"/>
  <c r="K69" i="20"/>
  <c r="I69" i="20"/>
  <c r="K68" i="20"/>
  <c r="I68" i="20"/>
  <c r="B68" i="20"/>
  <c r="K67" i="20"/>
  <c r="I67" i="20"/>
  <c r="K66" i="20"/>
  <c r="I66" i="20"/>
  <c r="I65" i="20"/>
  <c r="B65" i="20"/>
  <c r="K64" i="20"/>
  <c r="K73" i="20" s="1"/>
  <c r="I64" i="20"/>
  <c r="K60" i="20"/>
  <c r="I60" i="20"/>
  <c r="K59" i="20"/>
  <c r="I59" i="20"/>
  <c r="K58" i="20"/>
  <c r="I58" i="20"/>
  <c r="K57" i="20"/>
  <c r="I57" i="20"/>
  <c r="B56" i="20"/>
  <c r="K55" i="20"/>
  <c r="I55" i="20"/>
  <c r="F55" i="20"/>
  <c r="K54" i="20"/>
  <c r="I54" i="20"/>
  <c r="F54" i="20"/>
  <c r="K53" i="20"/>
  <c r="I53" i="20"/>
  <c r="K52" i="20"/>
  <c r="I52" i="20"/>
  <c r="K51" i="20"/>
  <c r="I51" i="20"/>
  <c r="K50" i="20"/>
  <c r="I50" i="20"/>
  <c r="K49" i="20"/>
  <c r="I49" i="20"/>
  <c r="B48" i="20"/>
  <c r="K47" i="20"/>
  <c r="I47" i="20"/>
  <c r="K46" i="20"/>
  <c r="I46" i="20"/>
  <c r="K45" i="20"/>
  <c r="I45" i="20"/>
  <c r="K44" i="20"/>
  <c r="K42" i="20" s="1"/>
  <c r="I44" i="20"/>
  <c r="B43" i="20"/>
  <c r="B41" i="20"/>
  <c r="B40" i="20"/>
  <c r="B37" i="20"/>
  <c r="B36" i="20"/>
  <c r="B35" i="20"/>
  <c r="B34" i="20"/>
  <c r="B33" i="20"/>
  <c r="B32" i="20"/>
  <c r="B31" i="20"/>
  <c r="B30" i="20"/>
  <c r="B29" i="20"/>
  <c r="K26" i="20"/>
  <c r="I26" i="20"/>
  <c r="K25" i="20"/>
  <c r="I25" i="20"/>
  <c r="D20" i="20"/>
  <c r="I14" i="20"/>
  <c r="M13" i="20"/>
  <c r="J13" i="20"/>
  <c r="M12" i="20"/>
  <c r="J12" i="20"/>
  <c r="M11" i="20"/>
  <c r="J11" i="20"/>
  <c r="M10" i="20"/>
  <c r="J10" i="20"/>
  <c r="M9" i="20"/>
  <c r="M14" i="20" s="1"/>
  <c r="J9" i="20"/>
  <c r="J14" i="20" s="1"/>
  <c r="M10" i="19"/>
  <c r="M11" i="19"/>
  <c r="M12" i="19"/>
  <c r="M13" i="19"/>
  <c r="M9" i="19"/>
  <c r="O119" i="19"/>
  <c r="H112" i="19"/>
  <c r="G104" i="19"/>
  <c r="I123" i="19"/>
  <c r="I122" i="19"/>
  <c r="I121" i="19"/>
  <c r="J10" i="19"/>
  <c r="J11" i="19"/>
  <c r="J12" i="19"/>
  <c r="J13" i="19"/>
  <c r="J9" i="19"/>
  <c r="I14" i="19"/>
  <c r="I73" i="20" l="1"/>
  <c r="G77" i="20" s="1"/>
  <c r="N10" i="20"/>
  <c r="N12" i="20"/>
  <c r="I42" i="20"/>
  <c r="I42" i="21"/>
  <c r="I73" i="21"/>
  <c r="C78" i="21" s="1"/>
  <c r="I78" i="21" s="1"/>
  <c r="F14" i="21"/>
  <c r="F22" i="21"/>
  <c r="F21" i="21"/>
  <c r="F27" i="20"/>
  <c r="F23" i="20"/>
  <c r="F24" i="20"/>
  <c r="F25" i="20"/>
  <c r="F21" i="20"/>
  <c r="F26" i="20"/>
  <c r="F22" i="20"/>
  <c r="J116" i="20"/>
  <c r="J117" i="20"/>
  <c r="N13" i="20"/>
  <c r="N9" i="20"/>
  <c r="N11" i="20"/>
  <c r="G101" i="20"/>
  <c r="K101" i="20" s="1"/>
  <c r="J113" i="20" s="1"/>
  <c r="K109" i="20"/>
  <c r="M14" i="19"/>
  <c r="N11" i="19" s="1"/>
  <c r="J14" i="19"/>
  <c r="F21" i="19" s="1"/>
  <c r="N12" i="19" l="1"/>
  <c r="F27" i="21"/>
  <c r="I27" i="21" s="1"/>
  <c r="F25" i="21"/>
  <c r="F24" i="21"/>
  <c r="I24" i="21" s="1"/>
  <c r="F26" i="21"/>
  <c r="F23" i="21"/>
  <c r="I23" i="21" s="1"/>
  <c r="I22" i="21"/>
  <c r="I21" i="21"/>
  <c r="N14" i="20"/>
  <c r="I24" i="20"/>
  <c r="K24" i="20"/>
  <c r="K22" i="20"/>
  <c r="I22" i="20"/>
  <c r="K23" i="20"/>
  <c r="I23" i="20"/>
  <c r="K21" i="20"/>
  <c r="F20" i="20"/>
  <c r="I21" i="20"/>
  <c r="K27" i="20"/>
  <c r="I27" i="20"/>
  <c r="N9" i="19"/>
  <c r="N10" i="19"/>
  <c r="N13" i="19"/>
  <c r="I20" i="20" l="1"/>
  <c r="F20" i="21"/>
  <c r="I20" i="21"/>
  <c r="K20" i="20"/>
  <c r="N14" i="19"/>
  <c r="G90" i="21" l="1"/>
  <c r="G91" i="21"/>
  <c r="I87" i="21" l="1"/>
  <c r="G94" i="21" l="1"/>
  <c r="H94" i="21" s="1"/>
  <c r="G95" i="21"/>
  <c r="H95" i="21" s="1"/>
  <c r="H91" i="21"/>
  <c r="I97" i="19" l="1"/>
  <c r="I98" i="19"/>
  <c r="I99" i="19"/>
  <c r="F22" i="19" l="1"/>
  <c r="F23" i="19"/>
  <c r="F24" i="19"/>
  <c r="F25" i="19"/>
  <c r="F26" i="19"/>
  <c r="F27" i="19"/>
  <c r="K24" i="19" l="1"/>
  <c r="K22" i="19"/>
  <c r="K23" i="19"/>
  <c r="K25" i="19"/>
  <c r="K26" i="19"/>
  <c r="K27" i="19"/>
  <c r="K21" i="19"/>
  <c r="K72" i="19"/>
  <c r="K71" i="19"/>
  <c r="K69" i="19"/>
  <c r="K67" i="19"/>
  <c r="K66" i="19"/>
  <c r="K64" i="19"/>
  <c r="K60" i="19"/>
  <c r="K58" i="19"/>
  <c r="K57" i="19"/>
  <c r="K55" i="19"/>
  <c r="K54" i="19"/>
  <c r="K53" i="19"/>
  <c r="K52" i="19"/>
  <c r="K51" i="19"/>
  <c r="K49" i="19"/>
  <c r="K45" i="19"/>
  <c r="K46" i="19"/>
  <c r="K47" i="19"/>
  <c r="K44" i="19"/>
  <c r="I44" i="19"/>
  <c r="I71" i="19"/>
  <c r="I49" i="19"/>
  <c r="K50" i="19"/>
  <c r="I58" i="19"/>
  <c r="I57" i="19"/>
  <c r="I53" i="19"/>
  <c r="I54" i="19"/>
  <c r="I55" i="19"/>
  <c r="I52" i="19"/>
  <c r="I51" i="19"/>
  <c r="I45" i="19"/>
  <c r="I46" i="19"/>
  <c r="I47" i="19"/>
  <c r="K42" i="19" l="1"/>
  <c r="D20" i="19" l="1"/>
  <c r="B43" i="19"/>
  <c r="F54" i="19"/>
  <c r="F55" i="19"/>
  <c r="I60" i="19"/>
  <c r="I72" i="19"/>
  <c r="H88" i="19"/>
  <c r="I69" i="19"/>
  <c r="I67" i="19"/>
  <c r="I66" i="19"/>
  <c r="I68" i="19" l="1"/>
  <c r="I59" i="19"/>
  <c r="I50" i="19"/>
  <c r="I42" i="19" s="1"/>
  <c r="I70" i="19"/>
  <c r="I65" i="19"/>
  <c r="B36" i="19" l="1"/>
  <c r="K68" i="19"/>
  <c r="K73" i="19" s="1"/>
  <c r="B68" i="19"/>
  <c r="B65" i="19"/>
  <c r="B41" i="19"/>
  <c r="B40" i="19"/>
  <c r="B37" i="19"/>
  <c r="B35" i="19"/>
  <c r="B34" i="19"/>
  <c r="B56" i="19"/>
  <c r="B33" i="19"/>
  <c r="B32" i="19"/>
  <c r="B31" i="19"/>
  <c r="B30" i="19"/>
  <c r="B48" i="19"/>
  <c r="B29" i="19"/>
  <c r="O73" i="16"/>
  <c r="P76" i="16"/>
  <c r="N73" i="16"/>
  <c r="C74" i="16"/>
  <c r="N84" i="16"/>
  <c r="N82" i="16"/>
  <c r="N83" i="16" s="1"/>
  <c r="N80" i="16"/>
  <c r="N77" i="16"/>
  <c r="N76" i="16"/>
  <c r="N75" i="16"/>
  <c r="N74" i="16"/>
  <c r="G58" i="16"/>
  <c r="K58" i="16"/>
  <c r="P73" i="16" l="1"/>
  <c r="P74" i="16" s="1"/>
  <c r="P75" i="16" s="1"/>
  <c r="I64" i="19"/>
  <c r="I73" i="19" s="1"/>
  <c r="G77" i="19" l="1"/>
  <c r="K59" i="19"/>
  <c r="G101" i="19" l="1"/>
  <c r="K101" i="19" s="1"/>
  <c r="J113" i="19" s="1"/>
  <c r="I23" i="19"/>
  <c r="I27" i="19"/>
  <c r="I25" i="19"/>
  <c r="F20" i="19"/>
  <c r="I21" i="19"/>
  <c r="I26" i="19"/>
  <c r="I24" i="19"/>
  <c r="I22" i="19"/>
  <c r="I20" i="19" l="1"/>
  <c r="K20" i="19"/>
  <c r="B23" i="16"/>
  <c r="N56" i="16"/>
  <c r="K56" i="16"/>
  <c r="G56" i="16"/>
  <c r="G59" i="16" l="1"/>
  <c r="G55" i="16"/>
  <c r="K55" i="16" s="1"/>
  <c r="G53" i="16"/>
  <c r="N53" i="16" s="1"/>
  <c r="N58" i="16"/>
  <c r="G57" i="16"/>
  <c r="N59" i="16"/>
  <c r="K59" i="16"/>
  <c r="K53" i="16"/>
  <c r="J64" i="16"/>
  <c r="J66" i="16" s="1"/>
  <c r="I74" i="16"/>
  <c r="I79" i="16" s="1"/>
  <c r="L65" i="16"/>
  <c r="K75" i="16" s="1"/>
  <c r="I75" i="16"/>
  <c r="L64" i="16"/>
  <c r="E74" i="16"/>
  <c r="E79" i="16" s="1"/>
  <c r="C79" i="16"/>
  <c r="L15" i="16"/>
  <c r="K76" i="16"/>
  <c r="K74" i="16"/>
  <c r="K79" i="16" s="1"/>
  <c r="I15" i="16"/>
  <c r="N55" i="16" l="1"/>
  <c r="N57" i="16"/>
  <c r="N60" i="16" s="1"/>
  <c r="K57" i="16"/>
  <c r="I76" i="16"/>
  <c r="J76" i="16" s="1"/>
  <c r="L66" i="16"/>
  <c r="L71" i="16" s="1"/>
  <c r="J71" i="16"/>
  <c r="I78" i="16"/>
  <c r="J78" i="16" s="1"/>
  <c r="K77" i="16"/>
  <c r="L76" i="16"/>
  <c r="L79" i="16"/>
  <c r="L75" i="16"/>
  <c r="J75" i="16"/>
  <c r="J79" i="16"/>
  <c r="O15" i="16"/>
  <c r="I77" i="16" l="1"/>
  <c r="K60" i="16"/>
  <c r="K78" i="16"/>
  <c r="L78" i="16" s="1"/>
  <c r="I80" i="16"/>
  <c r="J80" i="16" s="1"/>
  <c r="P67" i="14"/>
  <c r="D65" i="16" l="1"/>
  <c r="C75" i="16" s="1"/>
  <c r="K80" i="16"/>
  <c r="L80" i="16" s="1"/>
  <c r="O95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O94" i="12" s="1"/>
  <c r="O93" i="12"/>
  <c r="N92" i="12"/>
  <c r="M92" i="12"/>
  <c r="L92" i="12"/>
  <c r="K92" i="12"/>
  <c r="J92" i="12"/>
  <c r="I92" i="12"/>
  <c r="H92" i="12"/>
  <c r="G92" i="12"/>
  <c r="G85" i="12" s="1"/>
  <c r="F92" i="12"/>
  <c r="E92" i="12"/>
  <c r="D92" i="12"/>
  <c r="C92" i="12"/>
  <c r="O92" i="12" s="1"/>
  <c r="O91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O89" i="12"/>
  <c r="N88" i="12"/>
  <c r="M88" i="12"/>
  <c r="M85" i="12" s="1"/>
  <c r="L88" i="12"/>
  <c r="K88" i="12"/>
  <c r="J88" i="12"/>
  <c r="I88" i="12"/>
  <c r="I85" i="12" s="1"/>
  <c r="H88" i="12"/>
  <c r="G88" i="12"/>
  <c r="F88" i="12"/>
  <c r="E88" i="12"/>
  <c r="E85" i="12" s="1"/>
  <c r="D88" i="12"/>
  <c r="C88" i="12"/>
  <c r="O87" i="12"/>
  <c r="N86" i="12"/>
  <c r="N85" i="12" s="1"/>
  <c r="M86" i="12"/>
  <c r="L86" i="12"/>
  <c r="K86" i="12"/>
  <c r="J86" i="12"/>
  <c r="J85" i="12" s="1"/>
  <c r="I86" i="12"/>
  <c r="H86" i="12"/>
  <c r="G86" i="12"/>
  <c r="F86" i="12"/>
  <c r="F85" i="12" s="1"/>
  <c r="E86" i="12"/>
  <c r="D86" i="12"/>
  <c r="C86" i="12"/>
  <c r="K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1" i="12"/>
  <c r="O60" i="12"/>
  <c r="O59" i="12"/>
  <c r="O58" i="12"/>
  <c r="O57" i="12"/>
  <c r="O56" i="12"/>
  <c r="O55" i="12"/>
  <c r="O54" i="12"/>
  <c r="O53" i="12"/>
  <c r="O52" i="12"/>
  <c r="N51" i="12"/>
  <c r="N50" i="12" s="1"/>
  <c r="M51" i="12"/>
  <c r="M50" i="12" s="1"/>
  <c r="L51" i="12"/>
  <c r="L50" i="12" s="1"/>
  <c r="O49" i="12"/>
  <c r="O48" i="12"/>
  <c r="O47" i="12"/>
  <c r="N46" i="12"/>
  <c r="M46" i="12"/>
  <c r="M37" i="12" s="1"/>
  <c r="L46" i="12"/>
  <c r="K46" i="12"/>
  <c r="J46" i="12"/>
  <c r="I46" i="12"/>
  <c r="I37" i="12" s="1"/>
  <c r="H46" i="12"/>
  <c r="G46" i="12"/>
  <c r="F46" i="12"/>
  <c r="E46" i="12"/>
  <c r="E37" i="12" s="1"/>
  <c r="D46" i="12"/>
  <c r="C46" i="12"/>
  <c r="O45" i="12"/>
  <c r="O44" i="12"/>
  <c r="O43" i="12"/>
  <c r="O42" i="12"/>
  <c r="O41" i="12"/>
  <c r="O40" i="12"/>
  <c r="O39" i="12"/>
  <c r="N38" i="12"/>
  <c r="M38" i="12"/>
  <c r="L38" i="12"/>
  <c r="K38" i="12"/>
  <c r="K37" i="12" s="1"/>
  <c r="J38" i="12"/>
  <c r="I38" i="12"/>
  <c r="H38" i="12"/>
  <c r="H37" i="12" s="1"/>
  <c r="G38" i="12"/>
  <c r="G37" i="12" s="1"/>
  <c r="F38" i="12"/>
  <c r="E38" i="12"/>
  <c r="D38" i="12"/>
  <c r="D37" i="12" s="1"/>
  <c r="C38" i="12"/>
  <c r="C37" i="12" s="1"/>
  <c r="N37" i="12"/>
  <c r="L37" i="12"/>
  <c r="J37" i="12"/>
  <c r="F37" i="12"/>
  <c r="O36" i="12"/>
  <c r="N35" i="12"/>
  <c r="N34" i="12" s="1"/>
  <c r="N33" i="12" s="1"/>
  <c r="M35" i="12"/>
  <c r="L35" i="12"/>
  <c r="K35" i="12"/>
  <c r="J35" i="12"/>
  <c r="J34" i="12" s="1"/>
  <c r="I35" i="12"/>
  <c r="I34" i="12" s="1"/>
  <c r="H35" i="12"/>
  <c r="G35" i="12"/>
  <c r="F35" i="12"/>
  <c r="F34" i="12" s="1"/>
  <c r="E35" i="12"/>
  <c r="E34" i="12" s="1"/>
  <c r="D35" i="12"/>
  <c r="C35" i="12"/>
  <c r="M34" i="12"/>
  <c r="L34" i="12"/>
  <c r="K34" i="12"/>
  <c r="H34" i="12"/>
  <c r="G34" i="12"/>
  <c r="D34" i="12"/>
  <c r="C34" i="12"/>
  <c r="O32" i="12"/>
  <c r="N31" i="12"/>
  <c r="M31" i="12"/>
  <c r="L31" i="12"/>
  <c r="L27" i="12" s="1"/>
  <c r="K31" i="12"/>
  <c r="K27" i="12" s="1"/>
  <c r="J31" i="12"/>
  <c r="I31" i="12"/>
  <c r="H31" i="12"/>
  <c r="G31" i="12"/>
  <c r="F31" i="12"/>
  <c r="E31" i="12"/>
  <c r="D31" i="12"/>
  <c r="D27" i="12" s="1"/>
  <c r="C31" i="12"/>
  <c r="O30" i="12"/>
  <c r="O29" i="12"/>
  <c r="N28" i="12"/>
  <c r="M28" i="12"/>
  <c r="M27" i="12" s="1"/>
  <c r="L28" i="12"/>
  <c r="K28" i="12"/>
  <c r="J28" i="12"/>
  <c r="J27" i="12" s="1"/>
  <c r="I28" i="12"/>
  <c r="I27" i="12" s="1"/>
  <c r="H28" i="12"/>
  <c r="G28" i="12"/>
  <c r="F28" i="12"/>
  <c r="F27" i="12" s="1"/>
  <c r="E28" i="12"/>
  <c r="E27" i="12" s="1"/>
  <c r="D28" i="12"/>
  <c r="C28" i="12"/>
  <c r="N27" i="12"/>
  <c r="H27" i="12"/>
  <c r="G27" i="12"/>
  <c r="C27" i="12"/>
  <c r="O26" i="12"/>
  <c r="N25" i="12"/>
  <c r="M25" i="12"/>
  <c r="L25" i="12"/>
  <c r="L24" i="12" s="1"/>
  <c r="K25" i="12"/>
  <c r="J25" i="12"/>
  <c r="I25" i="12"/>
  <c r="H25" i="12"/>
  <c r="H24" i="12" s="1"/>
  <c r="G25" i="12"/>
  <c r="G24" i="12" s="1"/>
  <c r="F25" i="12"/>
  <c r="E25" i="12"/>
  <c r="D25" i="12"/>
  <c r="D24" i="12" s="1"/>
  <c r="C25" i="12"/>
  <c r="C24" i="12" s="1"/>
  <c r="N24" i="12"/>
  <c r="M24" i="12"/>
  <c r="K24" i="12"/>
  <c r="J24" i="12"/>
  <c r="I24" i="12"/>
  <c r="F24" i="12"/>
  <c r="E24" i="12"/>
  <c r="O23" i="12"/>
  <c r="N22" i="12"/>
  <c r="M22" i="12"/>
  <c r="L22" i="12"/>
  <c r="K22" i="12"/>
  <c r="J22" i="12"/>
  <c r="I22" i="12"/>
  <c r="H22" i="12"/>
  <c r="G22" i="12"/>
  <c r="F22" i="12"/>
  <c r="F11" i="12" s="1"/>
  <c r="F10" i="12" s="1"/>
  <c r="E22" i="12"/>
  <c r="D22" i="12"/>
  <c r="C22" i="12"/>
  <c r="O21" i="12"/>
  <c r="N20" i="12"/>
  <c r="N11" i="12" s="1"/>
  <c r="N10" i="12" s="1"/>
  <c r="N96" i="12" s="1"/>
  <c r="M20" i="12"/>
  <c r="L20" i="12"/>
  <c r="K20" i="12"/>
  <c r="J20" i="12"/>
  <c r="I20" i="12"/>
  <c r="H20" i="12"/>
  <c r="G20" i="12"/>
  <c r="F20" i="12"/>
  <c r="E20" i="12"/>
  <c r="D20" i="12"/>
  <c r="C20" i="12"/>
  <c r="O20" i="12" s="1"/>
  <c r="O19" i="12"/>
  <c r="O18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O16" i="12"/>
  <c r="O15" i="12"/>
  <c r="O14" i="12"/>
  <c r="O13" i="12"/>
  <c r="N12" i="12"/>
  <c r="M12" i="12"/>
  <c r="M11" i="12" s="1"/>
  <c r="M10" i="12" s="1"/>
  <c r="L12" i="12"/>
  <c r="K12" i="12"/>
  <c r="J12" i="12"/>
  <c r="I12" i="12"/>
  <c r="I11" i="12" s="1"/>
  <c r="I10" i="12" s="1"/>
  <c r="H12" i="12"/>
  <c r="G12" i="12"/>
  <c r="F12" i="12"/>
  <c r="E12" i="12"/>
  <c r="E11" i="12" s="1"/>
  <c r="E10" i="12" s="1"/>
  <c r="D12" i="12"/>
  <c r="C12" i="12"/>
  <c r="J11" i="12"/>
  <c r="O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O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O91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O90" i="11" s="1"/>
  <c r="O89" i="11"/>
  <c r="N88" i="11"/>
  <c r="M88" i="11"/>
  <c r="L88" i="11"/>
  <c r="L85" i="11" s="1"/>
  <c r="K88" i="11"/>
  <c r="J88" i="11"/>
  <c r="I88" i="11"/>
  <c r="H88" i="11"/>
  <c r="H85" i="11" s="1"/>
  <c r="G88" i="11"/>
  <c r="G85" i="11" s="1"/>
  <c r="F88" i="11"/>
  <c r="E88" i="11"/>
  <c r="D88" i="11"/>
  <c r="D85" i="11" s="1"/>
  <c r="C88" i="11"/>
  <c r="O87" i="11"/>
  <c r="N86" i="11"/>
  <c r="M86" i="11"/>
  <c r="M85" i="11" s="1"/>
  <c r="L86" i="11"/>
  <c r="K86" i="11"/>
  <c r="J86" i="11"/>
  <c r="I86" i="11"/>
  <c r="I85" i="11" s="1"/>
  <c r="H86" i="11"/>
  <c r="G86" i="11"/>
  <c r="F86" i="11"/>
  <c r="E86" i="11"/>
  <c r="E85" i="11" s="1"/>
  <c r="D86" i="11"/>
  <c r="C86" i="11"/>
  <c r="K85" i="11"/>
  <c r="C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1" i="11"/>
  <c r="O60" i="11"/>
  <c r="O59" i="11"/>
  <c r="O58" i="11"/>
  <c r="O57" i="11"/>
  <c r="O56" i="11"/>
  <c r="O55" i="11"/>
  <c r="O54" i="11"/>
  <c r="O53" i="11"/>
  <c r="O52" i="11"/>
  <c r="N51" i="11"/>
  <c r="N50" i="11" s="1"/>
  <c r="M51" i="11"/>
  <c r="L51" i="11"/>
  <c r="M50" i="11"/>
  <c r="L50" i="11"/>
  <c r="O49" i="11"/>
  <c r="O48" i="11"/>
  <c r="O47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O46" i="11" s="1"/>
  <c r="O45" i="11"/>
  <c r="O44" i="11"/>
  <c r="O43" i="11"/>
  <c r="O42" i="11"/>
  <c r="O41" i="11"/>
  <c r="O40" i="11"/>
  <c r="O39" i="11"/>
  <c r="N38" i="11"/>
  <c r="M38" i="11"/>
  <c r="L38" i="11"/>
  <c r="K38" i="11"/>
  <c r="J38" i="11"/>
  <c r="J37" i="11" s="1"/>
  <c r="I38" i="11"/>
  <c r="H38" i="11"/>
  <c r="G38" i="11"/>
  <c r="F38" i="11"/>
  <c r="F37" i="11" s="1"/>
  <c r="E38" i="11"/>
  <c r="E37" i="11" s="1"/>
  <c r="D38" i="11"/>
  <c r="C38" i="11"/>
  <c r="N37" i="11"/>
  <c r="M37" i="11"/>
  <c r="L37" i="11"/>
  <c r="I37" i="11"/>
  <c r="H37" i="11"/>
  <c r="D37" i="11"/>
  <c r="O36" i="11"/>
  <c r="N35" i="11"/>
  <c r="N34" i="11" s="1"/>
  <c r="M35" i="11"/>
  <c r="L35" i="11"/>
  <c r="L34" i="11" s="1"/>
  <c r="K35" i="11"/>
  <c r="J35" i="11"/>
  <c r="J34" i="11" s="1"/>
  <c r="I35" i="11"/>
  <c r="H35" i="11"/>
  <c r="H34" i="11" s="1"/>
  <c r="G35" i="11"/>
  <c r="G34" i="11" s="1"/>
  <c r="F35" i="11"/>
  <c r="F34" i="11" s="1"/>
  <c r="E35" i="11"/>
  <c r="D35" i="11"/>
  <c r="D34" i="11" s="1"/>
  <c r="C35" i="11"/>
  <c r="C34" i="11" s="1"/>
  <c r="M34" i="11"/>
  <c r="K34" i="11"/>
  <c r="I34" i="11"/>
  <c r="E34" i="11"/>
  <c r="O32" i="11"/>
  <c r="N31" i="11"/>
  <c r="N27" i="11" s="1"/>
  <c r="M31" i="11"/>
  <c r="L31" i="11"/>
  <c r="K31" i="11"/>
  <c r="K27" i="11" s="1"/>
  <c r="J31" i="11"/>
  <c r="J27" i="11" s="1"/>
  <c r="I31" i="11"/>
  <c r="H31" i="11"/>
  <c r="G31" i="11"/>
  <c r="F31" i="11"/>
  <c r="E31" i="11"/>
  <c r="D31" i="11"/>
  <c r="C31" i="11"/>
  <c r="O31" i="11" s="1"/>
  <c r="O30" i="11"/>
  <c r="O29" i="11"/>
  <c r="N28" i="11"/>
  <c r="M28" i="11"/>
  <c r="M27" i="11" s="1"/>
  <c r="L28" i="11"/>
  <c r="K28" i="11"/>
  <c r="J28" i="11"/>
  <c r="I28" i="11"/>
  <c r="I27" i="11" s="1"/>
  <c r="H28" i="11"/>
  <c r="H27" i="11" s="1"/>
  <c r="G28" i="11"/>
  <c r="F28" i="11"/>
  <c r="E28" i="11"/>
  <c r="E27" i="11" s="1"/>
  <c r="D28" i="11"/>
  <c r="D27" i="11" s="1"/>
  <c r="C28" i="11"/>
  <c r="L27" i="11"/>
  <c r="G27" i="11"/>
  <c r="F27" i="11"/>
  <c r="O26" i="11"/>
  <c r="N25" i="11"/>
  <c r="M25" i="11"/>
  <c r="L25" i="11"/>
  <c r="L24" i="11" s="1"/>
  <c r="K25" i="11"/>
  <c r="K24" i="11" s="1"/>
  <c r="J25" i="11"/>
  <c r="I25" i="11"/>
  <c r="H25" i="11"/>
  <c r="H24" i="11" s="1"/>
  <c r="G25" i="11"/>
  <c r="G24" i="11" s="1"/>
  <c r="F25" i="11"/>
  <c r="F24" i="11" s="1"/>
  <c r="E25" i="11"/>
  <c r="D25" i="11"/>
  <c r="D24" i="11" s="1"/>
  <c r="C25" i="11"/>
  <c r="O25" i="11" s="1"/>
  <c r="N24" i="11"/>
  <c r="M24" i="11"/>
  <c r="J24" i="11"/>
  <c r="I24" i="11"/>
  <c r="E24" i="11"/>
  <c r="O23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O21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O19" i="11"/>
  <c r="O18" i="11"/>
  <c r="N17" i="11"/>
  <c r="M17" i="11"/>
  <c r="L17" i="11"/>
  <c r="L11" i="11" s="1"/>
  <c r="K17" i="11"/>
  <c r="K11" i="11" s="1"/>
  <c r="K10" i="11" s="1"/>
  <c r="J17" i="11"/>
  <c r="I17" i="11"/>
  <c r="H17" i="11"/>
  <c r="H11" i="11" s="1"/>
  <c r="G17" i="11"/>
  <c r="F17" i="11"/>
  <c r="E17" i="11"/>
  <c r="D17" i="11"/>
  <c r="D11" i="11" s="1"/>
  <c r="C17" i="11"/>
  <c r="O16" i="11"/>
  <c r="O15" i="11"/>
  <c r="O14" i="11"/>
  <c r="N14" i="11"/>
  <c r="N12" i="11" s="1"/>
  <c r="N11" i="11" s="1"/>
  <c r="O13" i="11"/>
  <c r="M12" i="11"/>
  <c r="L12" i="11"/>
  <c r="K12" i="11"/>
  <c r="J12" i="11"/>
  <c r="I12" i="11"/>
  <c r="H12" i="11"/>
  <c r="G12" i="11"/>
  <c r="F12" i="11"/>
  <c r="E12" i="11"/>
  <c r="D12" i="11"/>
  <c r="C12" i="11"/>
  <c r="G11" i="11"/>
  <c r="C11" i="11"/>
  <c r="O95" i="9"/>
  <c r="N94" i="9"/>
  <c r="M94" i="9"/>
  <c r="L94" i="9"/>
  <c r="K94" i="9"/>
  <c r="J94" i="9"/>
  <c r="I94" i="9"/>
  <c r="H94" i="9"/>
  <c r="G94" i="9"/>
  <c r="F94" i="9"/>
  <c r="E94" i="9"/>
  <c r="D94" i="9"/>
  <c r="C94" i="9"/>
  <c r="O93" i="9"/>
  <c r="N92" i="9"/>
  <c r="M92" i="9"/>
  <c r="L92" i="9"/>
  <c r="K92" i="9"/>
  <c r="K85" i="9" s="1"/>
  <c r="J92" i="9"/>
  <c r="I92" i="9"/>
  <c r="H92" i="9"/>
  <c r="G92" i="9"/>
  <c r="F92" i="9"/>
  <c r="E92" i="9"/>
  <c r="D92" i="9"/>
  <c r="C92" i="9"/>
  <c r="O92" i="9" s="1"/>
  <c r="O91" i="9"/>
  <c r="N90" i="9"/>
  <c r="M90" i="9"/>
  <c r="L90" i="9"/>
  <c r="K90" i="9"/>
  <c r="J90" i="9"/>
  <c r="I90" i="9"/>
  <c r="H90" i="9"/>
  <c r="G90" i="9"/>
  <c r="G85" i="9" s="1"/>
  <c r="F90" i="9"/>
  <c r="E90" i="9"/>
  <c r="D90" i="9"/>
  <c r="C90" i="9"/>
  <c r="O89" i="9"/>
  <c r="N88" i="9"/>
  <c r="M88" i="9"/>
  <c r="L88" i="9"/>
  <c r="K88" i="9"/>
  <c r="J88" i="9"/>
  <c r="I88" i="9"/>
  <c r="H88" i="9"/>
  <c r="G88" i="9"/>
  <c r="F88" i="9"/>
  <c r="E88" i="9"/>
  <c r="E85" i="9" s="1"/>
  <c r="D88" i="9"/>
  <c r="C88" i="9"/>
  <c r="O87" i="9"/>
  <c r="N86" i="9"/>
  <c r="M86" i="9"/>
  <c r="L86" i="9"/>
  <c r="K86" i="9"/>
  <c r="J86" i="9"/>
  <c r="I86" i="9"/>
  <c r="I85" i="9" s="1"/>
  <c r="H86" i="9"/>
  <c r="G86" i="9"/>
  <c r="F86" i="9"/>
  <c r="E86" i="9"/>
  <c r="D86" i="9"/>
  <c r="C86" i="9"/>
  <c r="M85" i="9"/>
  <c r="O84" i="9"/>
  <c r="O83" i="9"/>
  <c r="D54" i="13" s="1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I66" i="9"/>
  <c r="O66" i="9" s="1"/>
  <c r="O65" i="9"/>
  <c r="O64" i="9"/>
  <c r="O63" i="9"/>
  <c r="O61" i="9"/>
  <c r="O60" i="9"/>
  <c r="O59" i="9"/>
  <c r="O58" i="9"/>
  <c r="O57" i="9"/>
  <c r="O56" i="9"/>
  <c r="O55" i="9"/>
  <c r="O54" i="9"/>
  <c r="O53" i="9"/>
  <c r="O52" i="9"/>
  <c r="N51" i="9"/>
  <c r="M51" i="9"/>
  <c r="M50" i="9" s="1"/>
  <c r="L51" i="9"/>
  <c r="L50" i="9" s="1"/>
  <c r="N50" i="9"/>
  <c r="O49" i="9"/>
  <c r="O48" i="9"/>
  <c r="O47" i="9"/>
  <c r="N46" i="9"/>
  <c r="M46" i="9"/>
  <c r="L46" i="9"/>
  <c r="L37" i="9" s="1"/>
  <c r="K46" i="9"/>
  <c r="J46" i="9"/>
  <c r="I46" i="9"/>
  <c r="H46" i="9"/>
  <c r="H37" i="9" s="1"/>
  <c r="G46" i="9"/>
  <c r="F46" i="9"/>
  <c r="E46" i="9"/>
  <c r="D46" i="9"/>
  <c r="C46" i="9"/>
  <c r="O45" i="9"/>
  <c r="O44" i="9"/>
  <c r="O43" i="9"/>
  <c r="O42" i="9"/>
  <c r="O41" i="9"/>
  <c r="O40" i="9"/>
  <c r="O39" i="9"/>
  <c r="N38" i="9"/>
  <c r="N37" i="9" s="1"/>
  <c r="M38" i="9"/>
  <c r="L38" i="9"/>
  <c r="K38" i="9"/>
  <c r="K37" i="9" s="1"/>
  <c r="J38" i="9"/>
  <c r="J37" i="9" s="1"/>
  <c r="I38" i="9"/>
  <c r="H38" i="9"/>
  <c r="G38" i="9"/>
  <c r="G37" i="9" s="1"/>
  <c r="F38" i="9"/>
  <c r="F37" i="9" s="1"/>
  <c r="E38" i="9"/>
  <c r="D38" i="9"/>
  <c r="C38" i="9"/>
  <c r="O38" i="9" s="1"/>
  <c r="M37" i="9"/>
  <c r="I37" i="9"/>
  <c r="E37" i="9"/>
  <c r="D37" i="9"/>
  <c r="O36" i="9"/>
  <c r="N35" i="9"/>
  <c r="M35" i="9"/>
  <c r="M34" i="9" s="1"/>
  <c r="M33" i="9" s="1"/>
  <c r="L35" i="9"/>
  <c r="K35" i="9"/>
  <c r="J35" i="9"/>
  <c r="I35" i="9"/>
  <c r="I34" i="9" s="1"/>
  <c r="H35" i="9"/>
  <c r="H34" i="9" s="1"/>
  <c r="G35" i="9"/>
  <c r="F35" i="9"/>
  <c r="E35" i="9"/>
  <c r="E34" i="9" s="1"/>
  <c r="D35" i="9"/>
  <c r="D34" i="9" s="1"/>
  <c r="C35" i="9"/>
  <c r="N34" i="9"/>
  <c r="L34" i="9"/>
  <c r="K34" i="9"/>
  <c r="J34" i="9"/>
  <c r="G34" i="9"/>
  <c r="F34" i="9"/>
  <c r="C34" i="9"/>
  <c r="O32" i="9"/>
  <c r="N31" i="9"/>
  <c r="N27" i="9" s="1"/>
  <c r="M31" i="9"/>
  <c r="L31" i="9"/>
  <c r="K31" i="9"/>
  <c r="K27" i="9" s="1"/>
  <c r="J31" i="9"/>
  <c r="J27" i="9" s="1"/>
  <c r="J10" i="9" s="1"/>
  <c r="I31" i="9"/>
  <c r="H31" i="9"/>
  <c r="G31" i="9"/>
  <c r="F31" i="9"/>
  <c r="E31" i="9"/>
  <c r="D31" i="9"/>
  <c r="C31" i="9"/>
  <c r="O31" i="9" s="1"/>
  <c r="O30" i="9"/>
  <c r="O29" i="9"/>
  <c r="N28" i="9"/>
  <c r="M28" i="9"/>
  <c r="L28" i="9"/>
  <c r="L27" i="9" s="1"/>
  <c r="K28" i="9"/>
  <c r="J28" i="9"/>
  <c r="I28" i="9"/>
  <c r="I27" i="9" s="1"/>
  <c r="H28" i="9"/>
  <c r="H27" i="9" s="1"/>
  <c r="G28" i="9"/>
  <c r="F28" i="9"/>
  <c r="E28" i="9"/>
  <c r="E27" i="9" s="1"/>
  <c r="D28" i="9"/>
  <c r="D27" i="9" s="1"/>
  <c r="C28" i="9"/>
  <c r="M27" i="9"/>
  <c r="G27" i="9"/>
  <c r="F27" i="9"/>
  <c r="O26" i="9"/>
  <c r="N25" i="9"/>
  <c r="M25" i="9"/>
  <c r="L25" i="9"/>
  <c r="K25" i="9"/>
  <c r="K24" i="9" s="1"/>
  <c r="J25" i="9"/>
  <c r="I25" i="9"/>
  <c r="H25" i="9"/>
  <c r="G25" i="9"/>
  <c r="G24" i="9" s="1"/>
  <c r="F25" i="9"/>
  <c r="F24" i="9" s="1"/>
  <c r="E25" i="9"/>
  <c r="D25" i="9"/>
  <c r="C25" i="9"/>
  <c r="O25" i="9" s="1"/>
  <c r="N24" i="9"/>
  <c r="M24" i="9"/>
  <c r="L24" i="9"/>
  <c r="J24" i="9"/>
  <c r="I24" i="9"/>
  <c r="H24" i="9"/>
  <c r="E24" i="9"/>
  <c r="D24" i="9"/>
  <c r="O23" i="9"/>
  <c r="N22" i="9"/>
  <c r="M22" i="9"/>
  <c r="L22" i="9"/>
  <c r="K22" i="9"/>
  <c r="J22" i="9"/>
  <c r="I22" i="9"/>
  <c r="I11" i="9" s="1"/>
  <c r="I10" i="9" s="1"/>
  <c r="H22" i="9"/>
  <c r="G22" i="9"/>
  <c r="F22" i="9"/>
  <c r="E22" i="9"/>
  <c r="D22" i="9"/>
  <c r="C22" i="9"/>
  <c r="O21" i="9"/>
  <c r="N20" i="9"/>
  <c r="N11" i="9" s="1"/>
  <c r="N10" i="9" s="1"/>
  <c r="M20" i="9"/>
  <c r="M11" i="9" s="1"/>
  <c r="M10" i="9" s="1"/>
  <c r="L20" i="9"/>
  <c r="K20" i="9"/>
  <c r="J20" i="9"/>
  <c r="I20" i="9"/>
  <c r="H20" i="9"/>
  <c r="G20" i="9"/>
  <c r="F20" i="9"/>
  <c r="E20" i="9"/>
  <c r="D20" i="9"/>
  <c r="C20" i="9"/>
  <c r="O19" i="9"/>
  <c r="O18" i="9"/>
  <c r="N17" i="9"/>
  <c r="M17" i="9"/>
  <c r="L17" i="9"/>
  <c r="K17" i="9"/>
  <c r="J17" i="9"/>
  <c r="I17" i="9"/>
  <c r="H17" i="9"/>
  <c r="H11" i="9" s="1"/>
  <c r="H10" i="9" s="1"/>
  <c r="G17" i="9"/>
  <c r="F17" i="9"/>
  <c r="E17" i="9"/>
  <c r="D17" i="9"/>
  <c r="D11" i="9" s="1"/>
  <c r="D10" i="9" s="1"/>
  <c r="C17" i="9"/>
  <c r="O16" i="9"/>
  <c r="O15" i="9"/>
  <c r="O14" i="9"/>
  <c r="O13" i="9"/>
  <c r="N13" i="9"/>
  <c r="M13" i="9"/>
  <c r="L13" i="9"/>
  <c r="L12" i="9" s="1"/>
  <c r="L11" i="9" s="1"/>
  <c r="L10" i="9" s="1"/>
  <c r="N12" i="9"/>
  <c r="M12" i="9"/>
  <c r="K12" i="9"/>
  <c r="K11" i="9" s="1"/>
  <c r="J12" i="9"/>
  <c r="I12" i="9"/>
  <c r="H12" i="9"/>
  <c r="G12" i="9"/>
  <c r="G11" i="9" s="1"/>
  <c r="G10" i="9" s="1"/>
  <c r="F12" i="9"/>
  <c r="F11" i="9" s="1"/>
  <c r="E12" i="9"/>
  <c r="D12" i="9"/>
  <c r="C12" i="9"/>
  <c r="O12" i="9" s="1"/>
  <c r="J11" i="9"/>
  <c r="E11" i="9"/>
  <c r="E10" i="9" s="1"/>
  <c r="F10" i="9" l="1"/>
  <c r="N10" i="11"/>
  <c r="M33" i="11"/>
  <c r="J10" i="12"/>
  <c r="M33" i="12"/>
  <c r="M96" i="12" s="1"/>
  <c r="O20" i="9"/>
  <c r="C27" i="9"/>
  <c r="O27" i="9" s="1"/>
  <c r="O86" i="9"/>
  <c r="F85" i="9"/>
  <c r="J85" i="9"/>
  <c r="N85" i="9"/>
  <c r="N33" i="9" s="1"/>
  <c r="N96" i="9" s="1"/>
  <c r="O94" i="9"/>
  <c r="F11" i="11"/>
  <c r="F10" i="11" s="1"/>
  <c r="F62" i="11" s="1"/>
  <c r="F51" i="11" s="1"/>
  <c r="F50" i="11" s="1"/>
  <c r="F33" i="11" s="1"/>
  <c r="J11" i="11"/>
  <c r="J10" i="11" s="1"/>
  <c r="O20" i="11"/>
  <c r="C27" i="11"/>
  <c r="O27" i="11" s="1"/>
  <c r="C37" i="11"/>
  <c r="O37" i="11" s="1"/>
  <c r="G37" i="11"/>
  <c r="K37" i="11"/>
  <c r="F85" i="11"/>
  <c r="J85" i="11"/>
  <c r="O85" i="11" s="1"/>
  <c r="N85" i="11"/>
  <c r="O92" i="11"/>
  <c r="C11" i="12"/>
  <c r="G11" i="12"/>
  <c r="G10" i="12" s="1"/>
  <c r="G62" i="12" s="1"/>
  <c r="G51" i="12" s="1"/>
  <c r="G50" i="12" s="1"/>
  <c r="G33" i="12" s="1"/>
  <c r="G96" i="12" s="1"/>
  <c r="K11" i="12"/>
  <c r="K10" i="12" s="1"/>
  <c r="O28" i="12"/>
  <c r="O35" i="12"/>
  <c r="O86" i="12"/>
  <c r="G10" i="11"/>
  <c r="L33" i="11"/>
  <c r="O27" i="12"/>
  <c r="O22" i="9"/>
  <c r="O28" i="9"/>
  <c r="O35" i="9"/>
  <c r="D85" i="9"/>
  <c r="H85" i="9"/>
  <c r="L85" i="9"/>
  <c r="L33" i="9" s="1"/>
  <c r="L96" i="9" s="1"/>
  <c r="O88" i="9"/>
  <c r="O12" i="11"/>
  <c r="O22" i="11"/>
  <c r="O28" i="11"/>
  <c r="O86" i="11"/>
  <c r="O94" i="11"/>
  <c r="O12" i="12"/>
  <c r="O17" i="12"/>
  <c r="O46" i="12"/>
  <c r="C85" i="12"/>
  <c r="O88" i="12"/>
  <c r="K10" i="9"/>
  <c r="O17" i="9"/>
  <c r="C37" i="9"/>
  <c r="O37" i="9" s="1"/>
  <c r="O46" i="9"/>
  <c r="C85" i="9"/>
  <c r="O90" i="9"/>
  <c r="O17" i="11"/>
  <c r="E11" i="11"/>
  <c r="E10" i="11" s="1"/>
  <c r="I11" i="11"/>
  <c r="I10" i="11" s="1"/>
  <c r="M11" i="11"/>
  <c r="M10" i="11" s="1"/>
  <c r="C24" i="11"/>
  <c r="C10" i="11" s="1"/>
  <c r="O35" i="11"/>
  <c r="O88" i="11"/>
  <c r="D11" i="12"/>
  <c r="D10" i="12" s="1"/>
  <c r="H11" i="12"/>
  <c r="H10" i="12" s="1"/>
  <c r="L11" i="12"/>
  <c r="O25" i="12"/>
  <c r="O31" i="12"/>
  <c r="O37" i="12"/>
  <c r="D85" i="12"/>
  <c r="H85" i="12"/>
  <c r="L85" i="12"/>
  <c r="L33" i="12" s="1"/>
  <c r="O90" i="12"/>
  <c r="O24" i="12"/>
  <c r="O85" i="12"/>
  <c r="F62" i="12"/>
  <c r="F51" i="12" s="1"/>
  <c r="F50" i="12" s="1"/>
  <c r="F33" i="12" s="1"/>
  <c r="F96" i="12" s="1"/>
  <c r="L10" i="12"/>
  <c r="L96" i="12" s="1"/>
  <c r="J62" i="12"/>
  <c r="J51" i="12" s="1"/>
  <c r="J50" i="12" s="1"/>
  <c r="J33" i="12" s="1"/>
  <c r="J96" i="12" s="1"/>
  <c r="E62" i="12"/>
  <c r="E51" i="12" s="1"/>
  <c r="E50" i="12" s="1"/>
  <c r="E33" i="12" s="1"/>
  <c r="E96" i="12" s="1"/>
  <c r="I62" i="12"/>
  <c r="I51" i="12" s="1"/>
  <c r="I50" i="12" s="1"/>
  <c r="I33" i="12" s="1"/>
  <c r="I96" i="12"/>
  <c r="C10" i="12"/>
  <c r="K62" i="12"/>
  <c r="K51" i="12" s="1"/>
  <c r="K50" i="12" s="1"/>
  <c r="K33" i="12" s="1"/>
  <c r="K96" i="12" s="1"/>
  <c r="O22" i="12"/>
  <c r="O34" i="12"/>
  <c r="O38" i="12"/>
  <c r="K62" i="11"/>
  <c r="K51" i="11" s="1"/>
  <c r="K50" i="11" s="1"/>
  <c r="N33" i="11"/>
  <c r="E62" i="11"/>
  <c r="E51" i="11" s="1"/>
  <c r="E50" i="11" s="1"/>
  <c r="E33" i="11" s="1"/>
  <c r="E96" i="11" s="1"/>
  <c r="I62" i="11"/>
  <c r="I51" i="11" s="1"/>
  <c r="I50" i="11" s="1"/>
  <c r="I33" i="11" s="1"/>
  <c r="I96" i="11" s="1"/>
  <c r="G62" i="11"/>
  <c r="G51" i="11" s="1"/>
  <c r="G50" i="11" s="1"/>
  <c r="G33" i="11" s="1"/>
  <c r="G96" i="11" s="1"/>
  <c r="D10" i="11"/>
  <c r="H10" i="11"/>
  <c r="L10" i="11"/>
  <c r="L96" i="11" s="1"/>
  <c r="K33" i="11"/>
  <c r="K96" i="11" s="1"/>
  <c r="N96" i="11"/>
  <c r="J62" i="11"/>
  <c r="J51" i="11" s="1"/>
  <c r="J50" i="11" s="1"/>
  <c r="O11" i="11"/>
  <c r="O34" i="11"/>
  <c r="O38" i="11"/>
  <c r="G62" i="9"/>
  <c r="G51" i="9" s="1"/>
  <c r="G50" i="9" s="1"/>
  <c r="G33" i="9" s="1"/>
  <c r="G96" i="9" s="1"/>
  <c r="O34" i="9"/>
  <c r="H62" i="9"/>
  <c r="H51" i="9" s="1"/>
  <c r="H50" i="9" s="1"/>
  <c r="K62" i="9"/>
  <c r="K51" i="9" s="1"/>
  <c r="K50" i="9" s="1"/>
  <c r="K33" i="9" s="1"/>
  <c r="K96" i="9" s="1"/>
  <c r="M96" i="9"/>
  <c r="D62" i="9"/>
  <c r="D51" i="9" s="1"/>
  <c r="D50" i="9" s="1"/>
  <c r="D33" i="9" s="1"/>
  <c r="D96" i="9" s="1"/>
  <c r="O85" i="9"/>
  <c r="C11" i="9"/>
  <c r="C24" i="9"/>
  <c r="O24" i="9" s="1"/>
  <c r="E62" i="9"/>
  <c r="E51" i="9" s="1"/>
  <c r="E50" i="9" s="1"/>
  <c r="E33" i="9" s="1"/>
  <c r="E96" i="9" s="1"/>
  <c r="I62" i="9"/>
  <c r="I51" i="9" s="1"/>
  <c r="I50" i="9" s="1"/>
  <c r="I33" i="9" s="1"/>
  <c r="I96" i="9" s="1"/>
  <c r="F62" i="9"/>
  <c r="F51" i="9" s="1"/>
  <c r="F50" i="9" s="1"/>
  <c r="J62" i="9"/>
  <c r="J51" i="9" s="1"/>
  <c r="J50" i="9" s="1"/>
  <c r="J33" i="9" s="1"/>
  <c r="J96" i="9" s="1"/>
  <c r="O10" i="11" l="1"/>
  <c r="C62" i="11"/>
  <c r="H33" i="9"/>
  <c r="H96" i="9" s="1"/>
  <c r="J33" i="11"/>
  <c r="J96" i="11" s="1"/>
  <c r="O24" i="11"/>
  <c r="M96" i="11"/>
  <c r="F96" i="11"/>
  <c r="O11" i="12"/>
  <c r="F33" i="9"/>
  <c r="F96" i="9" s="1"/>
  <c r="C62" i="12"/>
  <c r="O10" i="12"/>
  <c r="H62" i="12"/>
  <c r="H51" i="12" s="1"/>
  <c r="H50" i="12" s="1"/>
  <c r="H33" i="12" s="1"/>
  <c r="H96" i="12" s="1"/>
  <c r="D96" i="12"/>
  <c r="D62" i="12"/>
  <c r="D51" i="12" s="1"/>
  <c r="D50" i="12" s="1"/>
  <c r="D33" i="12" s="1"/>
  <c r="H62" i="11"/>
  <c r="H51" i="11" s="1"/>
  <c r="H50" i="11" s="1"/>
  <c r="H33" i="11" s="1"/>
  <c r="H96" i="11" s="1"/>
  <c r="D62" i="11"/>
  <c r="D51" i="11" s="1"/>
  <c r="D50" i="11" s="1"/>
  <c r="D33" i="11" s="1"/>
  <c r="D96" i="11" s="1"/>
  <c r="C51" i="11"/>
  <c r="O11" i="9"/>
  <c r="C10" i="9"/>
  <c r="O62" i="12" l="1"/>
  <c r="C51" i="12"/>
  <c r="C50" i="11"/>
  <c r="O51" i="11"/>
  <c r="O62" i="11"/>
  <c r="C62" i="9"/>
  <c r="O10" i="9"/>
  <c r="C50" i="12" l="1"/>
  <c r="O51" i="12"/>
  <c r="O50" i="11"/>
  <c r="C33" i="11"/>
  <c r="O62" i="9"/>
  <c r="C51" i="9"/>
  <c r="O50" i="12" l="1"/>
  <c r="C33" i="12"/>
  <c r="O33" i="11"/>
  <c r="C96" i="11"/>
  <c r="O96" i="11" s="1"/>
  <c r="C50" i="9"/>
  <c r="O51" i="9"/>
  <c r="O95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O93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O92" i="10" s="1"/>
  <c r="O91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O89" i="10"/>
  <c r="N88" i="10"/>
  <c r="M88" i="10"/>
  <c r="L88" i="10"/>
  <c r="K88" i="10"/>
  <c r="K85" i="10" s="1"/>
  <c r="J88" i="10"/>
  <c r="I88" i="10"/>
  <c r="I85" i="10" s="1"/>
  <c r="H88" i="10"/>
  <c r="G88" i="10"/>
  <c r="G85" i="10" s="1"/>
  <c r="F88" i="10"/>
  <c r="E88" i="10"/>
  <c r="D88" i="10"/>
  <c r="C88" i="10"/>
  <c r="O87" i="10"/>
  <c r="N86" i="10"/>
  <c r="N85" i="10" s="1"/>
  <c r="M86" i="10"/>
  <c r="L86" i="10"/>
  <c r="K86" i="10"/>
  <c r="J86" i="10"/>
  <c r="J85" i="10" s="1"/>
  <c r="I86" i="10"/>
  <c r="H86" i="10"/>
  <c r="G86" i="10"/>
  <c r="F86" i="10"/>
  <c r="F85" i="10" s="1"/>
  <c r="E86" i="10"/>
  <c r="D86" i="10"/>
  <c r="C86" i="10"/>
  <c r="M85" i="10"/>
  <c r="E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1" i="10"/>
  <c r="O60" i="10"/>
  <c r="O59" i="10"/>
  <c r="O58" i="10"/>
  <c r="O57" i="10"/>
  <c r="O56" i="10"/>
  <c r="O55" i="10"/>
  <c r="O54" i="10"/>
  <c r="O53" i="10"/>
  <c r="O52" i="10"/>
  <c r="N51" i="10"/>
  <c r="N50" i="10" s="1"/>
  <c r="M51" i="10"/>
  <c r="M50" i="10" s="1"/>
  <c r="L51" i="10"/>
  <c r="L50" i="10" s="1"/>
  <c r="O49" i="10"/>
  <c r="O48" i="10"/>
  <c r="O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O46" i="10" s="1"/>
  <c r="O45" i="10"/>
  <c r="O44" i="10"/>
  <c r="O43" i="10"/>
  <c r="O42" i="10"/>
  <c r="O41" i="10"/>
  <c r="O40" i="10"/>
  <c r="O39" i="10"/>
  <c r="N38" i="10"/>
  <c r="M38" i="10"/>
  <c r="M37" i="10" s="1"/>
  <c r="L38" i="10"/>
  <c r="K38" i="10"/>
  <c r="J38" i="10"/>
  <c r="J37" i="10" s="1"/>
  <c r="I38" i="10"/>
  <c r="I37" i="10" s="1"/>
  <c r="H38" i="10"/>
  <c r="G38" i="10"/>
  <c r="F38" i="10"/>
  <c r="F37" i="10" s="1"/>
  <c r="E38" i="10"/>
  <c r="E37" i="10" s="1"/>
  <c r="D38" i="10"/>
  <c r="C38" i="10"/>
  <c r="N37" i="10"/>
  <c r="L37" i="10"/>
  <c r="H37" i="10"/>
  <c r="D37" i="10"/>
  <c r="O36" i="10"/>
  <c r="N35" i="10"/>
  <c r="N34" i="10" s="1"/>
  <c r="M35" i="10"/>
  <c r="M34" i="10" s="1"/>
  <c r="M33" i="10" s="1"/>
  <c r="L35" i="10"/>
  <c r="L34" i="10" s="1"/>
  <c r="K35" i="10"/>
  <c r="J35" i="10"/>
  <c r="J34" i="10" s="1"/>
  <c r="I35" i="10"/>
  <c r="I34" i="10" s="1"/>
  <c r="H35" i="10"/>
  <c r="H34" i="10" s="1"/>
  <c r="G35" i="10"/>
  <c r="F35" i="10"/>
  <c r="F34" i="10" s="1"/>
  <c r="E35" i="10"/>
  <c r="E34" i="10" s="1"/>
  <c r="D35" i="10"/>
  <c r="D34" i="10" s="1"/>
  <c r="C35" i="10"/>
  <c r="K34" i="10"/>
  <c r="G34" i="10"/>
  <c r="C34" i="10"/>
  <c r="O32" i="10"/>
  <c r="N31" i="10"/>
  <c r="M31" i="10"/>
  <c r="L31" i="10"/>
  <c r="L27" i="10" s="1"/>
  <c r="K31" i="10"/>
  <c r="J31" i="10"/>
  <c r="I31" i="10"/>
  <c r="H31" i="10"/>
  <c r="H27" i="10" s="1"/>
  <c r="G31" i="10"/>
  <c r="F31" i="10"/>
  <c r="E31" i="10"/>
  <c r="D31" i="10"/>
  <c r="D27" i="10" s="1"/>
  <c r="C31" i="10"/>
  <c r="O30" i="10"/>
  <c r="O29" i="10"/>
  <c r="N28" i="10"/>
  <c r="M28" i="10"/>
  <c r="M27" i="10" s="1"/>
  <c r="L28" i="10"/>
  <c r="K28" i="10"/>
  <c r="K27" i="10" s="1"/>
  <c r="J28" i="10"/>
  <c r="J27" i="10" s="1"/>
  <c r="I28" i="10"/>
  <c r="I27" i="10" s="1"/>
  <c r="H28" i="10"/>
  <c r="G28" i="10"/>
  <c r="G27" i="10" s="1"/>
  <c r="F28" i="10"/>
  <c r="F27" i="10" s="1"/>
  <c r="E28" i="10"/>
  <c r="E27" i="10" s="1"/>
  <c r="D28" i="10"/>
  <c r="C28" i="10"/>
  <c r="N27" i="10"/>
  <c r="O26" i="10"/>
  <c r="N25" i="10"/>
  <c r="N24" i="10" s="1"/>
  <c r="M25" i="10"/>
  <c r="M24" i="10" s="1"/>
  <c r="L25" i="10"/>
  <c r="L24" i="10" s="1"/>
  <c r="K25" i="10"/>
  <c r="J25" i="10"/>
  <c r="J24" i="10" s="1"/>
  <c r="I25" i="10"/>
  <c r="I24" i="10" s="1"/>
  <c r="H25" i="10"/>
  <c r="H24" i="10" s="1"/>
  <c r="G25" i="10"/>
  <c r="F25" i="10"/>
  <c r="F24" i="10" s="1"/>
  <c r="E25" i="10"/>
  <c r="E24" i="10" s="1"/>
  <c r="D25" i="10"/>
  <c r="D24" i="10" s="1"/>
  <c r="C25" i="10"/>
  <c r="K24" i="10"/>
  <c r="G24" i="10"/>
  <c r="C24" i="10"/>
  <c r="O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O21" i="10"/>
  <c r="N20" i="10"/>
  <c r="M20" i="10"/>
  <c r="M11" i="10" s="1"/>
  <c r="L20" i="10"/>
  <c r="K20" i="10"/>
  <c r="J20" i="10"/>
  <c r="I20" i="10"/>
  <c r="I11" i="10" s="1"/>
  <c r="H20" i="10"/>
  <c r="G20" i="10"/>
  <c r="F20" i="10"/>
  <c r="E20" i="10"/>
  <c r="E11" i="10" s="1"/>
  <c r="D20" i="10"/>
  <c r="C20" i="10"/>
  <c r="O19" i="10"/>
  <c r="O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O17" i="10" s="1"/>
  <c r="O16" i="10"/>
  <c r="O15" i="10"/>
  <c r="N15" i="10"/>
  <c r="N12" i="10" s="1"/>
  <c r="N11" i="10" s="1"/>
  <c r="O14" i="10"/>
  <c r="O13" i="10"/>
  <c r="M12" i="10"/>
  <c r="L12" i="10"/>
  <c r="K12" i="10"/>
  <c r="K11" i="10" s="1"/>
  <c r="J12" i="10"/>
  <c r="J11" i="10" s="1"/>
  <c r="I12" i="10"/>
  <c r="H12" i="10"/>
  <c r="G12" i="10"/>
  <c r="G11" i="10" s="1"/>
  <c r="F12" i="10"/>
  <c r="F11" i="10" s="1"/>
  <c r="E12" i="10"/>
  <c r="D12" i="10"/>
  <c r="C12" i="10"/>
  <c r="O12" i="10" s="1"/>
  <c r="D54" i="6"/>
  <c r="D23" i="6"/>
  <c r="D27" i="6"/>
  <c r="D31" i="6"/>
  <c r="D35" i="6"/>
  <c r="D39" i="6"/>
  <c r="D43" i="6"/>
  <c r="D47" i="6"/>
  <c r="D51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3" i="6"/>
  <c r="B22" i="6"/>
  <c r="P95" i="8"/>
  <c r="O95" i="8"/>
  <c r="N94" i="8"/>
  <c r="M94" i="8"/>
  <c r="L94" i="8"/>
  <c r="K94" i="8"/>
  <c r="J94" i="8"/>
  <c r="I94" i="8"/>
  <c r="H94" i="8"/>
  <c r="G94" i="8"/>
  <c r="F94" i="8"/>
  <c r="E94" i="8"/>
  <c r="D94" i="8"/>
  <c r="C94" i="8"/>
  <c r="P93" i="8"/>
  <c r="O93" i="8"/>
  <c r="N92" i="8"/>
  <c r="M92" i="8"/>
  <c r="L92" i="8"/>
  <c r="K92" i="8"/>
  <c r="J92" i="8"/>
  <c r="I92" i="8"/>
  <c r="H92" i="8"/>
  <c r="G92" i="8"/>
  <c r="F92" i="8"/>
  <c r="E92" i="8"/>
  <c r="D92" i="8"/>
  <c r="C92" i="8"/>
  <c r="P91" i="8"/>
  <c r="O91" i="8"/>
  <c r="N90" i="8"/>
  <c r="M90" i="8"/>
  <c r="L90" i="8"/>
  <c r="K90" i="8"/>
  <c r="J90" i="8"/>
  <c r="I90" i="8"/>
  <c r="H90" i="8"/>
  <c r="G90" i="8"/>
  <c r="F90" i="8"/>
  <c r="E90" i="8"/>
  <c r="D90" i="8"/>
  <c r="C90" i="8"/>
  <c r="P89" i="8"/>
  <c r="O89" i="8"/>
  <c r="N88" i="8"/>
  <c r="M88" i="8"/>
  <c r="L88" i="8"/>
  <c r="K88" i="8"/>
  <c r="J88" i="8"/>
  <c r="I88" i="8"/>
  <c r="H88" i="8"/>
  <c r="H85" i="8" s="1"/>
  <c r="G88" i="8"/>
  <c r="F88" i="8"/>
  <c r="E88" i="8"/>
  <c r="D88" i="8"/>
  <c r="C88" i="8"/>
  <c r="P87" i="8"/>
  <c r="O87" i="8"/>
  <c r="N86" i="8"/>
  <c r="M86" i="8"/>
  <c r="L86" i="8"/>
  <c r="K86" i="8"/>
  <c r="J86" i="8"/>
  <c r="I86" i="8"/>
  <c r="H86" i="8"/>
  <c r="G86" i="8"/>
  <c r="F86" i="8"/>
  <c r="E86" i="8"/>
  <c r="D86" i="8"/>
  <c r="C86" i="8"/>
  <c r="C85" i="8" s="1"/>
  <c r="K85" i="8"/>
  <c r="P84" i="8"/>
  <c r="O84" i="8"/>
  <c r="P83" i="8"/>
  <c r="O83" i="8"/>
  <c r="P82" i="8"/>
  <c r="D53" i="6" s="1"/>
  <c r="O82" i="8"/>
  <c r="P81" i="8"/>
  <c r="O81" i="8"/>
  <c r="P80" i="8"/>
  <c r="D50" i="6" s="1"/>
  <c r="O80" i="8"/>
  <c r="P79" i="8"/>
  <c r="D49" i="6" s="1"/>
  <c r="O79" i="8"/>
  <c r="P78" i="8"/>
  <c r="D48" i="6" s="1"/>
  <c r="O78" i="8"/>
  <c r="P77" i="8"/>
  <c r="O77" i="8"/>
  <c r="P76" i="8"/>
  <c r="D46" i="6" s="1"/>
  <c r="O76" i="8"/>
  <c r="P75" i="8"/>
  <c r="D45" i="6" s="1"/>
  <c r="O75" i="8"/>
  <c r="P74" i="8"/>
  <c r="D44" i="6" s="1"/>
  <c r="O74" i="8"/>
  <c r="P73" i="8"/>
  <c r="O73" i="8"/>
  <c r="P72" i="8"/>
  <c r="D42" i="6" s="1"/>
  <c r="O72" i="8"/>
  <c r="P71" i="8"/>
  <c r="D41" i="6" s="1"/>
  <c r="O71" i="8"/>
  <c r="P70" i="8"/>
  <c r="D40" i="6" s="1"/>
  <c r="O70" i="8"/>
  <c r="P69" i="8"/>
  <c r="O69" i="8"/>
  <c r="P68" i="8"/>
  <c r="D38" i="6" s="1"/>
  <c r="O68" i="8"/>
  <c r="P67" i="8"/>
  <c r="D37" i="6" s="1"/>
  <c r="O67" i="8"/>
  <c r="P66" i="8"/>
  <c r="D36" i="6" s="1"/>
  <c r="O66" i="8"/>
  <c r="P65" i="8"/>
  <c r="O65" i="8"/>
  <c r="P64" i="8"/>
  <c r="D34" i="6" s="1"/>
  <c r="O64" i="8"/>
  <c r="P63" i="8"/>
  <c r="D33" i="6" s="1"/>
  <c r="O63" i="8"/>
  <c r="P61" i="8"/>
  <c r="O61" i="8"/>
  <c r="P60" i="8"/>
  <c r="D30" i="6" s="1"/>
  <c r="O60" i="8"/>
  <c r="P59" i="8"/>
  <c r="D29" i="6" s="1"/>
  <c r="O59" i="8"/>
  <c r="P58" i="8"/>
  <c r="D28" i="6" s="1"/>
  <c r="O58" i="8"/>
  <c r="P57" i="8"/>
  <c r="O57" i="8"/>
  <c r="P56" i="8"/>
  <c r="D26" i="6" s="1"/>
  <c r="O56" i="8"/>
  <c r="P55" i="8"/>
  <c r="D25" i="6" s="1"/>
  <c r="O55" i="8"/>
  <c r="P54" i="8"/>
  <c r="D24" i="6" s="1"/>
  <c r="O54" i="8"/>
  <c r="P53" i="8"/>
  <c r="O53" i="8"/>
  <c r="P52" i="8"/>
  <c r="D22" i="6" s="1"/>
  <c r="O52" i="8"/>
  <c r="N51" i="8"/>
  <c r="N50" i="8" s="1"/>
  <c r="M51" i="8"/>
  <c r="M50" i="8" s="1"/>
  <c r="L51" i="8"/>
  <c r="L50" i="8" s="1"/>
  <c r="P49" i="8"/>
  <c r="O49" i="8"/>
  <c r="P48" i="8"/>
  <c r="O48" i="8"/>
  <c r="P47" i="8"/>
  <c r="O47" i="8"/>
  <c r="N46" i="8"/>
  <c r="M46" i="8"/>
  <c r="L46" i="8"/>
  <c r="K46" i="8"/>
  <c r="J46" i="8"/>
  <c r="I46" i="8"/>
  <c r="H46" i="8"/>
  <c r="G46" i="8"/>
  <c r="F46" i="8"/>
  <c r="E46" i="8"/>
  <c r="D46" i="8"/>
  <c r="C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N38" i="8"/>
  <c r="M38" i="8"/>
  <c r="L38" i="8"/>
  <c r="K38" i="8"/>
  <c r="K37" i="8" s="1"/>
  <c r="J38" i="8"/>
  <c r="I38" i="8"/>
  <c r="H38" i="8"/>
  <c r="G38" i="8"/>
  <c r="G37" i="8" s="1"/>
  <c r="F38" i="8"/>
  <c r="E38" i="8"/>
  <c r="D38" i="8"/>
  <c r="C38" i="8"/>
  <c r="H37" i="8"/>
  <c r="P36" i="8"/>
  <c r="O36" i="8"/>
  <c r="N35" i="8"/>
  <c r="M35" i="8"/>
  <c r="L35" i="8"/>
  <c r="L34" i="8" s="1"/>
  <c r="K35" i="8"/>
  <c r="K34" i="8" s="1"/>
  <c r="J35" i="8"/>
  <c r="J34" i="8" s="1"/>
  <c r="I35" i="8"/>
  <c r="H35" i="8"/>
  <c r="H34" i="8" s="1"/>
  <c r="G35" i="8"/>
  <c r="G34" i="8" s="1"/>
  <c r="F35" i="8"/>
  <c r="E35" i="8"/>
  <c r="D35" i="8"/>
  <c r="D34" i="8" s="1"/>
  <c r="C35" i="8"/>
  <c r="N34" i="8"/>
  <c r="M34" i="8"/>
  <c r="I34" i="8"/>
  <c r="F34" i="8"/>
  <c r="E34" i="8"/>
  <c r="P32" i="8"/>
  <c r="O32" i="8"/>
  <c r="N31" i="8"/>
  <c r="M31" i="8"/>
  <c r="L31" i="8"/>
  <c r="K31" i="8"/>
  <c r="J31" i="8"/>
  <c r="I31" i="8"/>
  <c r="H31" i="8"/>
  <c r="G31" i="8"/>
  <c r="F31" i="8"/>
  <c r="E31" i="8"/>
  <c r="D31" i="8"/>
  <c r="C31" i="8"/>
  <c r="P30" i="8"/>
  <c r="O30" i="8"/>
  <c r="P29" i="8"/>
  <c r="O29" i="8"/>
  <c r="N28" i="8"/>
  <c r="N27" i="8" s="1"/>
  <c r="M28" i="8"/>
  <c r="M27" i="8" s="1"/>
  <c r="L28" i="8"/>
  <c r="L27" i="8" s="1"/>
  <c r="K28" i="8"/>
  <c r="K27" i="8" s="1"/>
  <c r="J28" i="8"/>
  <c r="J27" i="8" s="1"/>
  <c r="I28" i="8"/>
  <c r="I27" i="8" s="1"/>
  <c r="H28" i="8"/>
  <c r="G28" i="8"/>
  <c r="G27" i="8" s="1"/>
  <c r="F28" i="8"/>
  <c r="F27" i="8" s="1"/>
  <c r="E28" i="8"/>
  <c r="E27" i="8" s="1"/>
  <c r="D28" i="8"/>
  <c r="C28" i="8"/>
  <c r="H27" i="8"/>
  <c r="P26" i="8"/>
  <c r="O26" i="8"/>
  <c r="N25" i="8"/>
  <c r="M25" i="8"/>
  <c r="L25" i="8"/>
  <c r="L24" i="8" s="1"/>
  <c r="K25" i="8"/>
  <c r="K24" i="8" s="1"/>
  <c r="J25" i="8"/>
  <c r="J24" i="8" s="1"/>
  <c r="I25" i="8"/>
  <c r="H25" i="8"/>
  <c r="H24" i="8" s="1"/>
  <c r="G25" i="8"/>
  <c r="G24" i="8" s="1"/>
  <c r="F25" i="8"/>
  <c r="E25" i="8"/>
  <c r="D25" i="8"/>
  <c r="C25" i="8"/>
  <c r="N24" i="8"/>
  <c r="M24" i="8"/>
  <c r="I24" i="8"/>
  <c r="F24" i="8"/>
  <c r="E24" i="8"/>
  <c r="P23" i="8"/>
  <c r="O23" i="8"/>
  <c r="N22" i="8"/>
  <c r="M22" i="8"/>
  <c r="L22" i="8"/>
  <c r="K22" i="8"/>
  <c r="J22" i="8"/>
  <c r="I22" i="8"/>
  <c r="H22" i="8"/>
  <c r="G22" i="8"/>
  <c r="G11" i="8" s="1"/>
  <c r="F22" i="8"/>
  <c r="E22" i="8"/>
  <c r="D22" i="8"/>
  <c r="C22" i="8"/>
  <c r="P21" i="8"/>
  <c r="O21" i="8"/>
  <c r="N20" i="8"/>
  <c r="M20" i="8"/>
  <c r="L20" i="8"/>
  <c r="K20" i="8"/>
  <c r="J20" i="8"/>
  <c r="I20" i="8"/>
  <c r="H20" i="8"/>
  <c r="G20" i="8"/>
  <c r="F20" i="8"/>
  <c r="E20" i="8"/>
  <c r="D20" i="8"/>
  <c r="C20" i="8"/>
  <c r="P19" i="8"/>
  <c r="O19" i="8"/>
  <c r="P18" i="8"/>
  <c r="O18" i="8"/>
  <c r="N17" i="8"/>
  <c r="M17" i="8"/>
  <c r="L17" i="8"/>
  <c r="K17" i="8"/>
  <c r="J17" i="8"/>
  <c r="I17" i="8"/>
  <c r="H17" i="8"/>
  <c r="G17" i="8"/>
  <c r="F17" i="8"/>
  <c r="E17" i="8"/>
  <c r="D17" i="8"/>
  <c r="C17" i="8"/>
  <c r="P16" i="8"/>
  <c r="O16" i="8"/>
  <c r="P15" i="8"/>
  <c r="O15" i="8"/>
  <c r="P14" i="8"/>
  <c r="O14" i="8"/>
  <c r="P13" i="8"/>
  <c r="O13" i="8"/>
  <c r="N12" i="8"/>
  <c r="M12" i="8"/>
  <c r="M11" i="8" s="1"/>
  <c r="M10" i="8" s="1"/>
  <c r="L12" i="8"/>
  <c r="L11" i="8" s="1"/>
  <c r="K12" i="8"/>
  <c r="J12" i="8"/>
  <c r="I12" i="8"/>
  <c r="I11" i="8" s="1"/>
  <c r="I10" i="8" s="1"/>
  <c r="I62" i="8" s="1"/>
  <c r="I51" i="8" s="1"/>
  <c r="I50" i="8" s="1"/>
  <c r="H12" i="8"/>
  <c r="G12" i="8"/>
  <c r="F12" i="8"/>
  <c r="E12" i="8"/>
  <c r="E11" i="8" s="1"/>
  <c r="E10" i="8" s="1"/>
  <c r="E62" i="8" s="1"/>
  <c r="E51" i="8" s="1"/>
  <c r="E50" i="8" s="1"/>
  <c r="D12" i="8"/>
  <c r="D11" i="8" s="1"/>
  <c r="C12" i="8"/>
  <c r="K11" i="8"/>
  <c r="B48" i="16"/>
  <c r="B47" i="16"/>
  <c r="D23" i="16"/>
  <c r="E23" i="16" s="1"/>
  <c r="D36" i="16"/>
  <c r="E36" i="16" s="1"/>
  <c r="D40" i="16"/>
  <c r="E40" i="16" s="1"/>
  <c r="B36" i="16"/>
  <c r="B37" i="16"/>
  <c r="B38" i="16"/>
  <c r="B39" i="16"/>
  <c r="B40" i="16"/>
  <c r="B41" i="16"/>
  <c r="B42" i="16"/>
  <c r="B34" i="16"/>
  <c r="B35" i="16"/>
  <c r="B31" i="16"/>
  <c r="B54" i="16"/>
  <c r="B32" i="16"/>
  <c r="B33" i="16"/>
  <c r="B27" i="16"/>
  <c r="B28" i="16"/>
  <c r="B29" i="16"/>
  <c r="B30" i="16"/>
  <c r="B24" i="16"/>
  <c r="B25" i="16"/>
  <c r="B26" i="16"/>
  <c r="B58" i="16"/>
  <c r="B22" i="16"/>
  <c r="G43" i="16"/>
  <c r="I43" i="16" s="1"/>
  <c r="K45" i="16"/>
  <c r="D45" i="16"/>
  <c r="K44" i="16"/>
  <c r="D44" i="16"/>
  <c r="G44" i="16" s="1"/>
  <c r="I44" i="16" s="1"/>
  <c r="K43" i="16"/>
  <c r="N104" i="18"/>
  <c r="M104" i="18"/>
  <c r="L104" i="18"/>
  <c r="O104" i="18" s="1"/>
  <c r="O103" i="18"/>
  <c r="O102" i="18"/>
  <c r="P95" i="18"/>
  <c r="O95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P93" i="18"/>
  <c r="O93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P91" i="18"/>
  <c r="O91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P89" i="18"/>
  <c r="O89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P87" i="18"/>
  <c r="O87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P84" i="18"/>
  <c r="O84" i="18"/>
  <c r="P83" i="18"/>
  <c r="O83" i="18"/>
  <c r="P82" i="18"/>
  <c r="O82" i="18"/>
  <c r="P81" i="18"/>
  <c r="D42" i="16" s="1"/>
  <c r="E42" i="16" s="1"/>
  <c r="O81" i="18"/>
  <c r="P80" i="18"/>
  <c r="D41" i="16" s="1"/>
  <c r="E41" i="16" s="1"/>
  <c r="O80" i="18"/>
  <c r="P79" i="18"/>
  <c r="O79" i="18"/>
  <c r="P78" i="18"/>
  <c r="O78" i="18"/>
  <c r="P77" i="18"/>
  <c r="O77" i="18"/>
  <c r="P76" i="18"/>
  <c r="D39" i="16" s="1"/>
  <c r="E39" i="16" s="1"/>
  <c r="O76" i="18"/>
  <c r="P75" i="18"/>
  <c r="D38" i="16" s="1"/>
  <c r="E38" i="16" s="1"/>
  <c r="O75" i="18"/>
  <c r="P74" i="18"/>
  <c r="D37" i="16" s="1"/>
  <c r="E37" i="16" s="1"/>
  <c r="O74" i="18"/>
  <c r="P73" i="18"/>
  <c r="O73" i="18"/>
  <c r="P72" i="18"/>
  <c r="O72" i="18"/>
  <c r="P71" i="18"/>
  <c r="D34" i="16" s="1"/>
  <c r="E34" i="16" s="1"/>
  <c r="O71" i="18"/>
  <c r="P70" i="18"/>
  <c r="O70" i="18"/>
  <c r="P69" i="18"/>
  <c r="O69" i="18"/>
  <c r="P68" i="18"/>
  <c r="O68" i="18"/>
  <c r="P67" i="18"/>
  <c r="O67" i="18"/>
  <c r="P66" i="18"/>
  <c r="O66" i="18"/>
  <c r="P65" i="18"/>
  <c r="O65" i="18"/>
  <c r="P64" i="18"/>
  <c r="O64" i="18"/>
  <c r="P63" i="18"/>
  <c r="O63" i="18"/>
  <c r="P61" i="18"/>
  <c r="D29" i="16" s="1"/>
  <c r="E29" i="16" s="1"/>
  <c r="O61" i="18"/>
  <c r="P60" i="18"/>
  <c r="O60" i="18"/>
  <c r="P59" i="18"/>
  <c r="O59" i="18"/>
  <c r="P58" i="18"/>
  <c r="O58" i="18"/>
  <c r="I57" i="18"/>
  <c r="P57" i="18" s="1"/>
  <c r="P56" i="18"/>
  <c r="O56" i="18"/>
  <c r="P55" i="18"/>
  <c r="O55" i="18"/>
  <c r="P54" i="18"/>
  <c r="O54" i="18"/>
  <c r="P53" i="18"/>
  <c r="O53" i="18"/>
  <c r="P52" i="18"/>
  <c r="O52" i="18"/>
  <c r="N51" i="18"/>
  <c r="N50" i="18" s="1"/>
  <c r="M51" i="18"/>
  <c r="M50" i="18" s="1"/>
  <c r="L51" i="18"/>
  <c r="L50" i="18" s="1"/>
  <c r="P49" i="18"/>
  <c r="O49" i="18"/>
  <c r="P48" i="18"/>
  <c r="O48" i="18"/>
  <c r="P47" i="18"/>
  <c r="O47" i="18"/>
  <c r="N46" i="18"/>
  <c r="N37" i="18" s="1"/>
  <c r="M46" i="18"/>
  <c r="L46" i="18"/>
  <c r="K46" i="18"/>
  <c r="J46" i="18"/>
  <c r="I46" i="18"/>
  <c r="H46" i="18"/>
  <c r="G46" i="18"/>
  <c r="F46" i="18"/>
  <c r="E46" i="18"/>
  <c r="D46" i="18"/>
  <c r="C46" i="18"/>
  <c r="P45" i="18"/>
  <c r="O45" i="18"/>
  <c r="P44" i="18"/>
  <c r="O44" i="18"/>
  <c r="P43" i="18"/>
  <c r="O43" i="18"/>
  <c r="P42" i="18"/>
  <c r="O42" i="18"/>
  <c r="P41" i="18"/>
  <c r="O41" i="18"/>
  <c r="P40" i="18"/>
  <c r="O40" i="18"/>
  <c r="P39" i="18"/>
  <c r="O39" i="18"/>
  <c r="N38" i="18"/>
  <c r="M38" i="18"/>
  <c r="L38" i="18"/>
  <c r="K38" i="18"/>
  <c r="Q39" i="18" s="1"/>
  <c r="J38" i="18"/>
  <c r="I38" i="18"/>
  <c r="H38" i="18"/>
  <c r="G38" i="18"/>
  <c r="F38" i="18"/>
  <c r="E38" i="18"/>
  <c r="D38" i="18"/>
  <c r="C38" i="18"/>
  <c r="P36" i="18"/>
  <c r="O36" i="18"/>
  <c r="N35" i="18"/>
  <c r="M35" i="18"/>
  <c r="L35" i="18"/>
  <c r="L34" i="18" s="1"/>
  <c r="K35" i="18"/>
  <c r="K34" i="18" s="1"/>
  <c r="J35" i="18"/>
  <c r="J34" i="18" s="1"/>
  <c r="I35" i="18"/>
  <c r="I34" i="18" s="1"/>
  <c r="H35" i="18"/>
  <c r="H34" i="18" s="1"/>
  <c r="G35" i="18"/>
  <c r="G34" i="18" s="1"/>
  <c r="F35" i="18"/>
  <c r="F34" i="18" s="1"/>
  <c r="E35" i="18"/>
  <c r="E34" i="18" s="1"/>
  <c r="D35" i="18"/>
  <c r="D34" i="18" s="1"/>
  <c r="C35" i="18"/>
  <c r="N34" i="18"/>
  <c r="M34" i="18"/>
  <c r="P32" i="18"/>
  <c r="O32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P30" i="18"/>
  <c r="O30" i="18"/>
  <c r="P29" i="18"/>
  <c r="O29" i="18"/>
  <c r="N28" i="18"/>
  <c r="N27" i="18" s="1"/>
  <c r="M28" i="18"/>
  <c r="M27" i="18" s="1"/>
  <c r="L28" i="18"/>
  <c r="K28" i="18"/>
  <c r="K27" i="18" s="1"/>
  <c r="J28" i="18"/>
  <c r="I28" i="18"/>
  <c r="I27" i="18" s="1"/>
  <c r="H28" i="18"/>
  <c r="H27" i="18" s="1"/>
  <c r="G28" i="18"/>
  <c r="G27" i="18" s="1"/>
  <c r="F28" i="18"/>
  <c r="F27" i="18" s="1"/>
  <c r="E28" i="18"/>
  <c r="E27" i="18" s="1"/>
  <c r="D28" i="18"/>
  <c r="D27" i="18" s="1"/>
  <c r="C28" i="18"/>
  <c r="J27" i="18"/>
  <c r="P26" i="18"/>
  <c r="O26" i="18"/>
  <c r="N25" i="18"/>
  <c r="N24" i="18" s="1"/>
  <c r="M25" i="18"/>
  <c r="M24" i="18" s="1"/>
  <c r="L25" i="18"/>
  <c r="K25" i="18"/>
  <c r="K24" i="18" s="1"/>
  <c r="J25" i="18"/>
  <c r="J24" i="18" s="1"/>
  <c r="I25" i="18"/>
  <c r="I24" i="18" s="1"/>
  <c r="H25" i="18"/>
  <c r="H24" i="18" s="1"/>
  <c r="G25" i="18"/>
  <c r="G24" i="18" s="1"/>
  <c r="F25" i="18"/>
  <c r="F24" i="18" s="1"/>
  <c r="E25" i="18"/>
  <c r="E24" i="18" s="1"/>
  <c r="D25" i="18"/>
  <c r="C25" i="18"/>
  <c r="L24" i="18"/>
  <c r="D24" i="18"/>
  <c r="P23" i="18"/>
  <c r="O23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N21" i="18"/>
  <c r="M21" i="18"/>
  <c r="L21" i="18"/>
  <c r="L20" i="18" s="1"/>
  <c r="P21" i="18"/>
  <c r="N20" i="18"/>
  <c r="M20" i="18"/>
  <c r="K20" i="18"/>
  <c r="J20" i="18"/>
  <c r="I20" i="18"/>
  <c r="H20" i="18"/>
  <c r="G20" i="18"/>
  <c r="F20" i="18"/>
  <c r="E20" i="18"/>
  <c r="D20" i="18"/>
  <c r="C20" i="18"/>
  <c r="P19" i="18"/>
  <c r="O19" i="18"/>
  <c r="P18" i="18"/>
  <c r="O18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P16" i="18"/>
  <c r="O16" i="18"/>
  <c r="P15" i="18"/>
  <c r="O15" i="18"/>
  <c r="P14" i="18"/>
  <c r="O14" i="18"/>
  <c r="P13" i="18"/>
  <c r="O13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M10" i="10" l="1"/>
  <c r="M96" i="10" s="1"/>
  <c r="L11" i="18"/>
  <c r="D31" i="19"/>
  <c r="D28" i="19" s="1"/>
  <c r="D31" i="20"/>
  <c r="F31" i="20" s="1"/>
  <c r="D31" i="21"/>
  <c r="F31" i="21" s="1"/>
  <c r="I31" i="21" s="1"/>
  <c r="O22" i="8"/>
  <c r="O25" i="8"/>
  <c r="O28" i="8"/>
  <c r="O31" i="8"/>
  <c r="O35" i="8"/>
  <c r="O38" i="8"/>
  <c r="C11" i="10"/>
  <c r="D11" i="10"/>
  <c r="D10" i="10" s="1"/>
  <c r="H11" i="10"/>
  <c r="H10" i="10" s="1"/>
  <c r="L11" i="10"/>
  <c r="L10" i="10" s="1"/>
  <c r="L96" i="10" s="1"/>
  <c r="N10" i="10"/>
  <c r="O28" i="10"/>
  <c r="C37" i="10"/>
  <c r="G37" i="10"/>
  <c r="K37" i="10"/>
  <c r="O86" i="10"/>
  <c r="O94" i="10"/>
  <c r="D35" i="19"/>
  <c r="F35" i="19" s="1"/>
  <c r="D35" i="20"/>
  <c r="F35" i="20" s="1"/>
  <c r="D35" i="21"/>
  <c r="F35" i="21" s="1"/>
  <c r="I35" i="21" s="1"/>
  <c r="D40" i="19"/>
  <c r="D40" i="20"/>
  <c r="F40" i="20" s="1"/>
  <c r="D40" i="21"/>
  <c r="F40" i="21" s="1"/>
  <c r="E10" i="10"/>
  <c r="O24" i="10"/>
  <c r="D33" i="19"/>
  <c r="F33" i="19" s="1"/>
  <c r="K33" i="19" s="1"/>
  <c r="D33" i="20"/>
  <c r="F33" i="20" s="1"/>
  <c r="D33" i="21"/>
  <c r="F33" i="21" s="1"/>
  <c r="I33" i="21" s="1"/>
  <c r="D34" i="19"/>
  <c r="D34" i="20"/>
  <c r="F34" i="20" s="1"/>
  <c r="D34" i="21"/>
  <c r="F34" i="21" s="1"/>
  <c r="I34" i="21" s="1"/>
  <c r="D37" i="19"/>
  <c r="D37" i="20"/>
  <c r="F37" i="20" s="1"/>
  <c r="D37" i="21"/>
  <c r="F37" i="21" s="1"/>
  <c r="I37" i="21" s="1"/>
  <c r="D41" i="19"/>
  <c r="F41" i="19" s="1"/>
  <c r="D41" i="20"/>
  <c r="F41" i="20" s="1"/>
  <c r="D41" i="21"/>
  <c r="F41" i="21" s="1"/>
  <c r="I41" i="21" s="1"/>
  <c r="D32" i="16"/>
  <c r="E32" i="16" s="1"/>
  <c r="F11" i="8"/>
  <c r="J11" i="8"/>
  <c r="N11" i="8"/>
  <c r="H11" i="8"/>
  <c r="H10" i="8" s="1"/>
  <c r="H62" i="8" s="1"/>
  <c r="H51" i="8" s="1"/>
  <c r="H50" i="8" s="1"/>
  <c r="L37" i="8"/>
  <c r="D85" i="8"/>
  <c r="L85" i="8"/>
  <c r="O20" i="10"/>
  <c r="O25" i="10"/>
  <c r="O35" i="10"/>
  <c r="D85" i="10"/>
  <c r="H85" i="10"/>
  <c r="L85" i="10"/>
  <c r="O88" i="10"/>
  <c r="D36" i="19"/>
  <c r="F36" i="19" s="1"/>
  <c r="D36" i="20"/>
  <c r="F36" i="20" s="1"/>
  <c r="D36" i="21"/>
  <c r="F36" i="21" s="1"/>
  <c r="I36" i="21" s="1"/>
  <c r="I10" i="10"/>
  <c r="D29" i="19"/>
  <c r="F29" i="19" s="1"/>
  <c r="D29" i="20"/>
  <c r="F29" i="20" s="1"/>
  <c r="D29" i="21"/>
  <c r="D30" i="19"/>
  <c r="F30" i="19" s="1"/>
  <c r="D30" i="20"/>
  <c r="D30" i="21"/>
  <c r="F30" i="21" s="1"/>
  <c r="I30" i="21" s="1"/>
  <c r="D32" i="19"/>
  <c r="D32" i="20"/>
  <c r="F32" i="20" s="1"/>
  <c r="D32" i="21"/>
  <c r="F32" i="21" s="1"/>
  <c r="I32" i="21" s="1"/>
  <c r="D25" i="16"/>
  <c r="E25" i="16" s="1"/>
  <c r="C11" i="8"/>
  <c r="E85" i="8"/>
  <c r="I85" i="8"/>
  <c r="M85" i="8"/>
  <c r="P88" i="8"/>
  <c r="G85" i="8"/>
  <c r="P92" i="8"/>
  <c r="O22" i="10"/>
  <c r="O31" i="10"/>
  <c r="C85" i="10"/>
  <c r="O85" i="10" s="1"/>
  <c r="O90" i="10"/>
  <c r="F40" i="19"/>
  <c r="K40" i="19" s="1"/>
  <c r="K41" i="19"/>
  <c r="I41" i="19"/>
  <c r="D22" i="16"/>
  <c r="E22" i="16" s="1"/>
  <c r="D35" i="16"/>
  <c r="E35" i="16" s="1"/>
  <c r="D31" i="16"/>
  <c r="E31" i="16" s="1"/>
  <c r="D28" i="16"/>
  <c r="E28" i="16" s="1"/>
  <c r="D24" i="16"/>
  <c r="E24" i="16" s="1"/>
  <c r="D47" i="16"/>
  <c r="F34" i="19"/>
  <c r="F37" i="19"/>
  <c r="N85" i="18"/>
  <c r="D52" i="16"/>
  <c r="D27" i="16"/>
  <c r="E27" i="16" s="1"/>
  <c r="D48" i="16"/>
  <c r="F32" i="19"/>
  <c r="D33" i="16"/>
  <c r="E33" i="16" s="1"/>
  <c r="D26" i="16"/>
  <c r="E26" i="16" s="1"/>
  <c r="N43" i="16"/>
  <c r="O33" i="12"/>
  <c r="C96" i="12"/>
  <c r="O96" i="12" s="1"/>
  <c r="O50" i="9"/>
  <c r="C33" i="9"/>
  <c r="G10" i="10"/>
  <c r="K10" i="10"/>
  <c r="F10" i="10"/>
  <c r="J10" i="10"/>
  <c r="L33" i="10"/>
  <c r="E62" i="10"/>
  <c r="E51" i="10" s="1"/>
  <c r="E50" i="10" s="1"/>
  <c r="E33" i="10" s="1"/>
  <c r="E96" i="10" s="1"/>
  <c r="I62" i="10"/>
  <c r="I51" i="10" s="1"/>
  <c r="I50" i="10" s="1"/>
  <c r="I33" i="10" s="1"/>
  <c r="I96" i="10" s="1"/>
  <c r="D62" i="10"/>
  <c r="D51" i="10" s="1"/>
  <c r="D50" i="10" s="1"/>
  <c r="D33" i="10" s="1"/>
  <c r="D96" i="10" s="1"/>
  <c r="H62" i="10"/>
  <c r="H51" i="10" s="1"/>
  <c r="H50" i="10" s="1"/>
  <c r="N33" i="10"/>
  <c r="N96" i="10" s="1"/>
  <c r="O11" i="10"/>
  <c r="C27" i="10"/>
  <c r="O27" i="10" s="1"/>
  <c r="O38" i="10"/>
  <c r="O34" i="10"/>
  <c r="P28" i="8"/>
  <c r="L33" i="8"/>
  <c r="P38" i="8"/>
  <c r="O12" i="8"/>
  <c r="O17" i="8"/>
  <c r="O20" i="8"/>
  <c r="C27" i="8"/>
  <c r="C37" i="8"/>
  <c r="E37" i="8"/>
  <c r="I37" i="8"/>
  <c r="I33" i="8" s="1"/>
  <c r="I96" i="8" s="1"/>
  <c r="M37" i="8"/>
  <c r="O46" i="8"/>
  <c r="F85" i="8"/>
  <c r="J85" i="8"/>
  <c r="P85" i="8" s="1"/>
  <c r="N85" i="8"/>
  <c r="K10" i="8"/>
  <c r="K62" i="8" s="1"/>
  <c r="K51" i="8" s="1"/>
  <c r="K50" i="8" s="1"/>
  <c r="K33" i="8" s="1"/>
  <c r="K96" i="8" s="1"/>
  <c r="L10" i="8"/>
  <c r="P22" i="8"/>
  <c r="P25" i="8"/>
  <c r="P31" i="8"/>
  <c r="P12" i="8"/>
  <c r="P17" i="8"/>
  <c r="P20" i="8"/>
  <c r="D27" i="8"/>
  <c r="D37" i="8"/>
  <c r="F37" i="8"/>
  <c r="J37" i="8"/>
  <c r="N37" i="8"/>
  <c r="N33" i="8" s="1"/>
  <c r="N96" i="8" s="1"/>
  <c r="P46" i="8"/>
  <c r="P86" i="8"/>
  <c r="P90" i="8"/>
  <c r="P94" i="8"/>
  <c r="O86" i="8"/>
  <c r="O88" i="8"/>
  <c r="O90" i="8"/>
  <c r="O92" i="8"/>
  <c r="O94" i="8"/>
  <c r="M33" i="8"/>
  <c r="M96" i="8" s="1"/>
  <c r="F10" i="8"/>
  <c r="F62" i="8" s="1"/>
  <c r="F51" i="8" s="1"/>
  <c r="F50" i="8" s="1"/>
  <c r="J10" i="8"/>
  <c r="J62" i="8" s="1"/>
  <c r="J51" i="8" s="1"/>
  <c r="J50" i="8" s="1"/>
  <c r="N10" i="8"/>
  <c r="H33" i="8"/>
  <c r="H96" i="8" s="1"/>
  <c r="G10" i="8"/>
  <c r="G62" i="8" s="1"/>
  <c r="G51" i="8" s="1"/>
  <c r="G50" i="8" s="1"/>
  <c r="G33" i="8" s="1"/>
  <c r="G96" i="8" s="1"/>
  <c r="O27" i="8"/>
  <c r="E33" i="8"/>
  <c r="E96" i="8" s="1"/>
  <c r="F33" i="8"/>
  <c r="F96" i="8" s="1"/>
  <c r="P11" i="8"/>
  <c r="P35" i="8"/>
  <c r="C24" i="8"/>
  <c r="C34" i="8"/>
  <c r="D24" i="8"/>
  <c r="G45" i="16"/>
  <c r="I45" i="16" s="1"/>
  <c r="N44" i="16"/>
  <c r="P88" i="18"/>
  <c r="O22" i="18"/>
  <c r="N33" i="18"/>
  <c r="O88" i="18"/>
  <c r="O38" i="18"/>
  <c r="G37" i="18"/>
  <c r="I37" i="18"/>
  <c r="O17" i="18"/>
  <c r="O28" i="18"/>
  <c r="P17" i="18"/>
  <c r="N11" i="18"/>
  <c r="N10" i="18" s="1"/>
  <c r="N96" i="18" s="1"/>
  <c r="P86" i="18"/>
  <c r="G85" i="18"/>
  <c r="K85" i="18"/>
  <c r="F85" i="18"/>
  <c r="E11" i="18"/>
  <c r="E10" i="18" s="1"/>
  <c r="I11" i="18"/>
  <c r="I10" i="18" s="1"/>
  <c r="O25" i="18"/>
  <c r="E37" i="18"/>
  <c r="P92" i="18"/>
  <c r="P94" i="18"/>
  <c r="O35" i="18"/>
  <c r="D37" i="18"/>
  <c r="H37" i="18"/>
  <c r="D85" i="18"/>
  <c r="H85" i="18"/>
  <c r="L85" i="18"/>
  <c r="D11" i="18"/>
  <c r="D10" i="18" s="1"/>
  <c r="D62" i="18" s="1"/>
  <c r="D51" i="18" s="1"/>
  <c r="D50" i="18" s="1"/>
  <c r="H11" i="18"/>
  <c r="H10" i="18" s="1"/>
  <c r="H62" i="18" s="1"/>
  <c r="H51" i="18" s="1"/>
  <c r="H50" i="18" s="1"/>
  <c r="P22" i="18"/>
  <c r="C34" i="18"/>
  <c r="O34" i="18" s="1"/>
  <c r="L37" i="18"/>
  <c r="M37" i="18"/>
  <c r="O57" i="18"/>
  <c r="M85" i="18"/>
  <c r="O92" i="18"/>
  <c r="P12" i="18"/>
  <c r="G11" i="18"/>
  <c r="G10" i="18" s="1"/>
  <c r="K11" i="18"/>
  <c r="K10" i="18" s="1"/>
  <c r="M11" i="18"/>
  <c r="M10" i="18" s="1"/>
  <c r="P25" i="18"/>
  <c r="P28" i="18"/>
  <c r="P31" i="18"/>
  <c r="C37" i="18"/>
  <c r="K37" i="18"/>
  <c r="O46" i="18"/>
  <c r="F37" i="18"/>
  <c r="J37" i="18"/>
  <c r="E85" i="18"/>
  <c r="I85" i="18"/>
  <c r="O90" i="18"/>
  <c r="J85" i="18"/>
  <c r="F11" i="18"/>
  <c r="F10" i="18" s="1"/>
  <c r="F62" i="18" s="1"/>
  <c r="F51" i="18" s="1"/>
  <c r="F50" i="18" s="1"/>
  <c r="J11" i="18"/>
  <c r="J10" i="18" s="1"/>
  <c r="J62" i="18" s="1"/>
  <c r="J51" i="18" s="1"/>
  <c r="J50" i="18" s="1"/>
  <c r="L27" i="18"/>
  <c r="L10" i="18" s="1"/>
  <c r="P46" i="18"/>
  <c r="P90" i="18"/>
  <c r="O20" i="18"/>
  <c r="O12" i="18"/>
  <c r="P38" i="18"/>
  <c r="C11" i="18"/>
  <c r="O21" i="18"/>
  <c r="C24" i="18"/>
  <c r="P24" i="18" s="1"/>
  <c r="C27" i="18"/>
  <c r="P27" i="18" s="1"/>
  <c r="Q40" i="18"/>
  <c r="O31" i="18"/>
  <c r="O86" i="18"/>
  <c r="O94" i="18"/>
  <c r="P20" i="18"/>
  <c r="P35" i="18"/>
  <c r="O27" i="18"/>
  <c r="C85" i="18"/>
  <c r="K29" i="20" l="1"/>
  <c r="I29" i="20"/>
  <c r="K36" i="20"/>
  <c r="I36" i="20"/>
  <c r="I34" i="20"/>
  <c r="K34" i="20"/>
  <c r="K40" i="20"/>
  <c r="K39" i="20" s="1"/>
  <c r="I40" i="20"/>
  <c r="F39" i="20"/>
  <c r="F31" i="19"/>
  <c r="D28" i="20"/>
  <c r="D39" i="20" s="1"/>
  <c r="F30" i="20"/>
  <c r="K37" i="20"/>
  <c r="I37" i="20"/>
  <c r="O37" i="10"/>
  <c r="J33" i="8"/>
  <c r="J96" i="8" s="1"/>
  <c r="I32" i="20"/>
  <c r="K32" i="20"/>
  <c r="K41" i="20"/>
  <c r="I41" i="20"/>
  <c r="O37" i="8"/>
  <c r="O85" i="8"/>
  <c r="O11" i="8"/>
  <c r="H33" i="10"/>
  <c r="H96" i="10" s="1"/>
  <c r="D28" i="21"/>
  <c r="D39" i="21" s="1"/>
  <c r="F29" i="21"/>
  <c r="K33" i="20"/>
  <c r="I33" i="20"/>
  <c r="I40" i="21"/>
  <c r="I39" i="21" s="1"/>
  <c r="F39" i="21"/>
  <c r="I35" i="20"/>
  <c r="K35" i="20"/>
  <c r="K31" i="20"/>
  <c r="I31" i="20"/>
  <c r="I40" i="19"/>
  <c r="I39" i="19" s="1"/>
  <c r="K39" i="19"/>
  <c r="F28" i="19"/>
  <c r="D19" i="16"/>
  <c r="E19" i="16" s="1"/>
  <c r="E18" i="16" s="1"/>
  <c r="K32" i="19"/>
  <c r="I32" i="19"/>
  <c r="K37" i="19"/>
  <c r="I37" i="19"/>
  <c r="K30" i="19"/>
  <c r="I30" i="19"/>
  <c r="K29" i="19"/>
  <c r="I29" i="19"/>
  <c r="F39" i="19"/>
  <c r="K34" i="19"/>
  <c r="I34" i="19"/>
  <c r="I35" i="19"/>
  <c r="K35" i="19"/>
  <c r="I33" i="19"/>
  <c r="I31" i="19"/>
  <c r="K31" i="19"/>
  <c r="I36" i="19"/>
  <c r="K36" i="19"/>
  <c r="N45" i="16"/>
  <c r="O33" i="9"/>
  <c r="C96" i="9"/>
  <c r="O96" i="9" s="1"/>
  <c r="J62" i="10"/>
  <c r="J51" i="10" s="1"/>
  <c r="J50" i="10" s="1"/>
  <c r="J33" i="10" s="1"/>
  <c r="J96" i="10" s="1"/>
  <c r="G62" i="10"/>
  <c r="G51" i="10" s="1"/>
  <c r="G50" i="10" s="1"/>
  <c r="G33" i="10" s="1"/>
  <c r="G96" i="10" s="1"/>
  <c r="F62" i="10"/>
  <c r="F51" i="10" s="1"/>
  <c r="F50" i="10" s="1"/>
  <c r="F33" i="10" s="1"/>
  <c r="F96" i="10"/>
  <c r="C10" i="10"/>
  <c r="K96" i="10"/>
  <c r="K62" i="10"/>
  <c r="K51" i="10" s="1"/>
  <c r="K50" i="10" s="1"/>
  <c r="K33" i="10" s="1"/>
  <c r="D10" i="8"/>
  <c r="D62" i="8" s="1"/>
  <c r="D51" i="8" s="1"/>
  <c r="D50" i="8" s="1"/>
  <c r="D33" i="8" s="1"/>
  <c r="D96" i="8" s="1"/>
  <c r="P37" i="8"/>
  <c r="L96" i="8"/>
  <c r="P27" i="8"/>
  <c r="P24" i="8"/>
  <c r="O24" i="8"/>
  <c r="C10" i="8"/>
  <c r="P10" i="8" s="1"/>
  <c r="P34" i="8"/>
  <c r="O34" i="8"/>
  <c r="J33" i="18"/>
  <c r="J96" i="18" s="1"/>
  <c r="F33" i="18"/>
  <c r="F96" i="18" s="1"/>
  <c r="L33" i="18"/>
  <c r="L96" i="18" s="1"/>
  <c r="D33" i="18"/>
  <c r="D96" i="18" s="1"/>
  <c r="P34" i="18"/>
  <c r="M33" i="18"/>
  <c r="M96" i="18" s="1"/>
  <c r="H33" i="18"/>
  <c r="H96" i="18" s="1"/>
  <c r="P11" i="18"/>
  <c r="P37" i="18"/>
  <c r="O37" i="18"/>
  <c r="O24" i="18"/>
  <c r="E62" i="18"/>
  <c r="E51" i="18" s="1"/>
  <c r="E50" i="18" s="1"/>
  <c r="E33" i="18" s="1"/>
  <c r="E96" i="18" s="1"/>
  <c r="P85" i="18"/>
  <c r="C10" i="18"/>
  <c r="P10" i="18" s="1"/>
  <c r="K62" i="18"/>
  <c r="K51" i="18" s="1"/>
  <c r="K50" i="18" s="1"/>
  <c r="K33" i="18" s="1"/>
  <c r="K96" i="18" s="1"/>
  <c r="O85" i="18"/>
  <c r="I62" i="18"/>
  <c r="I51" i="18" s="1"/>
  <c r="I50" i="18" s="1"/>
  <c r="I33" i="18" s="1"/>
  <c r="I96" i="18" s="1"/>
  <c r="G62" i="18"/>
  <c r="G51" i="18" s="1"/>
  <c r="G50" i="18" s="1"/>
  <c r="G33" i="18" s="1"/>
  <c r="G96" i="18" s="1"/>
  <c r="O11" i="18"/>
  <c r="F28" i="21" l="1"/>
  <c r="I29" i="21"/>
  <c r="I28" i="21" s="1"/>
  <c r="I61" i="21" s="1"/>
  <c r="K28" i="20"/>
  <c r="K61" i="20" s="1"/>
  <c r="K74" i="20" s="1"/>
  <c r="K30" i="20"/>
  <c r="I30" i="20"/>
  <c r="I28" i="20" s="1"/>
  <c r="I61" i="20" s="1"/>
  <c r="I39" i="20"/>
  <c r="F28" i="20"/>
  <c r="I28" i="19"/>
  <c r="I61" i="19" s="1"/>
  <c r="K28" i="19"/>
  <c r="K61" i="19" s="1"/>
  <c r="K74" i="19" s="1"/>
  <c r="O10" i="10"/>
  <c r="C62" i="10"/>
  <c r="C62" i="8"/>
  <c r="O10" i="8"/>
  <c r="O10" i="18"/>
  <c r="C62" i="18"/>
  <c r="G76" i="20" l="1"/>
  <c r="I74" i="20"/>
  <c r="I74" i="21"/>
  <c r="C77" i="21"/>
  <c r="G76" i="19"/>
  <c r="O62" i="10"/>
  <c r="C51" i="10"/>
  <c r="P62" i="8"/>
  <c r="D32" i="6" s="1"/>
  <c r="D21" i="6" s="1"/>
  <c r="C51" i="8"/>
  <c r="O62" i="8"/>
  <c r="P62" i="18"/>
  <c r="D30" i="16" s="1"/>
  <c r="O62" i="18"/>
  <c r="C51" i="18"/>
  <c r="G100" i="20" l="1"/>
  <c r="G79" i="20"/>
  <c r="L77" i="20" s="1"/>
  <c r="L76" i="20"/>
  <c r="L78" i="20" s="1"/>
  <c r="G80" i="20"/>
  <c r="K76" i="20"/>
  <c r="C81" i="21"/>
  <c r="I77" i="21"/>
  <c r="G79" i="19"/>
  <c r="L77" i="19" s="1"/>
  <c r="G100" i="19"/>
  <c r="G80" i="19"/>
  <c r="L76" i="19"/>
  <c r="I74" i="19"/>
  <c r="E30" i="16"/>
  <c r="E21" i="16" s="1"/>
  <c r="D21" i="16"/>
  <c r="C50" i="10"/>
  <c r="O51" i="10"/>
  <c r="O51" i="8"/>
  <c r="C50" i="8"/>
  <c r="P51" i="8"/>
  <c r="P51" i="18"/>
  <c r="C50" i="18"/>
  <c r="O51" i="18"/>
  <c r="J90" i="20" l="1"/>
  <c r="K78" i="20"/>
  <c r="K80" i="20" s="1"/>
  <c r="G102" i="19"/>
  <c r="K100" i="19"/>
  <c r="J114" i="19" s="1"/>
  <c r="G102" i="20"/>
  <c r="K100" i="20"/>
  <c r="K77" i="20"/>
  <c r="J89" i="20" s="1"/>
  <c r="K84" i="20"/>
  <c r="G92" i="21"/>
  <c r="I79" i="21"/>
  <c r="I81" i="21" s="1"/>
  <c r="I82" i="21" s="1"/>
  <c r="L80" i="20"/>
  <c r="L81" i="20" s="1"/>
  <c r="L78" i="19"/>
  <c r="K84" i="19"/>
  <c r="K77" i="19"/>
  <c r="L80" i="19"/>
  <c r="L81" i="19" s="1"/>
  <c r="K76" i="19"/>
  <c r="O50" i="10"/>
  <c r="C33" i="10"/>
  <c r="P50" i="8"/>
  <c r="O50" i="8"/>
  <c r="C33" i="8"/>
  <c r="C96" i="8" s="1"/>
  <c r="O50" i="18"/>
  <c r="P50" i="18"/>
  <c r="C33" i="18"/>
  <c r="J114" i="20" l="1"/>
  <c r="K102" i="20"/>
  <c r="K104" i="20" s="1"/>
  <c r="K105" i="20" s="1"/>
  <c r="H92" i="21"/>
  <c r="G93" i="21"/>
  <c r="K85" i="20"/>
  <c r="J88" i="20"/>
  <c r="M81" i="20"/>
  <c r="K81" i="20"/>
  <c r="J88" i="19"/>
  <c r="K85" i="19"/>
  <c r="J90" i="19"/>
  <c r="O33" i="10"/>
  <c r="C96" i="10"/>
  <c r="O96" i="10" s="1"/>
  <c r="P96" i="8"/>
  <c r="O96" i="8"/>
  <c r="O33" i="8"/>
  <c r="P33" i="8"/>
  <c r="P33" i="18"/>
  <c r="O33" i="18"/>
  <c r="C96" i="18"/>
  <c r="J92" i="20" l="1"/>
  <c r="K92" i="20" s="1"/>
  <c r="K113" i="20"/>
  <c r="J93" i="20"/>
  <c r="K93" i="20" s="1"/>
  <c r="K117" i="20"/>
  <c r="K116" i="20"/>
  <c r="J91" i="20"/>
  <c r="K89" i="20"/>
  <c r="G96" i="21"/>
  <c r="H96" i="21" s="1"/>
  <c r="H93" i="21"/>
  <c r="K90" i="20"/>
  <c r="K114" i="20"/>
  <c r="J115" i="20"/>
  <c r="J93" i="19"/>
  <c r="K93" i="19" s="1"/>
  <c r="J92" i="19"/>
  <c r="K92" i="19" s="1"/>
  <c r="K90" i="19"/>
  <c r="P96" i="18"/>
  <c r="O96" i="18"/>
  <c r="J118" i="20" l="1"/>
  <c r="K118" i="20" s="1"/>
  <c r="K115" i="20"/>
  <c r="J94" i="20"/>
  <c r="K94" i="20" s="1"/>
  <c r="K91" i="20"/>
  <c r="E11" i="16"/>
  <c r="G24" i="16" s="1"/>
  <c r="I24" i="16" s="1"/>
  <c r="G19" i="16" l="1"/>
  <c r="F11" i="16"/>
  <c r="G22" i="16"/>
  <c r="I22" i="16" s="1"/>
  <c r="G27" i="16"/>
  <c r="I27" i="16" s="1"/>
  <c r="G33" i="16"/>
  <c r="I33" i="16" s="1"/>
  <c r="G30" i="16"/>
  <c r="I30" i="16" s="1"/>
  <c r="G37" i="16"/>
  <c r="I37" i="16" s="1"/>
  <c r="G42" i="16"/>
  <c r="I42" i="16" s="1"/>
  <c r="G41" i="16"/>
  <c r="I41" i="16" s="1"/>
  <c r="G38" i="16"/>
  <c r="I38" i="16" s="1"/>
  <c r="G40" i="16"/>
  <c r="I40" i="16" s="1"/>
  <c r="G29" i="16"/>
  <c r="I29" i="16" s="1"/>
  <c r="G39" i="16"/>
  <c r="I39" i="16" s="1"/>
  <c r="G28" i="16"/>
  <c r="I28" i="16" s="1"/>
  <c r="G34" i="16"/>
  <c r="I34" i="16" s="1"/>
  <c r="G25" i="16"/>
  <c r="I25" i="16" s="1"/>
  <c r="G36" i="16"/>
  <c r="I36" i="16" s="1"/>
  <c r="G35" i="16"/>
  <c r="I35" i="16" s="1"/>
  <c r="G26" i="16"/>
  <c r="I26" i="16" s="1"/>
  <c r="G31" i="16"/>
  <c r="I31" i="16" s="1"/>
  <c r="G47" i="16"/>
  <c r="I47" i="16" s="1"/>
  <c r="G32" i="16"/>
  <c r="I32" i="16" s="1"/>
  <c r="G23" i="16"/>
  <c r="I23" i="16" s="1"/>
  <c r="F131" i="17"/>
  <c r="F129" i="17"/>
  <c r="E129" i="17"/>
  <c r="F124" i="17"/>
  <c r="E123" i="17"/>
  <c r="F122" i="17"/>
  <c r="E122" i="17"/>
  <c r="E118" i="17"/>
  <c r="K118" i="17" s="1"/>
  <c r="F117" i="17"/>
  <c r="K116" i="17"/>
  <c r="I116" i="17"/>
  <c r="M116" i="17" s="1"/>
  <c r="F116" i="17"/>
  <c r="L116" i="17" s="1"/>
  <c r="K115" i="17"/>
  <c r="F115" i="17"/>
  <c r="F118" i="17" s="1"/>
  <c r="H108" i="17"/>
  <c r="G108" i="17"/>
  <c r="H107" i="17"/>
  <c r="G107" i="17"/>
  <c r="H106" i="17"/>
  <c r="G106" i="17"/>
  <c r="G105" i="17"/>
  <c r="H104" i="17"/>
  <c r="G104" i="17"/>
  <c r="L97" i="17"/>
  <c r="J97" i="17"/>
  <c r="N97" i="17" s="1"/>
  <c r="O97" i="17" s="1"/>
  <c r="G97" i="17"/>
  <c r="K97" i="17" s="1"/>
  <c r="E91" i="17"/>
  <c r="I73" i="17"/>
  <c r="H73" i="17"/>
  <c r="J73" i="17" s="1"/>
  <c r="J72" i="17"/>
  <c r="I72" i="17"/>
  <c r="H72" i="17"/>
  <c r="J71" i="17"/>
  <c r="I71" i="17"/>
  <c r="H71" i="17"/>
  <c r="I70" i="17"/>
  <c r="H70" i="17"/>
  <c r="J70" i="17" s="1"/>
  <c r="I69" i="17"/>
  <c r="H69" i="17"/>
  <c r="J69" i="17" s="1"/>
  <c r="I68" i="17"/>
  <c r="H68" i="17"/>
  <c r="J68" i="17" s="1"/>
  <c r="I67" i="17"/>
  <c r="H67" i="17"/>
  <c r="J67" i="17" s="1"/>
  <c r="I66" i="17"/>
  <c r="H66" i="17"/>
  <c r="J66" i="17" s="1"/>
  <c r="I65" i="17"/>
  <c r="H65" i="17"/>
  <c r="J65" i="17" s="1"/>
  <c r="J64" i="17"/>
  <c r="I64" i="17"/>
  <c r="H64" i="17"/>
  <c r="J63" i="17"/>
  <c r="I63" i="17"/>
  <c r="H63" i="17"/>
  <c r="I62" i="17"/>
  <c r="H62" i="17"/>
  <c r="J62" i="17" s="1"/>
  <c r="I61" i="17"/>
  <c r="H61" i="17"/>
  <c r="J61" i="17" s="1"/>
  <c r="I60" i="17"/>
  <c r="H60" i="17"/>
  <c r="J60" i="17" s="1"/>
  <c r="I59" i="17"/>
  <c r="H59" i="17"/>
  <c r="J59" i="17" s="1"/>
  <c r="I58" i="17"/>
  <c r="H58" i="17"/>
  <c r="J58" i="17" s="1"/>
  <c r="I57" i="17"/>
  <c r="H57" i="17"/>
  <c r="J57" i="17" s="1"/>
  <c r="J56" i="17"/>
  <c r="I56" i="17"/>
  <c r="H56" i="17"/>
  <c r="J55" i="17"/>
  <c r="I55" i="17"/>
  <c r="H55" i="17"/>
  <c r="I54" i="17"/>
  <c r="H54" i="17"/>
  <c r="J54" i="17" s="1"/>
  <c r="I53" i="17"/>
  <c r="H53" i="17"/>
  <c r="J53" i="17" s="1"/>
  <c r="I52" i="17"/>
  <c r="H52" i="17"/>
  <c r="J52" i="17" s="1"/>
  <c r="H45" i="17"/>
  <c r="G45" i="17"/>
  <c r="I45" i="17" s="1"/>
  <c r="I44" i="17"/>
  <c r="H44" i="17"/>
  <c r="G44" i="17"/>
  <c r="H43" i="17"/>
  <c r="G43" i="17"/>
  <c r="I43" i="17" s="1"/>
  <c r="H42" i="17"/>
  <c r="G42" i="17"/>
  <c r="I42" i="17" s="1"/>
  <c r="H41" i="17"/>
  <c r="G41" i="17"/>
  <c r="I41" i="17" s="1"/>
  <c r="H40" i="17"/>
  <c r="G40" i="17"/>
  <c r="I40" i="17" s="1"/>
  <c r="I39" i="17"/>
  <c r="H39" i="17"/>
  <c r="G39" i="17"/>
  <c r="H38" i="17"/>
  <c r="G38" i="17"/>
  <c r="I38" i="17" s="1"/>
  <c r="H37" i="17"/>
  <c r="G37" i="17"/>
  <c r="I37" i="17" s="1"/>
  <c r="H36" i="17"/>
  <c r="G36" i="17"/>
  <c r="I36" i="17" s="1"/>
  <c r="H35" i="17"/>
  <c r="G35" i="17"/>
  <c r="I35" i="17" s="1"/>
  <c r="H34" i="17"/>
  <c r="G34" i="17"/>
  <c r="E34" i="17"/>
  <c r="H33" i="17"/>
  <c r="G33" i="17"/>
  <c r="I33" i="17" s="1"/>
  <c r="H32" i="17"/>
  <c r="G32" i="17"/>
  <c r="I32" i="17" s="1"/>
  <c r="I31" i="17"/>
  <c r="H31" i="17"/>
  <c r="G31" i="17"/>
  <c r="E22" i="17"/>
  <c r="I34" i="17" l="1"/>
  <c r="L115" i="17"/>
  <c r="F123" i="17"/>
  <c r="F130" i="17" s="1"/>
  <c r="I74" i="17"/>
  <c r="I97" i="17"/>
  <c r="H109" i="17"/>
  <c r="G109" i="17"/>
  <c r="H46" i="17"/>
  <c r="E80" i="17" s="1"/>
  <c r="J116" i="17"/>
  <c r="E125" i="17"/>
  <c r="G21" i="16"/>
  <c r="I21" i="16"/>
  <c r="I19" i="16"/>
  <c r="K26" i="16"/>
  <c r="N26" i="16"/>
  <c r="K32" i="16"/>
  <c r="N32" i="16"/>
  <c r="K35" i="16"/>
  <c r="N35" i="16"/>
  <c r="N29" i="16"/>
  <c r="K29" i="16"/>
  <c r="N30" i="16"/>
  <c r="K30" i="16"/>
  <c r="K34" i="16"/>
  <c r="N34" i="16"/>
  <c r="K41" i="16"/>
  <c r="N41" i="16"/>
  <c r="K33" i="16"/>
  <c r="N33" i="16"/>
  <c r="K23" i="16"/>
  <c r="N23" i="16"/>
  <c r="K22" i="16"/>
  <c r="N22" i="16"/>
  <c r="N42" i="16"/>
  <c r="K42" i="16"/>
  <c r="K25" i="16"/>
  <c r="N25" i="16"/>
  <c r="N31" i="16"/>
  <c r="K31" i="16"/>
  <c r="K28" i="16"/>
  <c r="N28" i="16"/>
  <c r="K24" i="16"/>
  <c r="N24" i="16"/>
  <c r="N27" i="16"/>
  <c r="K27" i="16"/>
  <c r="J74" i="17"/>
  <c r="F81" i="17" s="1"/>
  <c r="E81" i="17"/>
  <c r="I46" i="17"/>
  <c r="F80" i="17" s="1"/>
  <c r="M97" i="17"/>
  <c r="E82" i="17"/>
  <c r="E84" i="17" s="1"/>
  <c r="H115" i="17" s="1"/>
  <c r="N116" i="17"/>
  <c r="K125" i="17"/>
  <c r="J130" i="17"/>
  <c r="F132" i="17"/>
  <c r="L118" i="17"/>
  <c r="I123" i="17"/>
  <c r="F125" i="17"/>
  <c r="E130" i="17"/>
  <c r="I130" i="17" s="1"/>
  <c r="J123" i="17"/>
  <c r="G20" i="16"/>
  <c r="I20" i="16" s="1"/>
  <c r="G9" i="16"/>
  <c r="C76" i="1"/>
  <c r="G18" i="16" l="1"/>
  <c r="F82" i="17"/>
  <c r="F84" i="17" s="1"/>
  <c r="G115" i="17" s="1"/>
  <c r="G118" i="17" s="1"/>
  <c r="I118" i="17" s="1"/>
  <c r="M118" i="17" s="1"/>
  <c r="K20" i="16"/>
  <c r="I18" i="16"/>
  <c r="I46" i="16" s="1"/>
  <c r="F79" i="16"/>
  <c r="D18" i="16"/>
  <c r="G8" i="16"/>
  <c r="N20" i="16"/>
  <c r="L125" i="17"/>
  <c r="H122" i="17"/>
  <c r="H118" i="17"/>
  <c r="J118" i="17" s="1"/>
  <c r="N118" i="17" s="1"/>
  <c r="J115" i="17"/>
  <c r="N115" i="17" s="1"/>
  <c r="I115" i="17"/>
  <c r="M115" i="17" s="1"/>
  <c r="G122" i="17"/>
  <c r="L132" i="17"/>
  <c r="E132" i="17"/>
  <c r="D79" i="16"/>
  <c r="G10" i="16"/>
  <c r="G11" i="16"/>
  <c r="B42" i="1"/>
  <c r="E76" i="1"/>
  <c r="D46" i="16" l="1"/>
  <c r="D49" i="16" s="1"/>
  <c r="F65" i="16"/>
  <c r="D75" i="16"/>
  <c r="K47" i="16"/>
  <c r="K40" i="16"/>
  <c r="N36" i="16"/>
  <c r="G48" i="16"/>
  <c r="I48" i="16" s="1"/>
  <c r="I49" i="16" s="1"/>
  <c r="I50" i="16" s="1"/>
  <c r="O118" i="17"/>
  <c r="K132" i="17"/>
  <c r="H129" i="17"/>
  <c r="H125" i="17"/>
  <c r="J125" i="17" s="1"/>
  <c r="N125" i="17" s="1"/>
  <c r="O125" i="17" s="1"/>
  <c r="J122" i="17"/>
  <c r="G125" i="17"/>
  <c r="I125" i="17" s="1"/>
  <c r="M125" i="17" s="1"/>
  <c r="G129" i="17"/>
  <c r="I122" i="17"/>
  <c r="K36" i="16"/>
  <c r="E75" i="16" l="1"/>
  <c r="F75" i="16" s="1"/>
  <c r="K19" i="16"/>
  <c r="K18" i="16" s="1"/>
  <c r="N40" i="16"/>
  <c r="N38" i="16"/>
  <c r="K38" i="16"/>
  <c r="N47" i="16"/>
  <c r="N19" i="16"/>
  <c r="N18" i="16" s="1"/>
  <c r="G46" i="16"/>
  <c r="G49" i="16" s="1"/>
  <c r="G50" i="16" s="1"/>
  <c r="N39" i="16"/>
  <c r="K39" i="16"/>
  <c r="N48" i="16"/>
  <c r="K48" i="16"/>
  <c r="K49" i="16" s="1"/>
  <c r="K37" i="16"/>
  <c r="N37" i="16"/>
  <c r="G132" i="17"/>
  <c r="I132" i="17" s="1"/>
  <c r="M132" i="17" s="1"/>
  <c r="M135" i="17" s="1"/>
  <c r="I129" i="17"/>
  <c r="H132" i="17"/>
  <c r="J132" i="17" s="1"/>
  <c r="N132" i="17" s="1"/>
  <c r="O132" i="17" s="1"/>
  <c r="J129" i="1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I79" i="7"/>
  <c r="D20" i="15"/>
  <c r="F20" i="15" s="1"/>
  <c r="B20" i="15"/>
  <c r="D19" i="15"/>
  <c r="F19" i="15" s="1"/>
  <c r="B19" i="15"/>
  <c r="D20" i="14"/>
  <c r="F20" i="14" s="1"/>
  <c r="B20" i="14"/>
  <c r="D19" i="14"/>
  <c r="F19" i="14" s="1"/>
  <c r="B19" i="14"/>
  <c r="B20" i="13"/>
  <c r="D20" i="13"/>
  <c r="F20" i="13" s="1"/>
  <c r="D19" i="13"/>
  <c r="F19" i="13" s="1"/>
  <c r="B19" i="13"/>
  <c r="D20" i="7"/>
  <c r="B20" i="7"/>
  <c r="D19" i="7"/>
  <c r="B19" i="7"/>
  <c r="D20" i="6"/>
  <c r="B20" i="6"/>
  <c r="B19" i="6"/>
  <c r="D19" i="6"/>
  <c r="D54" i="15"/>
  <c r="F54" i="15" s="1"/>
  <c r="B54" i="15"/>
  <c r="D23" i="15"/>
  <c r="D24" i="15"/>
  <c r="F24" i="15" s="1"/>
  <c r="K24" i="15" s="1"/>
  <c r="D25" i="15"/>
  <c r="F25" i="15" s="1"/>
  <c r="D26" i="15"/>
  <c r="F26" i="15" s="1"/>
  <c r="D27" i="15"/>
  <c r="F27" i="15" s="1"/>
  <c r="D28" i="15"/>
  <c r="F28" i="15" s="1"/>
  <c r="K28" i="15" s="1"/>
  <c r="D29" i="15"/>
  <c r="F29" i="15" s="1"/>
  <c r="D30" i="15"/>
  <c r="F30" i="15" s="1"/>
  <c r="D31" i="15"/>
  <c r="F31" i="15" s="1"/>
  <c r="D32" i="15"/>
  <c r="D33" i="15"/>
  <c r="D34" i="15"/>
  <c r="F34" i="15" s="1"/>
  <c r="D35" i="15"/>
  <c r="F35" i="15" s="1"/>
  <c r="D36" i="15"/>
  <c r="F36" i="15" s="1"/>
  <c r="K36" i="15" s="1"/>
  <c r="D37" i="15"/>
  <c r="D38" i="15"/>
  <c r="F38" i="15" s="1"/>
  <c r="D39" i="15"/>
  <c r="F39" i="15" s="1"/>
  <c r="D40" i="15"/>
  <c r="D41" i="15"/>
  <c r="F41" i="15" s="1"/>
  <c r="D42" i="15"/>
  <c r="F42" i="15" s="1"/>
  <c r="D43" i="15"/>
  <c r="F43" i="15" s="1"/>
  <c r="D44" i="15"/>
  <c r="F44" i="15" s="1"/>
  <c r="K44" i="15" s="1"/>
  <c r="D45" i="15"/>
  <c r="F45" i="15" s="1"/>
  <c r="D46" i="15"/>
  <c r="F46" i="15" s="1"/>
  <c r="D47" i="15"/>
  <c r="F47" i="15" s="1"/>
  <c r="D48" i="15"/>
  <c r="F48" i="15" s="1"/>
  <c r="K48" i="15" s="1"/>
  <c r="D49" i="15"/>
  <c r="F49" i="15" s="1"/>
  <c r="D50" i="15"/>
  <c r="F50" i="15" s="1"/>
  <c r="D51" i="15"/>
  <c r="D52" i="15"/>
  <c r="F52" i="15" s="1"/>
  <c r="I52" i="15" s="1"/>
  <c r="D22" i="15"/>
  <c r="F22" i="15" s="1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22" i="15"/>
  <c r="K68" i="15"/>
  <c r="I68" i="15"/>
  <c r="K67" i="15"/>
  <c r="I67" i="15"/>
  <c r="K66" i="15"/>
  <c r="I66" i="15"/>
  <c r="K65" i="15"/>
  <c r="I65" i="15"/>
  <c r="K64" i="15"/>
  <c r="I64" i="15"/>
  <c r="K63" i="15"/>
  <c r="I63" i="15"/>
  <c r="K62" i="15"/>
  <c r="I62" i="15"/>
  <c r="K61" i="15"/>
  <c r="I61" i="15"/>
  <c r="K60" i="15"/>
  <c r="I60" i="15"/>
  <c r="K59" i="15"/>
  <c r="I59" i="15"/>
  <c r="K58" i="15"/>
  <c r="I58" i="15"/>
  <c r="K57" i="15"/>
  <c r="K69" i="15" s="1"/>
  <c r="I57" i="15"/>
  <c r="I69" i="15" s="1"/>
  <c r="F51" i="15"/>
  <c r="F40" i="15"/>
  <c r="K40" i="15" s="1"/>
  <c r="F37" i="15"/>
  <c r="F33" i="15"/>
  <c r="F32" i="15"/>
  <c r="K32" i="15" s="1"/>
  <c r="F11" i="15"/>
  <c r="D10" i="15"/>
  <c r="E10" i="15" s="1"/>
  <c r="D9" i="15"/>
  <c r="D54" i="14"/>
  <c r="D23" i="14"/>
  <c r="F23" i="14" s="1"/>
  <c r="D24" i="14"/>
  <c r="D25" i="14"/>
  <c r="F25" i="14" s="1"/>
  <c r="D26" i="14"/>
  <c r="F26" i="14" s="1"/>
  <c r="D27" i="14"/>
  <c r="F27" i="14" s="1"/>
  <c r="D28" i="14"/>
  <c r="F28" i="14" s="1"/>
  <c r="K28" i="14" s="1"/>
  <c r="D29" i="14"/>
  <c r="F29" i="14" s="1"/>
  <c r="D30" i="14"/>
  <c r="F30" i="14" s="1"/>
  <c r="D31" i="14"/>
  <c r="D32" i="14"/>
  <c r="F32" i="14" s="1"/>
  <c r="K32" i="14" s="1"/>
  <c r="D33" i="14"/>
  <c r="D34" i="14"/>
  <c r="F34" i="14" s="1"/>
  <c r="D35" i="14"/>
  <c r="F35" i="14" s="1"/>
  <c r="D36" i="14"/>
  <c r="F36" i="14" s="1"/>
  <c r="K36" i="14" s="1"/>
  <c r="D37" i="14"/>
  <c r="F37" i="14" s="1"/>
  <c r="D38" i="14"/>
  <c r="F38" i="14" s="1"/>
  <c r="D39" i="14"/>
  <c r="D40" i="14"/>
  <c r="D41" i="14"/>
  <c r="D42" i="14"/>
  <c r="F42" i="14" s="1"/>
  <c r="D43" i="14"/>
  <c r="F43" i="14" s="1"/>
  <c r="K43" i="14" s="1"/>
  <c r="D44" i="14"/>
  <c r="F44" i="14" s="1"/>
  <c r="K44" i="14" s="1"/>
  <c r="D45" i="14"/>
  <c r="F45" i="14" s="1"/>
  <c r="D46" i="14"/>
  <c r="F46" i="14" s="1"/>
  <c r="D47" i="14"/>
  <c r="F47" i="14" s="1"/>
  <c r="D48" i="14"/>
  <c r="F48" i="14" s="1"/>
  <c r="K48" i="14" s="1"/>
  <c r="D49" i="14"/>
  <c r="F49" i="14" s="1"/>
  <c r="D50" i="14"/>
  <c r="F50" i="14" s="1"/>
  <c r="D51" i="14"/>
  <c r="F51" i="14" s="1"/>
  <c r="D53" i="14"/>
  <c r="F53" i="14" s="1"/>
  <c r="I53" i="14" s="1"/>
  <c r="D22" i="14"/>
  <c r="B54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3" i="14"/>
  <c r="B22" i="14"/>
  <c r="K68" i="14"/>
  <c r="I68" i="14"/>
  <c r="K67" i="14"/>
  <c r="I67" i="14"/>
  <c r="K66" i="14"/>
  <c r="I66" i="14"/>
  <c r="K65" i="14"/>
  <c r="I65" i="14"/>
  <c r="K64" i="14"/>
  <c r="I64" i="14"/>
  <c r="K63" i="14"/>
  <c r="I63" i="14"/>
  <c r="K62" i="14"/>
  <c r="I62" i="14"/>
  <c r="K61" i="14"/>
  <c r="I61" i="14"/>
  <c r="K60" i="14"/>
  <c r="I60" i="14"/>
  <c r="K59" i="14"/>
  <c r="I59" i="14"/>
  <c r="K58" i="14"/>
  <c r="I58" i="14"/>
  <c r="K57" i="14"/>
  <c r="K69" i="14" s="1"/>
  <c r="I57" i="14"/>
  <c r="I69" i="14" s="1"/>
  <c r="F54" i="14"/>
  <c r="F41" i="14"/>
  <c r="F40" i="14"/>
  <c r="K40" i="14" s="1"/>
  <c r="F39" i="14"/>
  <c r="F33" i="14"/>
  <c r="F31" i="14"/>
  <c r="F24" i="14"/>
  <c r="K24" i="14" s="1"/>
  <c r="F11" i="14"/>
  <c r="D10" i="14"/>
  <c r="E10" i="14" s="1"/>
  <c r="D9" i="14"/>
  <c r="D23" i="13"/>
  <c r="F23" i="13" s="1"/>
  <c r="I23" i="13" s="1"/>
  <c r="D24" i="13"/>
  <c r="F24" i="13" s="1"/>
  <c r="D25" i="13"/>
  <c r="D26" i="13"/>
  <c r="F26" i="13" s="1"/>
  <c r="D27" i="13"/>
  <c r="F27" i="13" s="1"/>
  <c r="I27" i="13" s="1"/>
  <c r="D28" i="13"/>
  <c r="D29" i="13"/>
  <c r="F29" i="13" s="1"/>
  <c r="D30" i="13"/>
  <c r="F30" i="13" s="1"/>
  <c r="D31" i="13"/>
  <c r="D32" i="13"/>
  <c r="D33" i="13"/>
  <c r="D34" i="13"/>
  <c r="F34" i="13" s="1"/>
  <c r="D35" i="13"/>
  <c r="F35" i="13" s="1"/>
  <c r="K35" i="13" s="1"/>
  <c r="D36" i="13"/>
  <c r="F36" i="13" s="1"/>
  <c r="D37" i="13"/>
  <c r="F37" i="13" s="1"/>
  <c r="D38" i="13"/>
  <c r="F38" i="13" s="1"/>
  <c r="D39" i="13"/>
  <c r="F39" i="13" s="1"/>
  <c r="I39" i="13" s="1"/>
  <c r="D40" i="13"/>
  <c r="F40" i="13" s="1"/>
  <c r="D41" i="13"/>
  <c r="F41" i="13" s="1"/>
  <c r="D42" i="13"/>
  <c r="F42" i="13" s="1"/>
  <c r="D43" i="13"/>
  <c r="F43" i="13" s="1"/>
  <c r="I43" i="13" s="1"/>
  <c r="D44" i="13"/>
  <c r="F44" i="13" s="1"/>
  <c r="D45" i="13"/>
  <c r="D46" i="13"/>
  <c r="F46" i="13" s="1"/>
  <c r="D47" i="13"/>
  <c r="F47" i="13" s="1"/>
  <c r="I47" i="13" s="1"/>
  <c r="D48" i="13"/>
  <c r="F48" i="13" s="1"/>
  <c r="D49" i="13"/>
  <c r="D50" i="13"/>
  <c r="F50" i="13" s="1"/>
  <c r="D51" i="13"/>
  <c r="F51" i="13" s="1"/>
  <c r="K51" i="13" s="1"/>
  <c r="D53" i="13"/>
  <c r="F53" i="13" s="1"/>
  <c r="I53" i="13" s="1"/>
  <c r="F54" i="13"/>
  <c r="D22" i="13"/>
  <c r="F25" i="13"/>
  <c r="F33" i="13"/>
  <c r="F45" i="13"/>
  <c r="F49" i="13"/>
  <c r="B51" i="13"/>
  <c r="B53" i="13"/>
  <c r="B54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22" i="13"/>
  <c r="K68" i="13"/>
  <c r="I68" i="13"/>
  <c r="K67" i="13"/>
  <c r="I67" i="13"/>
  <c r="K66" i="13"/>
  <c r="I66" i="13"/>
  <c r="K65" i="13"/>
  <c r="I65" i="13"/>
  <c r="K64" i="13"/>
  <c r="I64" i="13"/>
  <c r="K63" i="13"/>
  <c r="I63" i="13"/>
  <c r="K62" i="13"/>
  <c r="I62" i="13"/>
  <c r="K61" i="13"/>
  <c r="I61" i="13"/>
  <c r="K60" i="13"/>
  <c r="I60" i="13"/>
  <c r="K59" i="13"/>
  <c r="I59" i="13"/>
  <c r="K58" i="13"/>
  <c r="I58" i="13"/>
  <c r="K57" i="13"/>
  <c r="I57" i="13"/>
  <c r="F31" i="13"/>
  <c r="K31" i="13" s="1"/>
  <c r="F28" i="13"/>
  <c r="F11" i="13"/>
  <c r="D10" i="13"/>
  <c r="E10" i="13" s="1"/>
  <c r="D9" i="13"/>
  <c r="D54" i="7"/>
  <c r="D23" i="7"/>
  <c r="F23" i="7" s="1"/>
  <c r="K23" i="7" s="1"/>
  <c r="D24" i="7"/>
  <c r="F24" i="7" s="1"/>
  <c r="D25" i="7"/>
  <c r="F25" i="7" s="1"/>
  <c r="D26" i="7"/>
  <c r="F26" i="7" s="1"/>
  <c r="K26" i="7" s="1"/>
  <c r="D27" i="7"/>
  <c r="F27" i="7" s="1"/>
  <c r="K27" i="7" s="1"/>
  <c r="D28" i="7"/>
  <c r="F28" i="7" s="1"/>
  <c r="D29" i="7"/>
  <c r="F29" i="7" s="1"/>
  <c r="D30" i="7"/>
  <c r="F30" i="7" s="1"/>
  <c r="K30" i="7" s="1"/>
  <c r="D31" i="7"/>
  <c r="F31" i="7" s="1"/>
  <c r="K31" i="7" s="1"/>
  <c r="D32" i="7"/>
  <c r="F32" i="7" s="1"/>
  <c r="D33" i="7"/>
  <c r="F33" i="7" s="1"/>
  <c r="D34" i="7"/>
  <c r="F34" i="7" s="1"/>
  <c r="K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K42" i="7" s="1"/>
  <c r="D43" i="7"/>
  <c r="F43" i="7" s="1"/>
  <c r="K43" i="7" s="1"/>
  <c r="D44" i="7"/>
  <c r="F44" i="7" s="1"/>
  <c r="D45" i="7"/>
  <c r="F45" i="7" s="1"/>
  <c r="D46" i="7"/>
  <c r="F46" i="7" s="1"/>
  <c r="K46" i="7" s="1"/>
  <c r="D47" i="7"/>
  <c r="F47" i="7" s="1"/>
  <c r="I47" i="7" s="1"/>
  <c r="D48" i="7"/>
  <c r="F48" i="7" s="1"/>
  <c r="D49" i="7"/>
  <c r="F49" i="7" s="1"/>
  <c r="D50" i="7"/>
  <c r="F50" i="7" s="1"/>
  <c r="K50" i="7" s="1"/>
  <c r="D51" i="7"/>
  <c r="F51" i="7" s="1"/>
  <c r="K51" i="7" s="1"/>
  <c r="D53" i="7"/>
  <c r="F53" i="7" s="1"/>
  <c r="D22" i="7"/>
  <c r="B50" i="7"/>
  <c r="B51" i="7"/>
  <c r="B53" i="7"/>
  <c r="B54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2" i="7"/>
  <c r="B54" i="6"/>
  <c r="F22" i="14" l="1"/>
  <c r="D21" i="14"/>
  <c r="F22" i="13"/>
  <c r="D21" i="13"/>
  <c r="F22" i="7"/>
  <c r="F21" i="7" s="1"/>
  <c r="D21" i="7"/>
  <c r="K21" i="16"/>
  <c r="K46" i="16" s="1"/>
  <c r="K50" i="16" s="1"/>
  <c r="N21" i="16"/>
  <c r="N46" i="16" s="1"/>
  <c r="N49" i="16"/>
  <c r="K52" i="15"/>
  <c r="K53" i="14"/>
  <c r="D18" i="14"/>
  <c r="I69" i="13"/>
  <c r="K69" i="13"/>
  <c r="G74" i="13" s="1"/>
  <c r="K53" i="13"/>
  <c r="K79" i="7"/>
  <c r="N135" i="17"/>
  <c r="K20" i="13"/>
  <c r="I20" i="13"/>
  <c r="I20" i="14"/>
  <c r="K20" i="14"/>
  <c r="K19" i="14"/>
  <c r="I19" i="14"/>
  <c r="F18" i="14"/>
  <c r="D11" i="15"/>
  <c r="G75" i="15"/>
  <c r="D18" i="15"/>
  <c r="E75" i="15"/>
  <c r="I20" i="15"/>
  <c r="K20" i="15"/>
  <c r="K19" i="15"/>
  <c r="I19" i="15"/>
  <c r="D21" i="15"/>
  <c r="F18" i="15"/>
  <c r="K35" i="7"/>
  <c r="I35" i="7"/>
  <c r="K22" i="14"/>
  <c r="D11" i="14"/>
  <c r="I38" i="15"/>
  <c r="K38" i="15"/>
  <c r="F23" i="15"/>
  <c r="F21" i="15" s="1"/>
  <c r="I26" i="15"/>
  <c r="K26" i="15"/>
  <c r="K33" i="15"/>
  <c r="I33" i="15"/>
  <c r="K35" i="15"/>
  <c r="I35" i="15"/>
  <c r="K41" i="15"/>
  <c r="I41" i="15"/>
  <c r="I43" i="15"/>
  <c r="K43" i="15"/>
  <c r="I50" i="15"/>
  <c r="K50" i="15"/>
  <c r="I22" i="15"/>
  <c r="K22" i="15"/>
  <c r="I30" i="15"/>
  <c r="K30" i="15"/>
  <c r="K37" i="15"/>
  <c r="I37" i="15"/>
  <c r="K45" i="15"/>
  <c r="I45" i="15"/>
  <c r="I47" i="15"/>
  <c r="K47" i="15"/>
  <c r="K25" i="15"/>
  <c r="I25" i="15"/>
  <c r="I27" i="15"/>
  <c r="K27" i="15"/>
  <c r="I34" i="15"/>
  <c r="K34" i="15"/>
  <c r="I42" i="15"/>
  <c r="K42" i="15"/>
  <c r="K49" i="15"/>
  <c r="I49" i="15"/>
  <c r="K51" i="15"/>
  <c r="I51" i="15"/>
  <c r="I54" i="15"/>
  <c r="K54" i="15"/>
  <c r="K29" i="15"/>
  <c r="I29" i="15"/>
  <c r="K31" i="15"/>
  <c r="I31" i="15"/>
  <c r="I39" i="15"/>
  <c r="K39" i="15"/>
  <c r="I46" i="15"/>
  <c r="K46" i="15"/>
  <c r="E9" i="15"/>
  <c r="E11" i="15" s="1"/>
  <c r="I24" i="15"/>
  <c r="I28" i="15"/>
  <c r="I32" i="15"/>
  <c r="I36" i="15"/>
  <c r="I40" i="15"/>
  <c r="I44" i="15"/>
  <c r="I48" i="15"/>
  <c r="I43" i="14"/>
  <c r="K33" i="14"/>
  <c r="I33" i="14"/>
  <c r="I23" i="14"/>
  <c r="K23" i="14"/>
  <c r="I30" i="14"/>
  <c r="K30" i="14"/>
  <c r="I39" i="14"/>
  <c r="K39" i="14"/>
  <c r="G74" i="14"/>
  <c r="K25" i="14"/>
  <c r="I25" i="14"/>
  <c r="I27" i="14"/>
  <c r="K27" i="14"/>
  <c r="I34" i="14"/>
  <c r="K34" i="14"/>
  <c r="K41" i="14"/>
  <c r="I41" i="14"/>
  <c r="K45" i="14"/>
  <c r="I45" i="14"/>
  <c r="I47" i="14"/>
  <c r="K47" i="14"/>
  <c r="E74" i="14"/>
  <c r="I26" i="14"/>
  <c r="K26" i="14"/>
  <c r="I35" i="14"/>
  <c r="K35" i="14"/>
  <c r="I42" i="14"/>
  <c r="K42" i="14"/>
  <c r="I46" i="14"/>
  <c r="K46" i="14"/>
  <c r="K37" i="14"/>
  <c r="I37" i="14"/>
  <c r="I50" i="14"/>
  <c r="K50" i="14"/>
  <c r="K29" i="14"/>
  <c r="I29" i="14"/>
  <c r="I31" i="14"/>
  <c r="K31" i="14"/>
  <c r="I38" i="14"/>
  <c r="K38" i="14"/>
  <c r="K49" i="14"/>
  <c r="I49" i="14"/>
  <c r="K51" i="14"/>
  <c r="I51" i="14"/>
  <c r="I54" i="14"/>
  <c r="K54" i="14"/>
  <c r="E9" i="14"/>
  <c r="E11" i="14" s="1"/>
  <c r="I24" i="14"/>
  <c r="I28" i="14"/>
  <c r="I32" i="14"/>
  <c r="I36" i="14"/>
  <c r="I40" i="14"/>
  <c r="I44" i="14"/>
  <c r="I48" i="14"/>
  <c r="D11" i="13"/>
  <c r="E9" i="13"/>
  <c r="E11" i="13" s="1"/>
  <c r="D18" i="13"/>
  <c r="F18" i="13"/>
  <c r="I19" i="13"/>
  <c r="K19" i="13"/>
  <c r="K22" i="13"/>
  <c r="I22" i="13"/>
  <c r="I29" i="13"/>
  <c r="K29" i="13"/>
  <c r="K36" i="13"/>
  <c r="I36" i="13"/>
  <c r="K38" i="13"/>
  <c r="I38" i="13"/>
  <c r="I45" i="13"/>
  <c r="K45" i="13"/>
  <c r="K24" i="13"/>
  <c r="I24" i="13"/>
  <c r="K26" i="13"/>
  <c r="I26" i="13"/>
  <c r="I33" i="13"/>
  <c r="K33" i="13"/>
  <c r="K40" i="13"/>
  <c r="I40" i="13"/>
  <c r="K42" i="13"/>
  <c r="I42" i="13"/>
  <c r="I49" i="13"/>
  <c r="K49" i="13"/>
  <c r="K28" i="13"/>
  <c r="I28" i="13"/>
  <c r="K30" i="13"/>
  <c r="I30" i="13"/>
  <c r="I37" i="13"/>
  <c r="K37" i="13"/>
  <c r="K44" i="13"/>
  <c r="I44" i="13"/>
  <c r="K46" i="13"/>
  <c r="I46" i="13"/>
  <c r="I54" i="13"/>
  <c r="K54" i="13"/>
  <c r="I25" i="13"/>
  <c r="K25" i="13"/>
  <c r="K34" i="13"/>
  <c r="I34" i="13"/>
  <c r="I41" i="13"/>
  <c r="K41" i="13"/>
  <c r="K48" i="13"/>
  <c r="I48" i="13"/>
  <c r="K50" i="13"/>
  <c r="I50" i="13"/>
  <c r="E74" i="13"/>
  <c r="I31" i="13"/>
  <c r="I35" i="13"/>
  <c r="I51" i="13"/>
  <c r="K23" i="13"/>
  <c r="K27" i="13"/>
  <c r="K39" i="13"/>
  <c r="K43" i="13"/>
  <c r="K47" i="13"/>
  <c r="K47" i="7"/>
  <c r="I39" i="7"/>
  <c r="K39" i="7"/>
  <c r="I22" i="7"/>
  <c r="K22" i="7"/>
  <c r="K49" i="7"/>
  <c r="I49" i="7"/>
  <c r="K45" i="7"/>
  <c r="I45" i="7"/>
  <c r="K41" i="7"/>
  <c r="I41" i="7"/>
  <c r="K37" i="7"/>
  <c r="I37" i="7"/>
  <c r="K33" i="7"/>
  <c r="I33" i="7"/>
  <c r="I29" i="7"/>
  <c r="K29" i="7"/>
  <c r="K25" i="7"/>
  <c r="I25" i="7"/>
  <c r="I27" i="7"/>
  <c r="I53" i="7"/>
  <c r="K53" i="7"/>
  <c r="K48" i="7"/>
  <c r="I48" i="7"/>
  <c r="I44" i="7"/>
  <c r="K44" i="7"/>
  <c r="K40" i="7"/>
  <c r="I40" i="7"/>
  <c r="K36" i="7"/>
  <c r="I36" i="7"/>
  <c r="K32" i="7"/>
  <c r="I32" i="7"/>
  <c r="K28" i="7"/>
  <c r="I28" i="7"/>
  <c r="K24" i="7"/>
  <c r="I24" i="7"/>
  <c r="K38" i="7"/>
  <c r="I38" i="7"/>
  <c r="I43" i="7"/>
  <c r="I51" i="7"/>
  <c r="I23" i="7"/>
  <c r="I31" i="7"/>
  <c r="I26" i="7"/>
  <c r="I30" i="7"/>
  <c r="I34" i="7"/>
  <c r="I42" i="7"/>
  <c r="I46" i="7"/>
  <c r="I50" i="7"/>
  <c r="I21" i="7" l="1"/>
  <c r="K21" i="7"/>
  <c r="K21" i="14"/>
  <c r="I22" i="14"/>
  <c r="I21" i="14" s="1"/>
  <c r="F21" i="14"/>
  <c r="D64" i="16"/>
  <c r="C78" i="16" s="1"/>
  <c r="K61" i="16"/>
  <c r="N50" i="16"/>
  <c r="K18" i="15"/>
  <c r="K18" i="14"/>
  <c r="I18" i="14"/>
  <c r="K18" i="13"/>
  <c r="I18" i="13"/>
  <c r="D53" i="15"/>
  <c r="D55" i="15" s="1"/>
  <c r="I18" i="15"/>
  <c r="F53" i="15"/>
  <c r="K23" i="15"/>
  <c r="K21" i="15" s="1"/>
  <c r="K53" i="15" s="1"/>
  <c r="K55" i="15" s="1"/>
  <c r="I23" i="15"/>
  <c r="I21" i="15" s="1"/>
  <c r="D66" i="16" l="1"/>
  <c r="D71" i="16" s="1"/>
  <c r="C76" i="16"/>
  <c r="C77" i="16" s="1"/>
  <c r="C80" i="16" s="1"/>
  <c r="F64" i="16"/>
  <c r="N61" i="16"/>
  <c r="D78" i="16"/>
  <c r="I53" i="15"/>
  <c r="I55" i="15" s="1"/>
  <c r="I70" i="15" s="1"/>
  <c r="G74" i="15"/>
  <c r="G76" i="15" s="1"/>
  <c r="G77" i="15" s="1"/>
  <c r="K70" i="15"/>
  <c r="F32" i="13"/>
  <c r="F21" i="13" s="1"/>
  <c r="E76" i="16" l="1"/>
  <c r="E77" i="16" s="1"/>
  <c r="E78" i="16"/>
  <c r="F78" i="16" s="1"/>
  <c r="F66" i="16"/>
  <c r="F71" i="16" s="1"/>
  <c r="D76" i="16"/>
  <c r="E74" i="15"/>
  <c r="E76" i="15" s="1"/>
  <c r="F80" i="15" s="1"/>
  <c r="D80" i="16"/>
  <c r="K32" i="13"/>
  <c r="K21" i="13" s="1"/>
  <c r="I32" i="13"/>
  <c r="I21" i="13" s="1"/>
  <c r="F76" i="16" l="1"/>
  <c r="E80" i="15"/>
  <c r="E82" i="15" s="1"/>
  <c r="E80" i="16"/>
  <c r="F80" i="16" s="1"/>
  <c r="E81" i="15"/>
  <c r="E83" i="15" s="1"/>
  <c r="F82" i="15"/>
  <c r="F81" i="15"/>
  <c r="F76" i="15"/>
  <c r="F83" i="15" l="1"/>
  <c r="F85" i="15" s="1"/>
  <c r="F84" i="15"/>
  <c r="F54" i="7" l="1"/>
  <c r="F20" i="7"/>
  <c r="K20" i="7" s="1"/>
  <c r="F19" i="7"/>
  <c r="F11" i="7"/>
  <c r="D10" i="7"/>
  <c r="E10" i="7" s="1"/>
  <c r="D9" i="7"/>
  <c r="K68" i="6"/>
  <c r="I68" i="6"/>
  <c r="K67" i="6"/>
  <c r="I67" i="6"/>
  <c r="K66" i="6"/>
  <c r="I66" i="6"/>
  <c r="K65" i="6"/>
  <c r="I65" i="6"/>
  <c r="K64" i="6"/>
  <c r="K63" i="6"/>
  <c r="I63" i="6"/>
  <c r="K62" i="6"/>
  <c r="I62" i="6"/>
  <c r="K61" i="6"/>
  <c r="I61" i="6"/>
  <c r="K60" i="6"/>
  <c r="I60" i="6"/>
  <c r="K59" i="6"/>
  <c r="I59" i="6"/>
  <c r="K58" i="6"/>
  <c r="I58" i="6"/>
  <c r="K57" i="6"/>
  <c r="I57" i="6"/>
  <c r="F20" i="6"/>
  <c r="K20" i="6" s="1"/>
  <c r="D18" i="6"/>
  <c r="F11" i="6"/>
  <c r="K69" i="6" l="1"/>
  <c r="G74" i="6" s="1"/>
  <c r="E84" i="7"/>
  <c r="F18" i="7"/>
  <c r="G84" i="7"/>
  <c r="D11" i="6"/>
  <c r="I20" i="6"/>
  <c r="F23" i="6"/>
  <c r="F27" i="6"/>
  <c r="F31" i="6"/>
  <c r="F35" i="6"/>
  <c r="F39" i="6"/>
  <c r="F43" i="6"/>
  <c r="F47" i="6"/>
  <c r="F51" i="6"/>
  <c r="F30" i="6"/>
  <c r="F42" i="6"/>
  <c r="F24" i="6"/>
  <c r="F28" i="6"/>
  <c r="F32" i="6"/>
  <c r="F36" i="6"/>
  <c r="F40" i="6"/>
  <c r="F44" i="6"/>
  <c r="F48" i="6"/>
  <c r="F53" i="6"/>
  <c r="F26" i="6"/>
  <c r="F38" i="6"/>
  <c r="F50" i="6"/>
  <c r="F25" i="6"/>
  <c r="F29" i="6"/>
  <c r="F33" i="6"/>
  <c r="F37" i="6"/>
  <c r="F41" i="6"/>
  <c r="F45" i="6"/>
  <c r="F49" i="6"/>
  <c r="F22" i="6"/>
  <c r="F21" i="6" s="1"/>
  <c r="F54" i="6"/>
  <c r="K54" i="6" s="1"/>
  <c r="F34" i="6"/>
  <c r="F46" i="6"/>
  <c r="I20" i="7"/>
  <c r="D11" i="7"/>
  <c r="D18" i="7"/>
  <c r="I64" i="6"/>
  <c r="F19" i="6"/>
  <c r="I19" i="6" s="1"/>
  <c r="I54" i="7"/>
  <c r="K54" i="7"/>
  <c r="E9" i="7"/>
  <c r="E11" i="7" s="1"/>
  <c r="I19" i="7"/>
  <c r="K19" i="7"/>
  <c r="K18" i="7" s="1"/>
  <c r="E11" i="6"/>
  <c r="I18" i="7" l="1"/>
  <c r="K39" i="6"/>
  <c r="I39" i="6"/>
  <c r="K38" i="6"/>
  <c r="I38" i="6"/>
  <c r="K40" i="6"/>
  <c r="I40" i="6"/>
  <c r="I69" i="6"/>
  <c r="E74" i="6" s="1"/>
  <c r="I18" i="6"/>
  <c r="I54" i="6"/>
  <c r="K46" i="6"/>
  <c r="I46" i="6"/>
  <c r="I28" i="6"/>
  <c r="K28" i="6"/>
  <c r="I35" i="6"/>
  <c r="K35" i="6"/>
  <c r="K24" i="6"/>
  <c r="I24" i="6"/>
  <c r="K47" i="6"/>
  <c r="I47" i="6"/>
  <c r="I31" i="6"/>
  <c r="K31" i="6"/>
  <c r="K49" i="6"/>
  <c r="I49" i="6"/>
  <c r="I33" i="6"/>
  <c r="K33" i="6"/>
  <c r="I44" i="6"/>
  <c r="K44" i="6"/>
  <c r="K51" i="6"/>
  <c r="I51" i="6"/>
  <c r="K34" i="6"/>
  <c r="I34" i="6"/>
  <c r="K45" i="6"/>
  <c r="I45" i="6"/>
  <c r="K29" i="6"/>
  <c r="I29" i="6"/>
  <c r="K26" i="6"/>
  <c r="I26" i="6"/>
  <c r="I41" i="6"/>
  <c r="K41" i="6"/>
  <c r="K25" i="6"/>
  <c r="I25" i="6"/>
  <c r="I53" i="6"/>
  <c r="K53" i="6"/>
  <c r="I36" i="6"/>
  <c r="K36" i="6"/>
  <c r="K42" i="6"/>
  <c r="I42" i="6"/>
  <c r="I43" i="6"/>
  <c r="K43" i="6"/>
  <c r="I27" i="6"/>
  <c r="K27" i="6"/>
  <c r="I22" i="6"/>
  <c r="K22" i="6"/>
  <c r="K37" i="6"/>
  <c r="I37" i="6"/>
  <c r="K50" i="6"/>
  <c r="I50" i="6"/>
  <c r="I48" i="6"/>
  <c r="K48" i="6"/>
  <c r="K32" i="6"/>
  <c r="I32" i="6"/>
  <c r="K30" i="6"/>
  <c r="I30" i="6"/>
  <c r="K23" i="6"/>
  <c r="I23" i="6"/>
  <c r="K19" i="6"/>
  <c r="K18" i="6" s="1"/>
  <c r="F18" i="6"/>
  <c r="F20" i="1"/>
  <c r="K21" i="6" l="1"/>
  <c r="I21" i="6"/>
  <c r="K47" i="1"/>
  <c r="K48" i="1"/>
  <c r="K49" i="1"/>
  <c r="K50" i="1"/>
  <c r="K51" i="1"/>
  <c r="K52" i="1"/>
  <c r="K54" i="1"/>
  <c r="K55" i="1"/>
  <c r="K56" i="1"/>
  <c r="K57" i="1"/>
  <c r="K46" i="1"/>
  <c r="I47" i="1"/>
  <c r="I48" i="1"/>
  <c r="I49" i="1"/>
  <c r="I50" i="1"/>
  <c r="I51" i="1"/>
  <c r="I52" i="1"/>
  <c r="I54" i="1"/>
  <c r="I55" i="1"/>
  <c r="I56" i="1"/>
  <c r="I57" i="1"/>
  <c r="I46" i="1"/>
  <c r="I37" i="1"/>
  <c r="I38" i="1"/>
  <c r="I39" i="1"/>
  <c r="I20" i="1"/>
  <c r="D38" i="1"/>
  <c r="D39" i="1"/>
  <c r="D29" i="1"/>
  <c r="D27" i="1"/>
  <c r="D25" i="1"/>
  <c r="D24" i="1"/>
  <c r="E34" i="5"/>
  <c r="D30" i="1"/>
  <c r="D33" i="1"/>
  <c r="D34" i="1"/>
  <c r="D26" i="1"/>
  <c r="D28" i="1"/>
  <c r="D31" i="1"/>
  <c r="D32" i="1"/>
  <c r="D35" i="1"/>
  <c r="D36" i="1"/>
  <c r="D22" i="1"/>
  <c r="B34" i="1"/>
  <c r="B35" i="1"/>
  <c r="B36" i="1"/>
  <c r="B41" i="1"/>
  <c r="B33" i="1"/>
  <c r="B31" i="1"/>
  <c r="B32" i="1"/>
  <c r="B29" i="1"/>
  <c r="B30" i="1"/>
  <c r="B28" i="1"/>
  <c r="B27" i="1"/>
  <c r="B26" i="1"/>
  <c r="B25" i="1"/>
  <c r="B23" i="1"/>
  <c r="B24" i="1"/>
  <c r="B22" i="1"/>
  <c r="H81" i="5"/>
  <c r="H66" i="5"/>
  <c r="M66" i="5" s="1"/>
  <c r="D66" i="5"/>
  <c r="D65" i="5"/>
  <c r="H65" i="5" s="1"/>
  <c r="M65" i="5" s="1"/>
  <c r="H64" i="5"/>
  <c r="M64" i="5" s="1"/>
  <c r="D64" i="5"/>
  <c r="D63" i="5"/>
  <c r="H63" i="5" s="1"/>
  <c r="M63" i="5" s="1"/>
  <c r="H62" i="5"/>
  <c r="M62" i="5" s="1"/>
  <c r="D62" i="5"/>
  <c r="G61" i="5"/>
  <c r="D61" i="5"/>
  <c r="H61" i="5" s="1"/>
  <c r="D60" i="5"/>
  <c r="H60" i="5" s="1"/>
  <c r="D59" i="5"/>
  <c r="H59" i="5" s="1"/>
  <c r="D58" i="5"/>
  <c r="H58" i="5" s="1"/>
  <c r="D57" i="5"/>
  <c r="H57" i="5" s="1"/>
  <c r="D56" i="5"/>
  <c r="H56" i="5" s="1"/>
  <c r="M55" i="5"/>
  <c r="J55" i="5"/>
  <c r="D55" i="5"/>
  <c r="H55" i="5" s="1"/>
  <c r="D54" i="5"/>
  <c r="H54" i="5" s="1"/>
  <c r="E47" i="5"/>
  <c r="E46" i="5"/>
  <c r="E45" i="5"/>
  <c r="E44" i="5"/>
  <c r="E43" i="5"/>
  <c r="E42" i="5"/>
  <c r="J41" i="5"/>
  <c r="G41" i="5"/>
  <c r="H41" i="5" s="1"/>
  <c r="M41" i="5" s="1"/>
  <c r="E41" i="5"/>
  <c r="J40" i="5"/>
  <c r="E40" i="5"/>
  <c r="J39" i="5"/>
  <c r="E37" i="5"/>
  <c r="E36" i="5"/>
  <c r="E35" i="5"/>
  <c r="J34" i="5"/>
  <c r="E33" i="5"/>
  <c r="M31" i="5"/>
  <c r="G31" i="5"/>
  <c r="H31" i="5" s="1"/>
  <c r="J31" i="5" s="1"/>
  <c r="M21" i="5"/>
  <c r="G39" i="5" s="1"/>
  <c r="H39" i="5" s="1"/>
  <c r="M39" i="5" s="1"/>
  <c r="J20" i="5"/>
  <c r="L20" i="5" s="1"/>
  <c r="J19" i="5"/>
  <c r="O94" i="4"/>
  <c r="N93" i="4"/>
  <c r="M93" i="4"/>
  <c r="L93" i="4"/>
  <c r="K93" i="4"/>
  <c r="J93" i="4"/>
  <c r="I93" i="4"/>
  <c r="H93" i="4"/>
  <c r="G93" i="4"/>
  <c r="F93" i="4"/>
  <c r="E93" i="4"/>
  <c r="D93" i="4"/>
  <c r="C93" i="4"/>
  <c r="O93" i="4" s="1"/>
  <c r="O92" i="4"/>
  <c r="N91" i="4"/>
  <c r="M91" i="4"/>
  <c r="L91" i="4"/>
  <c r="K91" i="4"/>
  <c r="J91" i="4"/>
  <c r="I91" i="4"/>
  <c r="H91" i="4"/>
  <c r="G91" i="4"/>
  <c r="F91" i="4"/>
  <c r="E91" i="4"/>
  <c r="D91" i="4"/>
  <c r="C91" i="4"/>
  <c r="O90" i="4"/>
  <c r="N89" i="4"/>
  <c r="M89" i="4"/>
  <c r="L89" i="4"/>
  <c r="K89" i="4"/>
  <c r="J89" i="4"/>
  <c r="I89" i="4"/>
  <c r="H89" i="4"/>
  <c r="G89" i="4"/>
  <c r="F89" i="4"/>
  <c r="E89" i="4"/>
  <c r="D89" i="4"/>
  <c r="C89" i="4"/>
  <c r="O88" i="4"/>
  <c r="N87" i="4"/>
  <c r="M87" i="4"/>
  <c r="L87" i="4"/>
  <c r="K87" i="4"/>
  <c r="J87" i="4"/>
  <c r="I87" i="4"/>
  <c r="H87" i="4"/>
  <c r="G87" i="4"/>
  <c r="F87" i="4"/>
  <c r="E87" i="4"/>
  <c r="D87" i="4"/>
  <c r="C87" i="4"/>
  <c r="O86" i="4"/>
  <c r="N85" i="4"/>
  <c r="M85" i="4"/>
  <c r="L85" i="4"/>
  <c r="K85" i="4"/>
  <c r="K84" i="4" s="1"/>
  <c r="J85" i="4"/>
  <c r="I85" i="4"/>
  <c r="H85" i="4"/>
  <c r="G85" i="4"/>
  <c r="G84" i="4" s="1"/>
  <c r="F85" i="4"/>
  <c r="E85" i="4"/>
  <c r="D85" i="4"/>
  <c r="C85" i="4"/>
  <c r="O85" i="4" s="1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L62" i="4"/>
  <c r="L51" i="4" s="1"/>
  <c r="L50" i="4" s="1"/>
  <c r="O61" i="4"/>
  <c r="O60" i="4"/>
  <c r="O59" i="4"/>
  <c r="O58" i="4"/>
  <c r="J57" i="4"/>
  <c r="G57" i="4"/>
  <c r="O57" i="4" s="1"/>
  <c r="O56" i="4"/>
  <c r="O55" i="4"/>
  <c r="O54" i="4"/>
  <c r="O53" i="4"/>
  <c r="O52" i="4"/>
  <c r="N51" i="4"/>
  <c r="N50" i="4" s="1"/>
  <c r="O49" i="4"/>
  <c r="O48" i="4"/>
  <c r="K48" i="4"/>
  <c r="K46" i="4" s="1"/>
  <c r="O47" i="4"/>
  <c r="N46" i="4"/>
  <c r="M46" i="4"/>
  <c r="M37" i="4" s="1"/>
  <c r="L46" i="4"/>
  <c r="J46" i="4"/>
  <c r="I46" i="4"/>
  <c r="H46" i="4"/>
  <c r="G46" i="4"/>
  <c r="F46" i="4"/>
  <c r="E46" i="4"/>
  <c r="E37" i="4" s="1"/>
  <c r="D46" i="4"/>
  <c r="C46" i="4"/>
  <c r="O45" i="4"/>
  <c r="O44" i="4"/>
  <c r="O43" i="4"/>
  <c r="O42" i="4"/>
  <c r="O41" i="4"/>
  <c r="O40" i="4"/>
  <c r="O39" i="4"/>
  <c r="N38" i="4"/>
  <c r="M38" i="4"/>
  <c r="L38" i="4"/>
  <c r="K38" i="4"/>
  <c r="J38" i="4"/>
  <c r="I38" i="4"/>
  <c r="I37" i="4" s="1"/>
  <c r="H38" i="4"/>
  <c r="H37" i="4" s="1"/>
  <c r="G38" i="4"/>
  <c r="G37" i="4" s="1"/>
  <c r="F38" i="4"/>
  <c r="E38" i="4"/>
  <c r="D38" i="4"/>
  <c r="D37" i="4" s="1"/>
  <c r="C38" i="4"/>
  <c r="C37" i="4" s="1"/>
  <c r="N37" i="4"/>
  <c r="L37" i="4"/>
  <c r="J37" i="4"/>
  <c r="F37" i="4"/>
  <c r="O36" i="4"/>
  <c r="N35" i="4"/>
  <c r="N34" i="4" s="1"/>
  <c r="M35" i="4"/>
  <c r="L35" i="4"/>
  <c r="K35" i="4"/>
  <c r="K34" i="4" s="1"/>
  <c r="J35" i="4"/>
  <c r="J34" i="4" s="1"/>
  <c r="I35" i="4"/>
  <c r="H35" i="4"/>
  <c r="G35" i="4"/>
  <c r="F35" i="4"/>
  <c r="F34" i="4" s="1"/>
  <c r="E35" i="4"/>
  <c r="E34" i="4" s="1"/>
  <c r="D35" i="4"/>
  <c r="C35" i="4"/>
  <c r="M34" i="4"/>
  <c r="L34" i="4"/>
  <c r="I34" i="4"/>
  <c r="H34" i="4"/>
  <c r="G34" i="4"/>
  <c r="D34" i="4"/>
  <c r="C34" i="4"/>
  <c r="O32" i="4"/>
  <c r="N31" i="4"/>
  <c r="M31" i="4"/>
  <c r="L31" i="4"/>
  <c r="L27" i="4" s="1"/>
  <c r="K31" i="4"/>
  <c r="J31" i="4"/>
  <c r="I31" i="4"/>
  <c r="H31" i="4"/>
  <c r="G31" i="4"/>
  <c r="F31" i="4"/>
  <c r="E31" i="4"/>
  <c r="D31" i="4"/>
  <c r="D27" i="4" s="1"/>
  <c r="C31" i="4"/>
  <c r="O30" i="4"/>
  <c r="O29" i="4"/>
  <c r="N28" i="4"/>
  <c r="M28" i="4"/>
  <c r="M27" i="4" s="1"/>
  <c r="L28" i="4"/>
  <c r="K28" i="4"/>
  <c r="K27" i="4" s="1"/>
  <c r="J28" i="4"/>
  <c r="J27" i="4" s="1"/>
  <c r="I28" i="4"/>
  <c r="I27" i="4" s="1"/>
  <c r="H28" i="4"/>
  <c r="G28" i="4"/>
  <c r="F28" i="4"/>
  <c r="F27" i="4" s="1"/>
  <c r="E28" i="4"/>
  <c r="E27" i="4" s="1"/>
  <c r="D28" i="4"/>
  <c r="C28" i="4"/>
  <c r="N27" i="4"/>
  <c r="H27" i="4"/>
  <c r="G27" i="4"/>
  <c r="C27" i="4"/>
  <c r="O26" i="4"/>
  <c r="N25" i="4"/>
  <c r="M25" i="4"/>
  <c r="L25" i="4"/>
  <c r="L24" i="4" s="1"/>
  <c r="K25" i="4"/>
  <c r="J25" i="4"/>
  <c r="I25" i="4"/>
  <c r="I24" i="4" s="1"/>
  <c r="H25" i="4"/>
  <c r="H24" i="4" s="1"/>
  <c r="G25" i="4"/>
  <c r="G24" i="4" s="1"/>
  <c r="F25" i="4"/>
  <c r="E25" i="4"/>
  <c r="D25" i="4"/>
  <c r="D24" i="4" s="1"/>
  <c r="C25" i="4"/>
  <c r="C24" i="4" s="1"/>
  <c r="N24" i="4"/>
  <c r="M24" i="4"/>
  <c r="K24" i="4"/>
  <c r="J24" i="4"/>
  <c r="F24" i="4"/>
  <c r="E24" i="4"/>
  <c r="O23" i="4"/>
  <c r="N22" i="4"/>
  <c r="N11" i="4" s="1"/>
  <c r="N10" i="4" s="1"/>
  <c r="M22" i="4"/>
  <c r="L22" i="4"/>
  <c r="K22" i="4"/>
  <c r="J22" i="4"/>
  <c r="I22" i="4"/>
  <c r="H22" i="4"/>
  <c r="G22" i="4"/>
  <c r="F22" i="4"/>
  <c r="F11" i="4" s="1"/>
  <c r="F10" i="4" s="1"/>
  <c r="E22" i="4"/>
  <c r="D22" i="4"/>
  <c r="C22" i="4"/>
  <c r="O21" i="4"/>
  <c r="N20" i="4"/>
  <c r="M20" i="4"/>
  <c r="L20" i="4"/>
  <c r="K20" i="4"/>
  <c r="J20" i="4"/>
  <c r="I20" i="4"/>
  <c r="H20" i="4"/>
  <c r="G20" i="4"/>
  <c r="F20" i="4"/>
  <c r="E20" i="4"/>
  <c r="D20" i="4"/>
  <c r="C20" i="4"/>
  <c r="O20" i="4" s="1"/>
  <c r="O19" i="4"/>
  <c r="O18" i="4"/>
  <c r="N17" i="4"/>
  <c r="M17" i="4"/>
  <c r="L17" i="4"/>
  <c r="K17" i="4"/>
  <c r="J17" i="4"/>
  <c r="I17" i="4"/>
  <c r="H17" i="4"/>
  <c r="G17" i="4"/>
  <c r="F17" i="4"/>
  <c r="E17" i="4"/>
  <c r="D17" i="4"/>
  <c r="C17" i="4"/>
  <c r="O16" i="4"/>
  <c r="O15" i="4"/>
  <c r="O14" i="4"/>
  <c r="O13" i="4"/>
  <c r="N12" i="4"/>
  <c r="M12" i="4"/>
  <c r="M11" i="4" s="1"/>
  <c r="L12" i="4"/>
  <c r="K12" i="4"/>
  <c r="J12" i="4"/>
  <c r="I12" i="4"/>
  <c r="I11" i="4" s="1"/>
  <c r="H12" i="4"/>
  <c r="G12" i="4"/>
  <c r="F12" i="4"/>
  <c r="E12" i="4"/>
  <c r="E11" i="4" s="1"/>
  <c r="D12" i="4"/>
  <c r="C12" i="4"/>
  <c r="J11" i="4"/>
  <c r="C11" i="4" l="1"/>
  <c r="O12" i="4"/>
  <c r="O17" i="4"/>
  <c r="O46" i="4"/>
  <c r="D84" i="4"/>
  <c r="H84" i="4"/>
  <c r="L84" i="4"/>
  <c r="O89" i="4"/>
  <c r="D11" i="4"/>
  <c r="D10" i="4" s="1"/>
  <c r="H11" i="4"/>
  <c r="H10" i="4" s="1"/>
  <c r="H62" i="4" s="1"/>
  <c r="H51" i="4" s="1"/>
  <c r="H50" i="4" s="1"/>
  <c r="H33" i="4" s="1"/>
  <c r="H95" i="4" s="1"/>
  <c r="L11" i="4"/>
  <c r="L10" i="4" s="1"/>
  <c r="O25" i="4"/>
  <c r="O31" i="4"/>
  <c r="K37" i="4"/>
  <c r="O37" i="4" s="1"/>
  <c r="L33" i="4"/>
  <c r="F84" i="4"/>
  <c r="J84" i="4"/>
  <c r="N84" i="4"/>
  <c r="N33" i="4" s="1"/>
  <c r="N95" i="4" s="1"/>
  <c r="E84" i="4"/>
  <c r="I84" i="4"/>
  <c r="M84" i="4"/>
  <c r="O91" i="4"/>
  <c r="G44" i="5"/>
  <c r="H44" i="5" s="1"/>
  <c r="J44" i="5" s="1"/>
  <c r="J10" i="4"/>
  <c r="G11" i="4"/>
  <c r="G10" i="4" s="1"/>
  <c r="K11" i="4"/>
  <c r="K10" i="4" s="1"/>
  <c r="K62" i="4" s="1"/>
  <c r="K51" i="4" s="1"/>
  <c r="K50" i="4" s="1"/>
  <c r="K33" i="4" s="1"/>
  <c r="O28" i="4"/>
  <c r="O35" i="4"/>
  <c r="C84" i="4"/>
  <c r="O87" i="4"/>
  <c r="D23" i="1"/>
  <c r="D19" i="1"/>
  <c r="G36" i="5"/>
  <c r="H36" i="5" s="1"/>
  <c r="G40" i="5"/>
  <c r="H40" i="5" s="1"/>
  <c r="M40" i="5" s="1"/>
  <c r="J62" i="5"/>
  <c r="J63" i="5"/>
  <c r="J64" i="5"/>
  <c r="J65" i="5"/>
  <c r="J66" i="5"/>
  <c r="G42" i="5"/>
  <c r="H42" i="5" s="1"/>
  <c r="J42" i="5" s="1"/>
  <c r="G46" i="5"/>
  <c r="H46" i="5" s="1"/>
  <c r="M46" i="5" s="1"/>
  <c r="J21" i="5"/>
  <c r="G43" i="5"/>
  <c r="H43" i="5" s="1"/>
  <c r="J43" i="5" s="1"/>
  <c r="G47" i="5"/>
  <c r="H47" i="5" s="1"/>
  <c r="J47" i="5" s="1"/>
  <c r="K20" i="1"/>
  <c r="E32" i="5"/>
  <c r="J58" i="5"/>
  <c r="M58" i="5"/>
  <c r="J59" i="5"/>
  <c r="M59" i="5"/>
  <c r="J36" i="5"/>
  <c r="M36" i="5"/>
  <c r="J54" i="5"/>
  <c r="M54" i="5"/>
  <c r="H53" i="5"/>
  <c r="H67" i="5" s="1"/>
  <c r="J56" i="5"/>
  <c r="M56" i="5"/>
  <c r="J60" i="5"/>
  <c r="M60" i="5"/>
  <c r="J57" i="5"/>
  <c r="M57" i="5"/>
  <c r="J61" i="5"/>
  <c r="M61" i="5"/>
  <c r="L19" i="5"/>
  <c r="L21" i="5" s="1"/>
  <c r="G34" i="5"/>
  <c r="H34" i="5" s="1"/>
  <c r="M34" i="5" s="1"/>
  <c r="G33" i="5"/>
  <c r="H33" i="5" s="1"/>
  <c r="G35" i="5"/>
  <c r="H35" i="5" s="1"/>
  <c r="G37" i="5"/>
  <c r="H37" i="5" s="1"/>
  <c r="G45" i="5"/>
  <c r="H45" i="5" s="1"/>
  <c r="F62" i="4"/>
  <c r="F51" i="4" s="1"/>
  <c r="F50" i="4" s="1"/>
  <c r="F33" i="4" s="1"/>
  <c r="F95" i="4" s="1"/>
  <c r="D62" i="4"/>
  <c r="D51" i="4" s="1"/>
  <c r="D50" i="4" s="1"/>
  <c r="D33" i="4" s="1"/>
  <c r="D95" i="4" s="1"/>
  <c r="J62" i="4"/>
  <c r="J51" i="4" s="1"/>
  <c r="J50" i="4" s="1"/>
  <c r="J33" i="4" s="1"/>
  <c r="J95" i="4" s="1"/>
  <c r="E10" i="4"/>
  <c r="I10" i="4"/>
  <c r="M10" i="4"/>
  <c r="O27" i="4"/>
  <c r="C10" i="4"/>
  <c r="O11" i="4"/>
  <c r="G62" i="4"/>
  <c r="O84" i="4"/>
  <c r="O24" i="4"/>
  <c r="O22" i="4"/>
  <c r="G51" i="4"/>
  <c r="G50" i="4" s="1"/>
  <c r="G33" i="4" s="1"/>
  <c r="G95" i="4" s="1"/>
  <c r="O34" i="4"/>
  <c r="O38" i="4"/>
  <c r="K95" i="4" l="1"/>
  <c r="L95" i="4"/>
  <c r="J46" i="5"/>
  <c r="M43" i="5"/>
  <c r="E30" i="5"/>
  <c r="G30" i="5" s="1"/>
  <c r="H30" i="5" s="1"/>
  <c r="M47" i="5"/>
  <c r="M37" i="5"/>
  <c r="J37" i="5"/>
  <c r="M35" i="5"/>
  <c r="J35" i="5"/>
  <c r="M33" i="5"/>
  <c r="H32" i="5"/>
  <c r="J33" i="5"/>
  <c r="M53" i="5"/>
  <c r="M67" i="5" s="1"/>
  <c r="M45" i="5"/>
  <c r="J45" i="5"/>
  <c r="J53" i="5"/>
  <c r="J67" i="5" s="1"/>
  <c r="C62" i="4"/>
  <c r="O10" i="4"/>
  <c r="I62" i="4"/>
  <c r="I51" i="4" s="1"/>
  <c r="I50" i="4" s="1"/>
  <c r="I33" i="4" s="1"/>
  <c r="I95" i="4" s="1"/>
  <c r="M62" i="4"/>
  <c r="M51" i="4" s="1"/>
  <c r="M50" i="4" s="1"/>
  <c r="M33" i="4" s="1"/>
  <c r="M95" i="4" s="1"/>
  <c r="E62" i="4"/>
  <c r="E51" i="4" s="1"/>
  <c r="E50" i="4" s="1"/>
  <c r="E33" i="4" s="1"/>
  <c r="E95" i="4" s="1"/>
  <c r="E29" i="5" l="1"/>
  <c r="E48" i="5" s="1"/>
  <c r="E49" i="5" s="1"/>
  <c r="J30" i="5"/>
  <c r="J29" i="5" s="1"/>
  <c r="H29" i="5"/>
  <c r="H48" i="5" s="1"/>
  <c r="M42" i="5" s="1"/>
  <c r="M32" i="5" s="1"/>
  <c r="M30" i="5"/>
  <c r="M29" i="5" s="1"/>
  <c r="G77" i="5"/>
  <c r="E77" i="5"/>
  <c r="J32" i="5"/>
  <c r="O62" i="4"/>
  <c r="C51" i="4"/>
  <c r="E50" i="5" l="1"/>
  <c r="M48" i="5"/>
  <c r="M49" i="5" s="1"/>
  <c r="H49" i="5"/>
  <c r="J48" i="5"/>
  <c r="J50" i="5" s="1"/>
  <c r="E51" i="5"/>
  <c r="H50" i="5"/>
  <c r="O51" i="4"/>
  <c r="C50" i="4"/>
  <c r="G76" i="5" l="1"/>
  <c r="G78" i="5" s="1"/>
  <c r="G79" i="5" s="1"/>
  <c r="G80" i="5" s="1"/>
  <c r="G81" i="5" s="1"/>
  <c r="H51" i="5"/>
  <c r="H68" i="5" s="1"/>
  <c r="M50" i="5"/>
  <c r="M51" i="5" s="1"/>
  <c r="M68" i="5" s="1"/>
  <c r="J49" i="5"/>
  <c r="J51" i="5" s="1"/>
  <c r="O50" i="4"/>
  <c r="C33" i="4"/>
  <c r="K34" i="5" l="1"/>
  <c r="K40" i="5"/>
  <c r="K46" i="5"/>
  <c r="K45" i="5"/>
  <c r="E76" i="5"/>
  <c r="E84" i="5" s="1"/>
  <c r="I76" i="5" s="1"/>
  <c r="K44" i="5"/>
  <c r="K47" i="5"/>
  <c r="K37" i="5"/>
  <c r="K50" i="5"/>
  <c r="K41" i="5"/>
  <c r="K42" i="5"/>
  <c r="K30" i="5"/>
  <c r="K36" i="5"/>
  <c r="J68" i="5"/>
  <c r="K39" i="5"/>
  <c r="K31" i="5"/>
  <c r="K43" i="5"/>
  <c r="K35" i="5"/>
  <c r="K33" i="5"/>
  <c r="K49" i="5"/>
  <c r="E85" i="5"/>
  <c r="J76" i="5" s="1"/>
  <c r="O33" i="4"/>
  <c r="C95" i="4"/>
  <c r="O95" i="4" s="1"/>
  <c r="F76" i="5" l="1"/>
  <c r="E78" i="5"/>
  <c r="E79" i="5" s="1"/>
  <c r="E80" i="5" s="1"/>
  <c r="E81" i="5" s="1"/>
  <c r="H80" i="5"/>
  <c r="J77" i="5"/>
  <c r="J78" i="5" s="1"/>
  <c r="I77" i="5"/>
  <c r="I78" i="5" s="1"/>
  <c r="H79" i="5"/>
  <c r="F77" i="5"/>
  <c r="F78" i="5" l="1"/>
  <c r="F79" i="5" s="1"/>
  <c r="F82" i="5" l="1"/>
  <c r="E133" i="2" l="1"/>
  <c r="I133" i="2" s="1"/>
  <c r="D129" i="2"/>
  <c r="E119" i="2"/>
  <c r="C118" i="2"/>
  <c r="F116" i="2"/>
  <c r="F115" i="2"/>
  <c r="F114" i="2"/>
  <c r="E105" i="2"/>
  <c r="E104" i="2"/>
  <c r="E103" i="2"/>
  <c r="E102" i="2"/>
  <c r="E101" i="2"/>
  <c r="F133" i="2" s="1"/>
  <c r="J133" i="2" s="1"/>
  <c r="G95" i="2"/>
  <c r="H95" i="2" s="1"/>
  <c r="F95" i="2"/>
  <c r="G94" i="2"/>
  <c r="H94" i="2" s="1"/>
  <c r="F94" i="2"/>
  <c r="G93" i="2"/>
  <c r="H93" i="2" s="1"/>
  <c r="F93" i="2"/>
  <c r="G92" i="2"/>
  <c r="H92" i="2" s="1"/>
  <c r="F92" i="2"/>
  <c r="H91" i="2"/>
  <c r="G91" i="2"/>
  <c r="F91" i="2"/>
  <c r="G90" i="2"/>
  <c r="H90" i="2" s="1"/>
  <c r="F90" i="2"/>
  <c r="G89" i="2"/>
  <c r="H89" i="2" s="1"/>
  <c r="F89" i="2"/>
  <c r="G88" i="2"/>
  <c r="H88" i="2" s="1"/>
  <c r="F88" i="2"/>
  <c r="G87" i="2"/>
  <c r="H87" i="2" s="1"/>
  <c r="F87" i="2"/>
  <c r="G86" i="2"/>
  <c r="H86" i="2" s="1"/>
  <c r="F86" i="2"/>
  <c r="G85" i="2"/>
  <c r="H85" i="2" s="1"/>
  <c r="F85" i="2"/>
  <c r="G84" i="2"/>
  <c r="H84" i="2" s="1"/>
  <c r="F84" i="2"/>
  <c r="G83" i="2"/>
  <c r="H83" i="2" s="1"/>
  <c r="F83" i="2"/>
  <c r="G82" i="2"/>
  <c r="H82" i="2" s="1"/>
  <c r="F82" i="2"/>
  <c r="G81" i="2"/>
  <c r="F81" i="2"/>
  <c r="G53" i="2"/>
  <c r="G52" i="2"/>
  <c r="H52" i="2" s="1"/>
  <c r="K47" i="2"/>
  <c r="L47" i="2" s="1"/>
  <c r="H47" i="2"/>
  <c r="G47" i="2"/>
  <c r="I47" i="2" s="1"/>
  <c r="H46" i="2"/>
  <c r="K46" i="2" s="1"/>
  <c r="L46" i="2" s="1"/>
  <c r="G46" i="2"/>
  <c r="I46" i="2" s="1"/>
  <c r="K44" i="2"/>
  <c r="L44" i="2" s="1"/>
  <c r="H44" i="2"/>
  <c r="G44" i="2"/>
  <c r="I44" i="2" s="1"/>
  <c r="H38" i="2"/>
  <c r="K38" i="2" s="1"/>
  <c r="L38" i="2" s="1"/>
  <c r="G38" i="2"/>
  <c r="I38" i="2" s="1"/>
  <c r="K37" i="2"/>
  <c r="L37" i="2" s="1"/>
  <c r="H37" i="2"/>
  <c r="G37" i="2"/>
  <c r="I37" i="2" s="1"/>
  <c r="L36" i="2"/>
  <c r="K36" i="2"/>
  <c r="H36" i="2"/>
  <c r="G36" i="2"/>
  <c r="I36" i="2" s="1"/>
  <c r="K35" i="2"/>
  <c r="L35" i="2" s="1"/>
  <c r="H35" i="2"/>
  <c r="G35" i="2"/>
  <c r="I35" i="2" s="1"/>
  <c r="K34" i="2"/>
  <c r="L34" i="2" s="1"/>
  <c r="I34" i="2"/>
  <c r="H34" i="2"/>
  <c r="G34" i="2"/>
  <c r="K33" i="2"/>
  <c r="L33" i="2" s="1"/>
  <c r="H33" i="2"/>
  <c r="G33" i="2"/>
  <c r="I33" i="2" s="1"/>
  <c r="G32" i="2"/>
  <c r="D32" i="2"/>
  <c r="I32" i="2" s="1"/>
  <c r="K31" i="2"/>
  <c r="L31" i="2" s="1"/>
  <c r="H31" i="2"/>
  <c r="G31" i="2"/>
  <c r="I31" i="2" s="1"/>
  <c r="K29" i="2"/>
  <c r="L29" i="2" s="1"/>
  <c r="F29" i="2"/>
  <c r="H29" i="2" s="1"/>
  <c r="F28" i="2"/>
  <c r="G28" i="2" s="1"/>
  <c r="I28" i="2" s="1"/>
  <c r="F27" i="2"/>
  <c r="H27" i="2" s="1"/>
  <c r="K27" i="2" s="1"/>
  <c r="L27" i="2" s="1"/>
  <c r="H26" i="2"/>
  <c r="K26" i="2" s="1"/>
  <c r="L26" i="2" s="1"/>
  <c r="F26" i="2"/>
  <c r="G26" i="2" s="1"/>
  <c r="I26" i="2" s="1"/>
  <c r="M13" i="2"/>
  <c r="N13" i="2" s="1"/>
  <c r="N12" i="2"/>
  <c r="M12" i="2"/>
  <c r="M11" i="2"/>
  <c r="N11" i="2" s="1"/>
  <c r="F53" i="1"/>
  <c r="D10" i="1"/>
  <c r="E10" i="1" s="1"/>
  <c r="D9" i="1"/>
  <c r="H28" i="2" l="1"/>
  <c r="K28" i="2" s="1"/>
  <c r="L28" i="2" s="1"/>
  <c r="G96" i="2"/>
  <c r="K95" i="2" s="1"/>
  <c r="K53" i="1"/>
  <c r="K45" i="1" s="1"/>
  <c r="I53" i="1"/>
  <c r="K30" i="1"/>
  <c r="I30" i="1"/>
  <c r="I28" i="1"/>
  <c r="D21" i="1"/>
  <c r="D11" i="1"/>
  <c r="I67" i="2"/>
  <c r="E72" i="2" s="1"/>
  <c r="G27" i="2"/>
  <c r="I27" i="2" s="1"/>
  <c r="G29" i="2"/>
  <c r="I29" i="2" s="1"/>
  <c r="H32" i="2"/>
  <c r="G54" i="2"/>
  <c r="G55" i="2" s="1"/>
  <c r="H81" i="2"/>
  <c r="H96" i="2" s="1"/>
  <c r="E9" i="1"/>
  <c r="D18" i="1"/>
  <c r="E11" i="1" l="1"/>
  <c r="F11" i="1"/>
  <c r="E81" i="1" s="1"/>
  <c r="F81" i="1" s="1"/>
  <c r="D40" i="1"/>
  <c r="D43" i="1" s="1"/>
  <c r="H67" i="2"/>
  <c r="D72" i="2" s="1"/>
  <c r="K32" i="2"/>
  <c r="E73" i="2"/>
  <c r="E74" i="2"/>
  <c r="E75" i="2" s="1"/>
  <c r="I45" i="1"/>
  <c r="I58" i="1" s="1"/>
  <c r="D65" i="1" s="1"/>
  <c r="D66" i="1" s="1"/>
  <c r="C77" i="1" s="1"/>
  <c r="K58" i="1"/>
  <c r="E65" i="1" s="1"/>
  <c r="E66" i="1" s="1"/>
  <c r="E77" i="1" s="1"/>
  <c r="F77" i="1" s="1"/>
  <c r="F41" i="1" l="1"/>
  <c r="F42" i="1"/>
  <c r="F37" i="1"/>
  <c r="K37" i="1" s="1"/>
  <c r="F22" i="1"/>
  <c r="F30" i="1"/>
  <c r="F33" i="1"/>
  <c r="F38" i="1"/>
  <c r="K38" i="1" s="1"/>
  <c r="F25" i="1"/>
  <c r="F29" i="1"/>
  <c r="F24" i="1"/>
  <c r="F35" i="1"/>
  <c r="F31" i="1"/>
  <c r="F39" i="1"/>
  <c r="K39" i="1" s="1"/>
  <c r="F36" i="1"/>
  <c r="F27" i="1"/>
  <c r="F26" i="1"/>
  <c r="F32" i="1"/>
  <c r="F28" i="1"/>
  <c r="K28" i="1" s="1"/>
  <c r="F34" i="1"/>
  <c r="F19" i="1"/>
  <c r="F23" i="1"/>
  <c r="E12" i="1"/>
  <c r="G10" i="1"/>
  <c r="G9" i="1"/>
  <c r="G8" i="1"/>
  <c r="G11" i="1"/>
  <c r="D159" i="2"/>
  <c r="G159" i="2" s="1"/>
  <c r="D158" i="2"/>
  <c r="G158" i="2" s="1"/>
  <c r="D157" i="2"/>
  <c r="G157" i="2" s="1"/>
  <c r="D156" i="2"/>
  <c r="G156" i="2" s="1"/>
  <c r="D155" i="2"/>
  <c r="G155" i="2" s="1"/>
  <c r="D154" i="2"/>
  <c r="G154" i="2" s="1"/>
  <c r="D74" i="2"/>
  <c r="D73" i="2"/>
  <c r="D75" i="2" s="1"/>
  <c r="L32" i="2"/>
  <c r="K67" i="2"/>
  <c r="K29" i="1" l="1"/>
  <c r="I29" i="1"/>
  <c r="K34" i="1"/>
  <c r="I34" i="1"/>
  <c r="K33" i="1"/>
  <c r="I33" i="1"/>
  <c r="K31" i="1"/>
  <c r="I31" i="1"/>
  <c r="I32" i="1"/>
  <c r="K32" i="1"/>
  <c r="I25" i="1"/>
  <c r="K25" i="1"/>
  <c r="K36" i="1"/>
  <c r="I36" i="1"/>
  <c r="I23" i="1"/>
  <c r="K23" i="1"/>
  <c r="I26" i="1"/>
  <c r="K26" i="1"/>
  <c r="I41" i="1"/>
  <c r="K41" i="1"/>
  <c r="K35" i="1"/>
  <c r="I35" i="1"/>
  <c r="I24" i="1"/>
  <c r="K24" i="1"/>
  <c r="I27" i="1"/>
  <c r="K27" i="1"/>
  <c r="K42" i="1"/>
  <c r="I42" i="1"/>
  <c r="K19" i="1"/>
  <c r="K18" i="1" s="1"/>
  <c r="I19" i="1"/>
  <c r="I18" i="1" s="1"/>
  <c r="F18" i="1"/>
  <c r="I22" i="1"/>
  <c r="K22" i="1"/>
  <c r="F21" i="1"/>
  <c r="C159" i="2"/>
  <c r="F159" i="2" s="1"/>
  <c r="C154" i="2"/>
  <c r="F154" i="2" s="1"/>
  <c r="C158" i="2"/>
  <c r="F158" i="2" s="1"/>
  <c r="C155" i="2"/>
  <c r="F155" i="2" s="1"/>
  <c r="K94" i="2"/>
  <c r="K96" i="2" s="1"/>
  <c r="L96" i="2" s="1"/>
  <c r="M96" i="2" s="1"/>
  <c r="C157" i="2"/>
  <c r="F157" i="2" s="1"/>
  <c r="C156" i="2"/>
  <c r="F156" i="2" s="1"/>
  <c r="K156" i="2"/>
  <c r="M156" i="2"/>
  <c r="I156" i="2"/>
  <c r="L67" i="2"/>
  <c r="G72" i="2" s="1"/>
  <c r="F72" i="2"/>
  <c r="K157" i="2"/>
  <c r="M157" i="2"/>
  <c r="I157" i="2"/>
  <c r="K155" i="2"/>
  <c r="M155" i="2"/>
  <c r="I155" i="2"/>
  <c r="K154" i="2"/>
  <c r="O154" i="2" s="1"/>
  <c r="M154" i="2"/>
  <c r="I154" i="2"/>
  <c r="K158" i="2"/>
  <c r="M158" i="2"/>
  <c r="I158" i="2"/>
  <c r="K159" i="2"/>
  <c r="M159" i="2"/>
  <c r="I159" i="2"/>
  <c r="F40" i="1" l="1"/>
  <c r="F43" i="1" s="1"/>
  <c r="K21" i="1"/>
  <c r="K40" i="1" s="1"/>
  <c r="K43" i="1" s="1"/>
  <c r="E64" i="1" s="1"/>
  <c r="I21" i="1"/>
  <c r="I40" i="1" s="1"/>
  <c r="I43" i="1" s="1"/>
  <c r="D64" i="1" s="1"/>
  <c r="G74" i="2"/>
  <c r="G73" i="2"/>
  <c r="H156" i="2"/>
  <c r="J156" i="2"/>
  <c r="L156" i="2"/>
  <c r="J158" i="2"/>
  <c r="L158" i="2"/>
  <c r="H158" i="2"/>
  <c r="O158" i="2"/>
  <c r="J157" i="2"/>
  <c r="L157" i="2"/>
  <c r="H157" i="2"/>
  <c r="H154" i="2"/>
  <c r="J154" i="2"/>
  <c r="L154" i="2"/>
  <c r="O159" i="2"/>
  <c r="O157" i="2"/>
  <c r="J159" i="2"/>
  <c r="L159" i="2"/>
  <c r="H159" i="2"/>
  <c r="O155" i="2"/>
  <c r="F74" i="2"/>
  <c r="F73" i="2"/>
  <c r="F75" i="2" s="1"/>
  <c r="O156" i="2"/>
  <c r="L155" i="2"/>
  <c r="H155" i="2"/>
  <c r="J155" i="2"/>
  <c r="N155" i="2" s="1"/>
  <c r="G75" i="2" l="1"/>
  <c r="E78" i="1"/>
  <c r="E67" i="1"/>
  <c r="E73" i="1" s="1"/>
  <c r="C78" i="1"/>
  <c r="D67" i="1"/>
  <c r="D73" i="1" s="1"/>
  <c r="E79" i="1"/>
  <c r="F78" i="1"/>
  <c r="K59" i="1"/>
  <c r="I59" i="1"/>
  <c r="C148" i="2"/>
  <c r="F148" i="2" s="1"/>
  <c r="C146" i="2"/>
  <c r="F146" i="2" s="1"/>
  <c r="F113" i="2"/>
  <c r="C147" i="2"/>
  <c r="F147" i="2" s="1"/>
  <c r="C145" i="2"/>
  <c r="F145" i="2" s="1"/>
  <c r="C143" i="2"/>
  <c r="F143" i="2" s="1"/>
  <c r="C133" i="2"/>
  <c r="G133" i="2" s="1"/>
  <c r="K133" i="2" s="1"/>
  <c r="M133" i="2" s="1"/>
  <c r="D119" i="2"/>
  <c r="E120" i="2" s="1"/>
  <c r="C144" i="2"/>
  <c r="F144" i="2" s="1"/>
  <c r="D133" i="2"/>
  <c r="H133" i="2" s="1"/>
  <c r="L133" i="2" s="1"/>
  <c r="D148" i="2"/>
  <c r="G148" i="2" s="1"/>
  <c r="D147" i="2"/>
  <c r="G147" i="2" s="1"/>
  <c r="D146" i="2"/>
  <c r="G146" i="2" s="1"/>
  <c r="D145" i="2"/>
  <c r="G145" i="2" s="1"/>
  <c r="D144" i="2"/>
  <c r="G144" i="2" s="1"/>
  <c r="D143" i="2"/>
  <c r="G143" i="2" s="1"/>
  <c r="N156" i="2"/>
  <c r="N159" i="2"/>
  <c r="N154" i="2"/>
  <c r="N157" i="2"/>
  <c r="N158" i="2"/>
  <c r="C80" i="1" l="1"/>
  <c r="E72" i="1"/>
  <c r="K144" i="2"/>
  <c r="M144" i="2"/>
  <c r="I144" i="2"/>
  <c r="K148" i="2"/>
  <c r="M148" i="2"/>
  <c r="I148" i="2"/>
  <c r="K145" i="2"/>
  <c r="O145" i="2" s="1"/>
  <c r="M145" i="2"/>
  <c r="I145" i="2"/>
  <c r="J143" i="2"/>
  <c r="L143" i="2"/>
  <c r="H143" i="2"/>
  <c r="H146" i="2"/>
  <c r="J146" i="2"/>
  <c r="L146" i="2"/>
  <c r="K143" i="2"/>
  <c r="M143" i="2"/>
  <c r="I143" i="2"/>
  <c r="K147" i="2"/>
  <c r="O147" i="2" s="1"/>
  <c r="M147" i="2"/>
  <c r="I147" i="2"/>
  <c r="J147" i="2"/>
  <c r="L147" i="2"/>
  <c r="H147" i="2"/>
  <c r="K146" i="2"/>
  <c r="M146" i="2"/>
  <c r="I146" i="2"/>
  <c r="H144" i="2"/>
  <c r="J144" i="2"/>
  <c r="L144" i="2"/>
  <c r="J145" i="2"/>
  <c r="N145" i="2" s="1"/>
  <c r="L145" i="2"/>
  <c r="H145" i="2"/>
  <c r="L148" i="2"/>
  <c r="H148" i="2"/>
  <c r="J148" i="2"/>
  <c r="N147" i="2" l="1"/>
  <c r="N146" i="2"/>
  <c r="N143" i="2"/>
  <c r="N144" i="2"/>
  <c r="O146" i="2"/>
  <c r="O144" i="2"/>
  <c r="N148" i="2"/>
  <c r="O143" i="2"/>
  <c r="O148" i="2"/>
  <c r="D78" i="1" l="1"/>
  <c r="C79" i="1"/>
  <c r="C81" i="1"/>
  <c r="D81" i="1" s="1"/>
  <c r="D80" i="1"/>
  <c r="D77" i="1"/>
  <c r="C82" i="1" l="1"/>
  <c r="D82" i="1" s="1"/>
  <c r="E80" i="1"/>
  <c r="E82" i="1" s="1"/>
  <c r="F82" i="1" s="1"/>
  <c r="F80" i="1" l="1"/>
  <c r="I52" i="6" l="1"/>
  <c r="I55" i="6" s="1"/>
  <c r="E73" i="6" s="1"/>
  <c r="E75" i="6" s="1"/>
  <c r="E80" i="6" l="1"/>
  <c r="E82" i="6" s="1"/>
  <c r="E79" i="6"/>
  <c r="I70" i="6"/>
  <c r="E81" i="6" l="1"/>
  <c r="F75" i="6"/>
  <c r="K52" i="6"/>
  <c r="K55" i="6" s="1"/>
  <c r="G73" i="6" l="1"/>
  <c r="G75" i="6" s="1"/>
  <c r="K70" i="6"/>
  <c r="D52" i="6"/>
  <c r="D55" i="6" s="1"/>
  <c r="F52" i="6"/>
  <c r="D52" i="7"/>
  <c r="D55" i="7" s="1"/>
  <c r="F52" i="7"/>
  <c r="I52" i="7"/>
  <c r="I55" i="7" s="1"/>
  <c r="I80" i="7" l="1"/>
  <c r="E83" i="7"/>
  <c r="E85" i="7" s="1"/>
  <c r="E89" i="7" l="1"/>
  <c r="E90" i="7"/>
  <c r="E92" i="7" s="1"/>
  <c r="F89" i="7"/>
  <c r="F90" i="7" l="1"/>
  <c r="F91" i="7"/>
  <c r="F93" i="7" s="1"/>
  <c r="E91" i="7"/>
  <c r="F85" i="7"/>
  <c r="K52" i="7"/>
  <c r="K55" i="7"/>
  <c r="K80" i="7" s="1"/>
  <c r="F92" i="7" l="1"/>
  <c r="F94" i="7" s="1"/>
  <c r="G83" i="7"/>
  <c r="G85" i="7" s="1"/>
  <c r="G86" i="7" s="1"/>
  <c r="D52" i="13"/>
  <c r="D55" i="13" s="1"/>
  <c r="F52" i="13"/>
  <c r="I52" i="13"/>
  <c r="I55" i="13" s="1"/>
  <c r="E73" i="13" l="1"/>
  <c r="E75" i="13" s="1"/>
  <c r="I70" i="13"/>
  <c r="E79" i="13" l="1"/>
  <c r="E80" i="13"/>
  <c r="E82" i="13" s="1"/>
  <c r="F79" i="13"/>
  <c r="F80" i="13" l="1"/>
  <c r="F81" i="13"/>
  <c r="F83" i="13" s="1"/>
  <c r="F75" i="13"/>
  <c r="E81" i="13"/>
  <c r="F82" i="13" l="1"/>
  <c r="F84" i="13" s="1"/>
  <c r="K52" i="13"/>
  <c r="K55" i="13" s="1"/>
  <c r="G73" i="13" s="1"/>
  <c r="G75" i="13" s="1"/>
  <c r="G76" i="13" s="1"/>
  <c r="K70" i="13" l="1"/>
  <c r="D52" i="14"/>
  <c r="D55" i="14" s="1"/>
  <c r="F52" i="14"/>
  <c r="I52" i="14"/>
  <c r="I55" i="14"/>
  <c r="E73" i="14" s="1"/>
  <c r="E75" i="14" s="1"/>
  <c r="E79" i="14" l="1"/>
  <c r="F79" i="14"/>
  <c r="E80" i="14"/>
  <c r="E82" i="14" s="1"/>
  <c r="I70" i="14"/>
  <c r="F80" i="14" l="1"/>
  <c r="F81" i="14"/>
  <c r="F75" i="14"/>
  <c r="E81" i="14"/>
  <c r="F83" i="14" l="1"/>
  <c r="F82" i="14"/>
  <c r="F84" i="14" s="1"/>
  <c r="K52" i="14"/>
  <c r="K55" i="14" s="1"/>
  <c r="G73" i="14" l="1"/>
  <c r="G75" i="14" s="1"/>
  <c r="G76" i="14" s="1"/>
  <c r="K70" i="14"/>
  <c r="D39" i="19" l="1"/>
  <c r="J89" i="19" l="1"/>
  <c r="J91" i="19" l="1"/>
  <c r="K89" i="19"/>
  <c r="K78" i="19"/>
  <c r="K80" i="19" s="1"/>
  <c r="M81" i="19" l="1"/>
  <c r="K81" i="19"/>
  <c r="K91" i="19"/>
  <c r="J94" i="19"/>
  <c r="K94" i="19" s="1"/>
  <c r="K113" i="19" l="1"/>
  <c r="K108" i="19"/>
  <c r="J112" i="19" s="1"/>
  <c r="J116" i="19" s="1"/>
  <c r="K116" i="19" s="1"/>
  <c r="K102" i="19" l="1"/>
  <c r="K104" i="19" s="1"/>
  <c r="K105" i="19" s="1"/>
  <c r="K109" i="19"/>
  <c r="K114" i="19"/>
  <c r="J115" i="19"/>
  <c r="J117" i="19"/>
  <c r="K117" i="19" s="1"/>
  <c r="K115" i="19" l="1"/>
  <c r="J118" i="19"/>
  <c r="K118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Duran Facusse</author>
  </authors>
  <commentList>
    <comment ref="B13" authorId="0" shapeId="0" xr:uid="{00000000-0006-0000-0000-000001000000}">
      <text>
        <r>
          <rPr>
            <sz val="8"/>
            <color indexed="81"/>
            <rFont val="Tahoma"/>
            <family val="2"/>
          </rPr>
          <t>Aquellos costos que no cambian. Son independientes de la cantidad de alumnos que asistan al evento de capacitación.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Duran Facusse</author>
    <author>asandi</author>
  </authors>
  <commentList>
    <comment ref="B20" authorId="0" shapeId="0" xr:uid="{00000000-0006-0000-1300-000001000000}">
      <text>
        <r>
          <rPr>
            <sz val="8"/>
            <color indexed="81"/>
            <rFont val="Tahoma"/>
            <family val="2"/>
          </rPr>
          <t>Aquellos costos que no cambian. Son independientes de la cantidad de alumnos que asistan al evento de capacitación.</t>
        </r>
      </text>
    </comment>
    <comment ref="B101" authorId="1" shapeId="0" xr:uid="{00000000-0006-0000-1300-000002000000}">
      <text>
        <r>
          <rPr>
            <b/>
            <sz val="9"/>
            <color indexed="81"/>
            <rFont val="Tahoma"/>
            <family val="2"/>
          </rPr>
          <t>asandi:</t>
        </r>
        <r>
          <rPr>
            <sz val="9"/>
            <color indexed="81"/>
            <rFont val="Tahoma"/>
            <family val="2"/>
          </rPr>
          <t xml:space="preserve">
Este alumno paga cada modulo 820 Bs.</t>
        </r>
      </text>
    </comment>
    <comment ref="B102" authorId="1" shapeId="0" xr:uid="{00000000-0006-0000-1300-000003000000}">
      <text>
        <r>
          <rPr>
            <b/>
            <sz val="9"/>
            <color indexed="81"/>
            <rFont val="Tahoma"/>
            <family val="2"/>
          </rPr>
          <t>asandi:</t>
        </r>
        <r>
          <rPr>
            <sz val="9"/>
            <color indexed="81"/>
            <rFont val="Tahoma"/>
            <family val="2"/>
          </rPr>
          <t xml:space="preserve">
Este alumno pago al contado todo el especialista y se le desconto el 10% </t>
        </r>
      </text>
    </comment>
    <comment ref="B103" authorId="1" shapeId="0" xr:uid="{00000000-0006-0000-1300-000004000000}">
      <text>
        <r>
          <rPr>
            <b/>
            <sz val="9"/>
            <color indexed="81"/>
            <rFont val="Tahoma"/>
            <family val="2"/>
          </rPr>
          <t>asandi:</t>
        </r>
        <r>
          <rPr>
            <sz val="9"/>
            <color indexed="81"/>
            <rFont val="Tahoma"/>
            <family val="2"/>
          </rPr>
          <t xml:space="preserve">
Este Alumno vino en grupo y se le dio un descuento de 10 % y Bs. 100 extra</t>
        </r>
      </text>
    </comment>
    <comment ref="B104" authorId="1" shapeId="0" xr:uid="{00000000-0006-0000-1300-000005000000}">
      <text>
        <r>
          <rPr>
            <b/>
            <sz val="9"/>
            <color indexed="81"/>
            <rFont val="Tahoma"/>
            <family val="2"/>
          </rPr>
          <t>asandi:</t>
        </r>
        <r>
          <rPr>
            <sz val="9"/>
            <color indexed="81"/>
            <rFont val="Tahoma"/>
            <family val="2"/>
          </rPr>
          <t xml:space="preserve">
Este Alumno convalido su primer modulo por Bs. 150 y cancelo Bs. 820 por cada modulo restante</t>
        </r>
      </text>
    </comment>
    <comment ref="B105" authorId="1" shapeId="0" xr:uid="{00000000-0006-0000-1300-000006000000}">
      <text>
        <r>
          <rPr>
            <b/>
            <sz val="9"/>
            <color indexed="81"/>
            <rFont val="Tahoma"/>
            <family val="2"/>
          </rPr>
          <t>asandi:</t>
        </r>
        <r>
          <rPr>
            <sz val="9"/>
            <color indexed="81"/>
            <rFont val="Tahoma"/>
            <family val="2"/>
          </rPr>
          <t xml:space="preserve">
Este alumno es un becado de la institución y tiene un 80% de descuento asi que paga Bs. 164 por cada modulo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Duran Facusse</author>
  </authors>
  <commentList>
    <comment ref="B13" authorId="0" shapeId="0" xr:uid="{00000000-0006-0000-0100-000001000000}">
      <text>
        <r>
          <rPr>
            <sz val="8"/>
            <color indexed="81"/>
            <rFont val="Tahoma"/>
            <family val="2"/>
          </rPr>
          <t>Aquellos costos que no cambian. Son independientes de la cantidad de alumnos que asistan al evento de capacitación.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Duran Facusse</author>
  </authors>
  <commentList>
    <comment ref="B13" authorId="0" shapeId="0" xr:uid="{00000000-0006-0000-0600-000001000000}">
      <text>
        <r>
          <rPr>
            <sz val="8"/>
            <color indexed="81"/>
            <rFont val="Tahoma"/>
            <family val="2"/>
          </rPr>
          <t>Aquellos costos que no cambian. Son independientes de la cantidad de alumnos que asistan al evento de capacitación.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Duran Facusse</author>
    <author>uuscamayta</author>
  </authors>
  <commentList>
    <comment ref="B13" authorId="0" shapeId="0" xr:uid="{00000000-0006-0000-0800-000001000000}">
      <text>
        <r>
          <rPr>
            <sz val="8"/>
            <color indexed="81"/>
            <rFont val="Tahoma"/>
            <family val="2"/>
          </rPr>
          <t>Aquellos costos que no cambian. Son independientes de la cantidad de alumnos que asistan al evento de capacitación.</t>
        </r>
      </text>
    </comment>
    <comment ref="F70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Es el sueldo del personal interno por día que es igual al sueldo dividido entre 22 días</t>
        </r>
      </text>
    </comment>
    <comment ref="B73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incluye tiempo preparación de auditoria, seguimiento a ensayos, elaboración informe final, elaboración informe resumen, revisión plan de acciones correctivas, presentación informe a CONCER</t>
        </r>
      </text>
    </comment>
    <comment ref="B74" authorId="1" shapeId="0" xr:uid="{00000000-0006-0000-0800-000004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Incluye tiempo de preparación para auditoria, y apoyo en la elaboración del informe final</t>
        </r>
      </text>
    </comment>
    <comment ref="B75" authorId="1" shapeId="0" xr:uid="{00000000-0006-0000-0800-000005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incluye tiempo de preparación para la auditoria y tiempo de apoyo al auditor líder en elaboración del informe final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asandi</author>
    <author>uuscamayta</author>
  </authors>
  <commentList>
    <comment ref="D1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asandi:</t>
        </r>
        <r>
          <rPr>
            <sz val="9"/>
            <color indexed="81"/>
            <rFont val="Tahoma"/>
            <family val="2"/>
          </rPr>
          <t xml:space="preserve">
Tipo de Sistema que se audita, ISO 9001, 14001,18001</t>
        </r>
      </text>
    </comment>
    <comment ref="D1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asandi:</t>
        </r>
        <r>
          <rPr>
            <sz val="9"/>
            <color indexed="81"/>
            <rFont val="Tahoma"/>
            <family val="2"/>
          </rPr>
          <t xml:space="preserve">
Se refiere a las ciudades donde puede efectuarse la auditoria, puede ser una sola ciudad o varias</t>
        </r>
      </text>
    </comment>
    <comment ref="D2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 xml:space="preserve">asandi: </t>
        </r>
        <r>
          <rPr>
            <sz val="9"/>
            <color indexed="81"/>
            <rFont val="Tahoma"/>
            <family val="2"/>
          </rPr>
          <t xml:space="preserve">Todos aquellos costos que se efectuan en una auditoria y que no dependen del tipo de auditoria ni de la ciudad en la que se realicen 
</t>
        </r>
      </text>
    </comment>
    <comment ref="F38" authorId="1" shapeId="0" xr:uid="{00000000-0006-0000-0A00-000004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sueldo del personal por día es igual al sueldo del mes dividido entre 22 días y lo mismo para los otros casos</t>
        </r>
      </text>
    </comment>
    <comment ref="F45" authorId="1" shapeId="0" xr:uid="{00000000-0006-0000-0A00-000005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Este monto sería el sueldo de un personal de administración dividido entre 22 día que tiene el mes)</t>
        </r>
      </text>
    </comment>
    <comment ref="G65" authorId="1" shapeId="0" xr:uid="{00000000-0006-0000-0A00-000006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Es el sueldo del personal interno por día que es igual al sueldo dividido entre 22 días</t>
        </r>
      </text>
    </comment>
    <comment ref="D68" authorId="1" shapeId="0" xr:uid="{00000000-0006-0000-0A00-000007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incluye tiempo preparación de auditoria, seguimiento a ensayos, elaboración informe final, elaboración informe resumen, revisión plan de acciones correctivas, presentación informe a CONCER</t>
        </r>
      </text>
    </comment>
    <comment ref="D69" authorId="1" shapeId="0" xr:uid="{00000000-0006-0000-0A00-000008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Incluye tiempo de preparación para auditoria, y apoyo en la elaboración del informe final</t>
        </r>
      </text>
    </comment>
    <comment ref="D70" authorId="1" shapeId="0" xr:uid="{00000000-0006-0000-0A00-000009000000}">
      <text>
        <r>
          <rPr>
            <b/>
            <sz val="9"/>
            <color indexed="81"/>
            <rFont val="Tahoma"/>
            <family val="2"/>
          </rPr>
          <t>uuscamayta:</t>
        </r>
        <r>
          <rPr>
            <sz val="9"/>
            <color indexed="81"/>
            <rFont val="Tahoma"/>
            <family val="2"/>
          </rPr>
          <t xml:space="preserve">
incluye tiempo de preparación para la auditoria y tiempo de apoyo al auditor líder en elaboración del informe final</t>
        </r>
      </text>
    </comment>
    <comment ref="E9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asandi:</t>
        </r>
        <r>
          <rPr>
            <sz val="9"/>
            <color indexed="81"/>
            <rFont val="Tahoma"/>
            <family val="2"/>
          </rPr>
          <t xml:space="preserve">
Solo se toma en cuanta  a los auditores calificados, no a los auditores en practica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Duran Facusse</author>
  </authors>
  <commentList>
    <comment ref="B13" authorId="0" shapeId="0" xr:uid="{00000000-0006-0000-0B00-000001000000}">
      <text>
        <r>
          <rPr>
            <sz val="8"/>
            <color indexed="81"/>
            <rFont val="Tahoma"/>
            <family val="2"/>
          </rPr>
          <t>Aquellos costos que no cambian. Son independientes de la cantidad de alumnos que asistan al evento de capacitación.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Duran Facusse</author>
  </authors>
  <commentList>
    <comment ref="B13" authorId="0" shapeId="0" xr:uid="{00000000-0006-0000-0D00-000001000000}">
      <text>
        <r>
          <rPr>
            <sz val="8"/>
            <color indexed="81"/>
            <rFont val="Tahoma"/>
            <family val="2"/>
          </rPr>
          <t>Aquellos costos que no cambian. Son independientes de la cantidad de alumnos que asistan al evento de capacitación.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Duran Facusse</author>
  </authors>
  <commentList>
    <comment ref="B13" authorId="0" shapeId="0" xr:uid="{00000000-0006-0000-0F00-000001000000}">
      <text>
        <r>
          <rPr>
            <sz val="8"/>
            <color indexed="81"/>
            <rFont val="Tahoma"/>
            <family val="2"/>
          </rPr>
          <t>Aquellos costos que no cambian. Son independientes de la cantidad de alumnos que asistan al evento de capacitación.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Duran Facusse</author>
  </authors>
  <commentList>
    <comment ref="B22" authorId="0" shapeId="0" xr:uid="{00000000-0006-0000-1100-000001000000}">
      <text>
        <r>
          <rPr>
            <sz val="8"/>
            <color indexed="81"/>
            <rFont val="Tahoma"/>
            <family val="2"/>
          </rPr>
          <t>Aquellos costos que no cambian. Son independientes de la cantidad de alumnos que asistan al evento de capacitación.</t>
        </r>
      </text>
    </comment>
  </commentList>
</comments>
</file>

<file path=xl/sharedStrings.xml><?xml version="1.0" encoding="utf-8"?>
<sst xmlns="http://schemas.openxmlformats.org/spreadsheetml/2006/main" count="4216" uniqueCount="591">
  <si>
    <t>Instituto Boliviano de Normalización y Calidad</t>
  </si>
  <si>
    <t>PLANTILLA</t>
  </si>
  <si>
    <t xml:space="preserve">CALCULO DE PRESUPUESTO PARA EVENTOS IBNORCA </t>
  </si>
  <si>
    <t xml:space="preserve">Curso: </t>
  </si>
  <si>
    <t>PFGC 1 fundamentos</t>
  </si>
  <si>
    <t>La Paz</t>
  </si>
  <si>
    <t>Docente:</t>
  </si>
  <si>
    <t>Cochabamba</t>
  </si>
  <si>
    <t>Regional:</t>
  </si>
  <si>
    <t>Santa Cruz</t>
  </si>
  <si>
    <t>Fechas:</t>
  </si>
  <si>
    <t>Del</t>
  </si>
  <si>
    <t>Al</t>
  </si>
  <si>
    <t xml:space="preserve">Sueldo SEC </t>
  </si>
  <si>
    <t>Direccion Nac.</t>
  </si>
  <si>
    <t>A</t>
  </si>
  <si>
    <t>Detalle</t>
  </si>
  <si>
    <t>Cant.</t>
  </si>
  <si>
    <t>Administra.</t>
  </si>
  <si>
    <t>Ninguna</t>
  </si>
  <si>
    <t>Horas</t>
  </si>
  <si>
    <t>Dias</t>
  </si>
  <si>
    <t>Norma ISO 9000</t>
  </si>
  <si>
    <t>Refrigerios x Dia</t>
  </si>
  <si>
    <t>Norma ISO 9001</t>
  </si>
  <si>
    <t xml:space="preserve">Docentes / Facilitadores </t>
  </si>
  <si>
    <t>año</t>
  </si>
  <si>
    <t>mes</t>
  </si>
  <si>
    <t>Norma ISO 14001</t>
  </si>
  <si>
    <t>El Alto</t>
  </si>
  <si>
    <t>cursos varios</t>
  </si>
  <si>
    <t>Tipo de Cambio :</t>
  </si>
  <si>
    <t>cursos cortos por año</t>
  </si>
  <si>
    <t>Norma ISO 22001</t>
  </si>
  <si>
    <t>cursos largos</t>
  </si>
  <si>
    <t>B</t>
  </si>
  <si>
    <t>COSTOS DEL EVENTO DE CAPACITACION</t>
  </si>
  <si>
    <t>B1</t>
  </si>
  <si>
    <t xml:space="preserve">COSTOS FIJOS </t>
  </si>
  <si>
    <t>B2</t>
  </si>
  <si>
    <t>DETALLE</t>
  </si>
  <si>
    <t>CANTIDAD</t>
  </si>
  <si>
    <t>IMPORTE TOTAL MENSUAL</t>
  </si>
  <si>
    <t>UNIDAD</t>
  </si>
  <si>
    <t>COSTO UNITARIO</t>
  </si>
  <si>
    <t>COSTO TOTAL</t>
  </si>
  <si>
    <t>FUERA EN IBNORCA</t>
  </si>
  <si>
    <t>FUERA DE IBNORCA</t>
  </si>
  <si>
    <t>BOB</t>
  </si>
  <si>
    <t>IBN (S/N)</t>
  </si>
  <si>
    <t xml:space="preserve">COSTO FIJO </t>
  </si>
  <si>
    <t>GASTOS EN PERSONAL</t>
  </si>
  <si>
    <t>Sueldo y Salario SEC</t>
  </si>
  <si>
    <t>semana</t>
  </si>
  <si>
    <t>S</t>
  </si>
  <si>
    <t xml:space="preserve">Honorarios por Docencia </t>
  </si>
  <si>
    <t>hrs</t>
  </si>
  <si>
    <t>N</t>
  </si>
  <si>
    <t>GASTOS DE OPERACIÓN</t>
  </si>
  <si>
    <t xml:space="preserve">         MATERIAL DE ESCRITORIO</t>
  </si>
  <si>
    <t>s</t>
  </si>
  <si>
    <t xml:space="preserve">         SERVICIOS EXTERNOS  </t>
  </si>
  <si>
    <t xml:space="preserve">         SERVICIO DE COURIER</t>
  </si>
  <si>
    <t xml:space="preserve">         SERVICIOS Y COMUNICACIONES</t>
  </si>
  <si>
    <t xml:space="preserve">         SERVICIO DE SEGURIDAD</t>
  </si>
  <si>
    <t xml:space="preserve">         ALQUILER OTROS</t>
  </si>
  <si>
    <t>n</t>
  </si>
  <si>
    <t>PASAJES Y VIATICOS</t>
  </si>
  <si>
    <t xml:space="preserve">Hotel (Hospedaje) </t>
  </si>
  <si>
    <t xml:space="preserve">         GASTOS VARIOS</t>
  </si>
  <si>
    <t xml:space="preserve">         GASTOS MOVILIDAD</t>
  </si>
  <si>
    <t xml:space="preserve">         SERVICIOS Y MATERIAL DE LIMPIEZA</t>
  </si>
  <si>
    <t xml:space="preserve">   </t>
  </si>
  <si>
    <t xml:space="preserve">         SUSCRIPCIONES Y CUOTAS</t>
  </si>
  <si>
    <t xml:space="preserve">         MEJORAS Y ARREGLOS A LAS INSTALACIONES</t>
  </si>
  <si>
    <t xml:space="preserve">         SERVICIOS PUBLICITARIOS</t>
  </si>
  <si>
    <t>TOTAL COSTO FIJO</t>
  </si>
  <si>
    <t xml:space="preserve">         GASTOS SA</t>
  </si>
  <si>
    <t>del costo total</t>
  </si>
  <si>
    <t xml:space="preserve">         GASTOS DN</t>
  </si>
  <si>
    <t>TOTAL COSTO FIJO+OTROS GASTOS</t>
  </si>
  <si>
    <t>COSTO VARIABLE</t>
  </si>
  <si>
    <t>MATERIAL PARA LOS CURSOS</t>
  </si>
  <si>
    <t>Carpetas</t>
  </si>
  <si>
    <t>Texto (presentación)</t>
  </si>
  <si>
    <t>PRESENTACION</t>
  </si>
  <si>
    <t>Certificados</t>
  </si>
  <si>
    <t>Lapiceros</t>
  </si>
  <si>
    <t>CD</t>
  </si>
  <si>
    <t>Hojas A4</t>
  </si>
  <si>
    <t>Marcadores de agua</t>
  </si>
  <si>
    <t>Fotocopias</t>
  </si>
  <si>
    <t>Norma 9000</t>
  </si>
  <si>
    <t>Otra Norma</t>
  </si>
  <si>
    <t>REFRIGERIOS CURSOS-COMITÉS-OTROS</t>
  </si>
  <si>
    <t>Otros</t>
  </si>
  <si>
    <t>TOTAL COSTO VARIABLE</t>
  </si>
  <si>
    <t>UTILIDAD MÍNIMA</t>
  </si>
  <si>
    <t>IMPUESTOS</t>
  </si>
  <si>
    <t xml:space="preserve">CANTIDAD DE ALUMNOS minima </t>
  </si>
  <si>
    <t>EN IBNORCA</t>
  </si>
  <si>
    <t>COSTOS</t>
  </si>
  <si>
    <t>INGRESO</t>
  </si>
  <si>
    <t>MARGEN DE GANANCIA 15%</t>
  </si>
  <si>
    <t>PRECIO DE VENTA CON FACTURA 13%</t>
  </si>
  <si>
    <t>PRECIO CON IT 3%</t>
  </si>
  <si>
    <t>PRECIO DE VENTA</t>
  </si>
  <si>
    <t>OPCION A</t>
  </si>
  <si>
    <t>IMPORTE</t>
  </si>
  <si>
    <t>OPCION B</t>
  </si>
  <si>
    <t xml:space="preserve">PUNTO DE EQUILIBRIO </t>
  </si>
  <si>
    <t>CANTIDAD A</t>
  </si>
  <si>
    <t>CANTIDAD B</t>
  </si>
  <si>
    <t xml:space="preserve">COSTOS FIJOS EN INSTALACIONES DE IBNORCA </t>
  </si>
  <si>
    <t>USD</t>
  </si>
  <si>
    <t xml:space="preserve">Sueldo y Salario Director </t>
  </si>
  <si>
    <t>dias</t>
  </si>
  <si>
    <t xml:space="preserve">Sueldo y Salario Ejecutica de Ventas </t>
  </si>
  <si>
    <t>dia</t>
  </si>
  <si>
    <t xml:space="preserve">Sueldo y Salario Coordinador </t>
  </si>
  <si>
    <t>Sueldo y Salario Profesionales 1</t>
  </si>
  <si>
    <t>Sueldo y Salario Profesionales 2</t>
  </si>
  <si>
    <t xml:space="preserve">Sueldo y Salario Administrativo </t>
  </si>
  <si>
    <t>Semana</t>
  </si>
  <si>
    <t xml:space="preserve">Honorarios por Docencia del exterior </t>
  </si>
  <si>
    <t>Viáticos</t>
  </si>
  <si>
    <t>Día</t>
  </si>
  <si>
    <t xml:space="preserve">Pasajes Aereos - Terrestres </t>
  </si>
  <si>
    <t>Ida &amp; Vuelta</t>
  </si>
  <si>
    <t>Gastos de Terminal</t>
  </si>
  <si>
    <t xml:space="preserve">Material de escritorio </t>
  </si>
  <si>
    <t>Paquete de (4u)</t>
  </si>
  <si>
    <t>Servicio Externos (Plataforma)</t>
  </si>
  <si>
    <t xml:space="preserve">Servicios y Comunicaciones </t>
  </si>
  <si>
    <t xml:space="preserve">Atención de Refrigerio </t>
  </si>
  <si>
    <t xml:space="preserve">Alquiler de Oficina </t>
  </si>
  <si>
    <t xml:space="preserve">Otros Alquileres </t>
  </si>
  <si>
    <t>Dia</t>
  </si>
  <si>
    <t xml:space="preserve">Servicio de Seguridad </t>
  </si>
  <si>
    <t>Gastos de Movilidad</t>
  </si>
  <si>
    <t>Tramo</t>
  </si>
  <si>
    <t xml:space="preserve">Servicios de Publicidad </t>
  </si>
  <si>
    <t>Publicación</t>
  </si>
  <si>
    <t>sec</t>
  </si>
  <si>
    <t>oi</t>
  </si>
  <si>
    <t>tcs</t>
  </si>
  <si>
    <t>tcp</t>
  </si>
  <si>
    <t>tlq</t>
  </si>
  <si>
    <t>nio</t>
  </si>
  <si>
    <t xml:space="preserve">ptto ing </t>
  </si>
  <si>
    <t xml:space="preserve">         ALQUILER OFICINAS</t>
  </si>
  <si>
    <t xml:space="preserve">         IMPUESTO A LAS TRANSACCIONES</t>
  </si>
  <si>
    <t>TOTAL</t>
  </si>
  <si>
    <t>RESUMEN DE COSTOS FIJOS</t>
  </si>
  <si>
    <t>Costos Totales</t>
  </si>
  <si>
    <t>Costos de Dirección Nacional</t>
  </si>
  <si>
    <t>Costos por Imprevistos</t>
  </si>
  <si>
    <t>COSTOS FIJOS TOTALES</t>
  </si>
  <si>
    <t>B3</t>
  </si>
  <si>
    <t>COSTOS TOTALES POR ALUMNO</t>
  </si>
  <si>
    <t>DETALLE DE MATERIAL DEL CURSO</t>
  </si>
  <si>
    <t>UTILIZA ? S/N</t>
  </si>
  <si>
    <t>Anillado</t>
  </si>
  <si>
    <t xml:space="preserve">Refrigerio </t>
  </si>
  <si>
    <t>Marcador de transparencias</t>
  </si>
  <si>
    <t>Acetatos</t>
  </si>
  <si>
    <t>Hojas de Rotafolio</t>
  </si>
  <si>
    <t>C</t>
  </si>
  <si>
    <t>INGRESOS POR ALUMNO</t>
  </si>
  <si>
    <t>Precio del Curso Alumno tipo A</t>
  </si>
  <si>
    <t>Precio del Curso Alumno tipo B</t>
  </si>
  <si>
    <t>Precio del Curso Alumno tipo C</t>
  </si>
  <si>
    <t>Precio del Curso Alumno tipo D</t>
  </si>
  <si>
    <t>Precio del Curso Alumno tipo E</t>
  </si>
  <si>
    <t>D</t>
  </si>
  <si>
    <t>ANÁLISIS DE FACTIBILIDAD DE APERTURA DE UN CURSO</t>
  </si>
  <si>
    <t>Suponiendo que todos los alumnos pagan a Bs.</t>
  </si>
  <si>
    <t>cuantos alumnos se necesitan para abrir el curso?</t>
  </si>
  <si>
    <t>Cantidad de Alumnos  tipo A</t>
  </si>
  <si>
    <t>Resp.</t>
  </si>
  <si>
    <t>Alumnos</t>
  </si>
  <si>
    <t>Cantidad de Alumnos  tipo B</t>
  </si>
  <si>
    <t>Cantidad de Alumnos  tipo C</t>
  </si>
  <si>
    <t>Cantidad de Alumnos  tipo D</t>
  </si>
  <si>
    <t>Cantidad de Alumnos  tipo E</t>
  </si>
  <si>
    <t>Total de Alumnos</t>
  </si>
  <si>
    <t>El curso puede abrirse?</t>
  </si>
  <si>
    <t>E</t>
  </si>
  <si>
    <t>DETALLE DE UTILIDAD POR EL CURSO</t>
  </si>
  <si>
    <t>Número de Alumnos Inscritos</t>
  </si>
  <si>
    <t xml:space="preserve">DETALLE </t>
  </si>
  <si>
    <t>INGRESO TOTAL</t>
  </si>
  <si>
    <t>UTILIDAD BRUTA</t>
  </si>
  <si>
    <t>UTILIDAD NETA</t>
  </si>
  <si>
    <t>% de UTILIDAD</t>
  </si>
  <si>
    <t>Curso de Capacitación</t>
  </si>
  <si>
    <t>F1</t>
  </si>
  <si>
    <t>CURSO IN COMPANY FUERA DE IBNORCA</t>
  </si>
  <si>
    <t>Cantidad de Alumnos que pasaran el curso</t>
  </si>
  <si>
    <t>% UTILIDAD ESPERADA</t>
  </si>
  <si>
    <t xml:space="preserve">PRECIO FINAL </t>
  </si>
  <si>
    <t>PRECIO P/ALUMNO</t>
  </si>
  <si>
    <t>F2</t>
  </si>
  <si>
    <t>CURSO IN COMPANY EN INSTALACIONES DE IBNORCA</t>
  </si>
  <si>
    <t>IBNORCA ©</t>
  </si>
  <si>
    <r>
      <rPr>
        <b/>
        <sz val="12"/>
        <color theme="1"/>
        <rFont val="Calibri"/>
        <family val="2"/>
        <scheme val="minor"/>
      </rPr>
      <t>Código:</t>
    </r>
    <r>
      <rPr>
        <sz val="12"/>
        <color theme="1"/>
        <rFont val="Calibri"/>
        <family val="2"/>
        <scheme val="minor"/>
      </rPr>
      <t xml:space="preserve"> PLT-SEC-01. 02</t>
    </r>
  </si>
  <si>
    <t>V: 2016-08-01</t>
  </si>
  <si>
    <t>Página 1 de 9</t>
  </si>
  <si>
    <t xml:space="preserve">PRESUPUESTO </t>
  </si>
  <si>
    <t xml:space="preserve">AREA : </t>
  </si>
  <si>
    <t>PLAN DE CUENTAS</t>
  </si>
  <si>
    <t>EJE ENE</t>
  </si>
  <si>
    <t xml:space="preserve">EJE FEB </t>
  </si>
  <si>
    <t xml:space="preserve">EJE MAR </t>
  </si>
  <si>
    <t>EJE ABR</t>
  </si>
  <si>
    <t xml:space="preserve">EJE MAY </t>
  </si>
  <si>
    <t>EJE JUN</t>
  </si>
  <si>
    <t xml:space="preserve">EJE JUL </t>
  </si>
  <si>
    <t>EJE AGO</t>
  </si>
  <si>
    <t>EJE SEP</t>
  </si>
  <si>
    <t xml:space="preserve">EJE OCT </t>
  </si>
  <si>
    <t xml:space="preserve">EJE NOV </t>
  </si>
  <si>
    <t>DIC</t>
  </si>
  <si>
    <t>4-00-00-00</t>
  </si>
  <si>
    <t>INGRESOS</t>
  </si>
  <si>
    <t>4-01-00-00</t>
  </si>
  <si>
    <t xml:space="preserve">   INGRESOS OPERATIVOS</t>
  </si>
  <si>
    <t>4-01-01-00</t>
  </si>
  <si>
    <t xml:space="preserve">      INGRESOS POR SERVICIOS</t>
  </si>
  <si>
    <t>4-01-01-01</t>
  </si>
  <si>
    <t xml:space="preserve">         INGRESOS POR CERTIFICACION OI</t>
  </si>
  <si>
    <t>4-01-01-03</t>
  </si>
  <si>
    <t xml:space="preserve">         INGRESOS POR CERTIFICACION SELLO</t>
  </si>
  <si>
    <t>4-01-01-04</t>
  </si>
  <si>
    <t xml:space="preserve">         INGRESOS POR CERTIFICACION SISTEMAS</t>
  </si>
  <si>
    <t>4-01-01-05</t>
  </si>
  <si>
    <t xml:space="preserve">         INGRESOS POR LABORATORIO</t>
  </si>
  <si>
    <t>4-01-02-00</t>
  </si>
  <si>
    <t xml:space="preserve">      INGRESOS VENTAS</t>
  </si>
  <si>
    <t>4-01-02-01</t>
  </si>
  <si>
    <t xml:space="preserve">         INGRESOS VENTAS</t>
  </si>
  <si>
    <t>4-01-02-10</t>
  </si>
  <si>
    <t xml:space="preserve">         AUSPICIOS Y EVENTOS</t>
  </si>
  <si>
    <t>4-01-03-00</t>
  </si>
  <si>
    <t xml:space="preserve">      INGRESOS POR CAPACITACION</t>
  </si>
  <si>
    <t>4-01-03-01</t>
  </si>
  <si>
    <t xml:space="preserve">         INGRESOS POR CAPACITACION</t>
  </si>
  <si>
    <t>4-01-04-00</t>
  </si>
  <si>
    <t xml:space="preserve">      INGRESOS CUOTA ASOCIADOS</t>
  </si>
  <si>
    <t>4-01-04-01</t>
  </si>
  <si>
    <t xml:space="preserve">         INGRESOS CUOTA ASOCIADOS</t>
  </si>
  <si>
    <t>4-02-00-00</t>
  </si>
  <si>
    <t xml:space="preserve">   INGRESOS PROYECTOS</t>
  </si>
  <si>
    <t>4-02-01-00</t>
  </si>
  <si>
    <t xml:space="preserve">      PROYECTO VARIOS </t>
  </si>
  <si>
    <t>4-02-01-10</t>
  </si>
  <si>
    <t xml:space="preserve">         OTROS INGRESOS</t>
  </si>
  <si>
    <t>4-10-00-00</t>
  </si>
  <si>
    <t xml:space="preserve">   INGRESOS NO OPERATIVOS</t>
  </si>
  <si>
    <t>4-10-01-00</t>
  </si>
  <si>
    <t xml:space="preserve">      INGRESOS MONETARIOS</t>
  </si>
  <si>
    <t>4-10-01-01</t>
  </si>
  <si>
    <t xml:space="preserve">         INTERESES GANADOS</t>
  </si>
  <si>
    <t>4-10-01-02</t>
  </si>
  <si>
    <t xml:space="preserve">         COMISIONES GANADAS</t>
  </si>
  <si>
    <t>4-10-02-00</t>
  </si>
  <si>
    <t xml:space="preserve">      INGRESOS NO MONETARIOS</t>
  </si>
  <si>
    <t>4-10-02-01</t>
  </si>
  <si>
    <t>5-00-00-00</t>
  </si>
  <si>
    <t>EGRESOS</t>
  </si>
  <si>
    <t>5-01-00-00</t>
  </si>
  <si>
    <t xml:space="preserve">   COSTO DE INVENTARIOS</t>
  </si>
  <si>
    <t>5-01-01-00</t>
  </si>
  <si>
    <t xml:space="preserve">      COSTO DE INVENTARIOS</t>
  </si>
  <si>
    <t>5-01-01-01</t>
  </si>
  <si>
    <t xml:space="preserve">         COSTO DE INVENTARIOS </t>
  </si>
  <si>
    <t>5-02-01-00</t>
  </si>
  <si>
    <t xml:space="preserve">      GASTOS EN PERSONAL</t>
  </si>
  <si>
    <t xml:space="preserve">       GASTOS PERSONAL DEPENDIENTE</t>
  </si>
  <si>
    <t>5-02-01-01</t>
  </si>
  <si>
    <t xml:space="preserve">         SUELDOS AL PERSONAL</t>
  </si>
  <si>
    <t>5-02-01-02</t>
  </si>
  <si>
    <t xml:space="preserve">         APORTES PATRONALES</t>
  </si>
  <si>
    <t>5-02-01-03</t>
  </si>
  <si>
    <t xml:space="preserve">         AGUINALDOS</t>
  </si>
  <si>
    <t>5-02-01-04</t>
  </si>
  <si>
    <t xml:space="preserve">         INDEMNIZACION-VACACION</t>
  </si>
  <si>
    <t>5-02-01-06</t>
  </si>
  <si>
    <t xml:space="preserve">         DESAHUCIOS</t>
  </si>
  <si>
    <t>5-02-01-07</t>
  </si>
  <si>
    <t xml:space="preserve">         SUBSIDIOS</t>
  </si>
  <si>
    <t>5-02-01-08</t>
  </si>
  <si>
    <t xml:space="preserve">         REFRIGERIOS DEL PERSONAL</t>
  </si>
  <si>
    <t>5-02-02-00</t>
  </si>
  <si>
    <t xml:space="preserve">      GASTOS PERSONAL EXTERNO</t>
  </si>
  <si>
    <t>5-02-02-01</t>
  </si>
  <si>
    <t xml:space="preserve">         HONORARIOS PROFESIONALES</t>
  </si>
  <si>
    <t>5-02-02-02</t>
  </si>
  <si>
    <t xml:space="preserve">         HONORARIOS DOCENTES</t>
  </si>
  <si>
    <t>5-02-02-03</t>
  </si>
  <si>
    <t xml:space="preserve">         HONORARIOS AUDITORES EXTERNOS</t>
  </si>
  <si>
    <t>5-03-00-00</t>
  </si>
  <si>
    <t xml:space="preserve">   GASTOS DE OPERACION</t>
  </si>
  <si>
    <t>5-03-01-00</t>
  </si>
  <si>
    <t xml:space="preserve">      GASTOS DE OPERACION</t>
  </si>
  <si>
    <t>5-03-01-01</t>
  </si>
  <si>
    <t>5-03-01-02</t>
  </si>
  <si>
    <t>5-03-01-04</t>
  </si>
  <si>
    <t>5-03-01-05</t>
  </si>
  <si>
    <t>5-03-01-06</t>
  </si>
  <si>
    <t>5-03-01-07</t>
  </si>
  <si>
    <t xml:space="preserve">         REFRIGERIOS CURSOS-COMITÉS-OTROS</t>
  </si>
  <si>
    <t>5-03-01-08</t>
  </si>
  <si>
    <t xml:space="preserve">         REPARACION Y MANTENIMIENTO</t>
  </si>
  <si>
    <t>5-03-01-09</t>
  </si>
  <si>
    <t>5-03-01-10</t>
  </si>
  <si>
    <t>5-03-01-11</t>
  </si>
  <si>
    <t xml:space="preserve">         SEGUROS</t>
  </si>
  <si>
    <t>5-03-01-12</t>
  </si>
  <si>
    <t>5-03-01-13</t>
  </si>
  <si>
    <t xml:space="preserve">         DEPRECIACION DE ACTIVOS FIJOS</t>
  </si>
  <si>
    <t>5-03-01-14</t>
  </si>
  <si>
    <t xml:space="preserve">         AMORTIZACION OTROS ACTIVOS</t>
  </si>
  <si>
    <t>5-03-01-15</t>
  </si>
  <si>
    <t xml:space="preserve">         SERVICIO DE FOTOCOPIAS</t>
  </si>
  <si>
    <t>5-03-01-16</t>
  </si>
  <si>
    <t xml:space="preserve">         PASAJES Y VIATICOS</t>
  </si>
  <si>
    <t>5-03-01-17</t>
  </si>
  <si>
    <t xml:space="preserve">         GASTOS BANCARIOS</t>
  </si>
  <si>
    <t>5-03-01-18</t>
  </si>
  <si>
    <t xml:space="preserve">         GASTOS DE IMPRENTA</t>
  </si>
  <si>
    <t>5-03-01-19</t>
  </si>
  <si>
    <t>5-03-01-20</t>
  </si>
  <si>
    <t>5-03-01-21</t>
  </si>
  <si>
    <t xml:space="preserve">         GASTOS DE REPRESENTACION</t>
  </si>
  <si>
    <t>5-03-01-22</t>
  </si>
  <si>
    <t>5-03-01-23</t>
  </si>
  <si>
    <t xml:space="preserve">         INTERESES Y MULTAS</t>
  </si>
  <si>
    <t>5-03-01-24</t>
  </si>
  <si>
    <t xml:space="preserve">         PATENTES MUNICIPALES</t>
  </si>
  <si>
    <t>5-03-01-25</t>
  </si>
  <si>
    <t xml:space="preserve">         CAPACITACION PERSONAL</t>
  </si>
  <si>
    <t>5-03-01-26</t>
  </si>
  <si>
    <t>5-03-01-27</t>
  </si>
  <si>
    <t>5-03-01-28</t>
  </si>
  <si>
    <t xml:space="preserve">         IMPUESTO A LAS TRANSCCIONES FINANCIERAS</t>
  </si>
  <si>
    <t>5-03-01-29</t>
  </si>
  <si>
    <t xml:space="preserve">         PERDIDA EN INVENTARIOS</t>
  </si>
  <si>
    <t>5-03-01-30</t>
  </si>
  <si>
    <t>5-03-01-31</t>
  </si>
  <si>
    <t>5-03-01-50</t>
  </si>
  <si>
    <t xml:space="preserve">         EQUIPOS DE COMPUTACIÓN </t>
  </si>
  <si>
    <t>5-03-01-90</t>
  </si>
  <si>
    <t xml:space="preserve">         GASTOS SA-DN </t>
  </si>
  <si>
    <t>5-20-00-00</t>
  </si>
  <si>
    <t xml:space="preserve">   OTROS INGRESOS Y/O EGRESOS NO OPERATIVOS</t>
  </si>
  <si>
    <t>5-20-01-00</t>
  </si>
  <si>
    <t xml:space="preserve">      VENTA DE ACTIVOS FIJOS</t>
  </si>
  <si>
    <t>5-20-01-01</t>
  </si>
  <si>
    <t xml:space="preserve">         VENTA DE ACTIVOS FIJOS</t>
  </si>
  <si>
    <t>5-20-05-00</t>
  </si>
  <si>
    <t xml:space="preserve">      AJUSTE POR INFLAC. Y TENEC. DE BIENES</t>
  </si>
  <si>
    <t>5-20-05-01</t>
  </si>
  <si>
    <t xml:space="preserve">         AJUSTE POR INFLAC. Y TENENC. DE BIENES</t>
  </si>
  <si>
    <t>5-20-07-00</t>
  </si>
  <si>
    <t xml:space="preserve">      AJUSTE POR DIFERENCIA DE CAMBIO</t>
  </si>
  <si>
    <t>5-20-07-01</t>
  </si>
  <si>
    <t xml:space="preserve">         AJUSTE POR DIFERENCIA DE CAMBIO</t>
  </si>
  <si>
    <t>5-20-09-00</t>
  </si>
  <si>
    <t xml:space="preserve">      PERDIDAS Y GANANCIAS</t>
  </si>
  <si>
    <t>5-20-09-01</t>
  </si>
  <si>
    <t xml:space="preserve">         PERDIDAS Y GANANCIAS</t>
  </si>
  <si>
    <t>5-20-17-00</t>
  </si>
  <si>
    <t xml:space="preserve">      AJUSTE GESTIONES PASADAS</t>
  </si>
  <si>
    <t>5-20-17-01</t>
  </si>
  <si>
    <t xml:space="preserve">         AJUSTE GESTIONES PASADAS</t>
  </si>
  <si>
    <t>RESULTADO</t>
  </si>
  <si>
    <t>promedio</t>
  </si>
  <si>
    <t>modulo</t>
  </si>
  <si>
    <t>día</t>
  </si>
  <si>
    <t>INGRESO A</t>
  </si>
  <si>
    <t>INGRESO B</t>
  </si>
  <si>
    <t>COSTO EN IBNORCA</t>
  </si>
  <si>
    <t>INGRESO EN IBNORCA</t>
  </si>
  <si>
    <t>INGRESO FUERA DE IBNORCA</t>
  </si>
  <si>
    <t>mes/norma</t>
  </si>
  <si>
    <t xml:space="preserve">COSTO POR </t>
  </si>
  <si>
    <t>COSTO POR NORMA</t>
  </si>
  <si>
    <t>COSTO POR SELLO</t>
  </si>
  <si>
    <t>mes/</t>
  </si>
  <si>
    <t xml:space="preserve"> </t>
  </si>
  <si>
    <t>días</t>
  </si>
  <si>
    <t>Noches de hosp.</t>
  </si>
  <si>
    <t>tramo</t>
  </si>
  <si>
    <t>Cantidad</t>
  </si>
  <si>
    <t>Unidad</t>
  </si>
  <si>
    <t>Precio unitario</t>
  </si>
  <si>
    <t xml:space="preserve">Viáticos Auditor líder </t>
  </si>
  <si>
    <t>Estadia auditor líder</t>
  </si>
  <si>
    <t>Pasajes Auditor Líder</t>
  </si>
  <si>
    <t>Viáticos Auditor</t>
  </si>
  <si>
    <t xml:space="preserve">Estadia auditor </t>
  </si>
  <si>
    <t xml:space="preserve">Pasajes Auditor </t>
  </si>
  <si>
    <t>Viáticos Auditor en prácticas</t>
  </si>
  <si>
    <t>Honorarios Experto Técnico</t>
  </si>
  <si>
    <t>Pasajes experto técnico</t>
  </si>
  <si>
    <t>Honorarios auditor líder externo</t>
  </si>
  <si>
    <t>Honorarios Auditor externo 1</t>
  </si>
  <si>
    <t>Honorarios Auditor externo 2</t>
  </si>
  <si>
    <t>Honorarios experto técnico externo</t>
  </si>
  <si>
    <t>Días auditor líder interno en auditoria in situ</t>
  </si>
  <si>
    <t>Días auditor interno en auditoria in situ</t>
  </si>
  <si>
    <t>Días auditor en práctica interno en auditoria in situ</t>
  </si>
  <si>
    <t>Días invertidos auditor líder fuera de auditoria</t>
  </si>
  <si>
    <t>Días invertidos auditor interno in situ</t>
  </si>
  <si>
    <t>Días invertidos auditor en práctica interno in situ</t>
  </si>
  <si>
    <t>Gastos de terminal (movilidades)</t>
  </si>
  <si>
    <t>otros gastos</t>
  </si>
  <si>
    <t>COSTO POR CURSO/MODULO</t>
  </si>
  <si>
    <t>PAGO IMPUESTOS (IVA  13 %)</t>
  </si>
  <si>
    <t>PAGO IMPUESTOS (IT 3 %)</t>
  </si>
  <si>
    <t>COSTO DEL SERVICIO</t>
  </si>
  <si>
    <t xml:space="preserve">GASTOS OPERATIVOS </t>
  </si>
  <si>
    <t>UTILIDAD ANTES DE IMPUESTOS</t>
  </si>
  <si>
    <t>INGRESOS POR VENTAS</t>
  </si>
  <si>
    <t>TOTAL GASTOS OPERATIVOS</t>
  </si>
  <si>
    <t>COSTO VARIABLE UNITARIO</t>
  </si>
  <si>
    <t>COSTO VARIABLE TOTAL</t>
  </si>
  <si>
    <t>UNIDAD/
MODULO</t>
  </si>
  <si>
    <t>COSTO POR CURSO/MODUL0/MES</t>
  </si>
  <si>
    <t>UNIDAD/
MODULO AL MES</t>
  </si>
  <si>
    <t>Codigo</t>
  </si>
  <si>
    <r>
      <t>PLT-TCP-</t>
    </r>
    <r>
      <rPr>
        <sz val="10"/>
        <color indexed="10"/>
        <rFont val="Arial"/>
        <family val="2"/>
      </rPr>
      <t>01</t>
    </r>
  </si>
  <si>
    <t>Version</t>
  </si>
  <si>
    <t>00</t>
  </si>
  <si>
    <t>Vigencia desde</t>
  </si>
  <si>
    <t>CÁLCULO DE PRESUPUESTO PARA AUDITORIAS DE CERTIFICACION DE PRODUCTO</t>
  </si>
  <si>
    <t>Pagina 1 de 1</t>
  </si>
  <si>
    <t>Empresa:</t>
  </si>
  <si>
    <t>EMPRESA SIDERURGICA DEL PERU S.A.A.</t>
  </si>
  <si>
    <t>Auditoria:</t>
  </si>
  <si>
    <t>Sello de producto</t>
  </si>
  <si>
    <t>Planta de producción:</t>
  </si>
  <si>
    <t>AV. SANTIAGO ANTUNEZ DE MAYOLO S/N CHIMBOTE-ANCASH-PERU</t>
  </si>
  <si>
    <t>Auditoria de:</t>
  </si>
  <si>
    <t>Certificación</t>
  </si>
  <si>
    <t>Productos:</t>
  </si>
  <si>
    <t>Tubos de acero corrugado con recubrimiento metálico para drenajes y alcantarillado (ALCANTARILLA MINIMULTIPLATE (MP-68) y MULTIPLATE (MP-152)</t>
  </si>
  <si>
    <t>Norma:</t>
  </si>
  <si>
    <t>ASTM A760 – 01a  Y 1217002</t>
  </si>
  <si>
    <t>DETALLE DEL PERSONAL (AUDITORES)</t>
  </si>
  <si>
    <t>Dias de auditoria</t>
  </si>
  <si>
    <t>AUDITOR LÍDER</t>
  </si>
  <si>
    <t>Días (auditoria in situ) total</t>
  </si>
  <si>
    <t>OTRO AUDITOR</t>
  </si>
  <si>
    <t>AUDITOR EXTERNO</t>
  </si>
  <si>
    <t>AUDITOR EN PRÁCTICAS</t>
  </si>
  <si>
    <t>EXPERTO TÉCNICO</t>
  </si>
  <si>
    <t>TOTAL DE AUDITORES</t>
  </si>
  <si>
    <t>Tipo de Cambio a Dólares :</t>
  </si>
  <si>
    <t xml:space="preserve">COSTOS ADMINISTRATIVOS </t>
  </si>
  <si>
    <t>Hojas primera</t>
  </si>
  <si>
    <t>Hojas segunda</t>
  </si>
  <si>
    <t>Toner</t>
  </si>
  <si>
    <t>Impresión de Certificados</t>
  </si>
  <si>
    <t>Marco*</t>
  </si>
  <si>
    <t>Fotocopias (material auditoria y otros)</t>
  </si>
  <si>
    <t>Días invertidos personal: jefe técnico</t>
  </si>
  <si>
    <t>Días invertidos personal: profesional 1</t>
  </si>
  <si>
    <t>Días invertidos personal: profesional 2</t>
  </si>
  <si>
    <t>Días invertidos personal: técnico</t>
  </si>
  <si>
    <t>Días invertidos personal: secretaria</t>
  </si>
  <si>
    <t>Gastos Administrativos (Luz, internet, etc.)</t>
  </si>
  <si>
    <t>Otros 3</t>
  </si>
  <si>
    <t xml:space="preserve">Gastos personal administrativo </t>
  </si>
  <si>
    <t xml:space="preserve">COSTOS VARIABLES DE LA AUDITORIA </t>
  </si>
  <si>
    <t>C1</t>
  </si>
  <si>
    <t>Detalle de Costos Variables</t>
  </si>
  <si>
    <t>PRECIO UNITARIO</t>
  </si>
  <si>
    <t>PRECIO TOTAL</t>
  </si>
  <si>
    <t xml:space="preserve">CUADRO DE COSTOS TOTALES </t>
  </si>
  <si>
    <t>Costos del proceso de certificación</t>
  </si>
  <si>
    <t>Costos Variables</t>
  </si>
  <si>
    <t>TOTAL COSTOS:</t>
  </si>
  <si>
    <t>Gastos de Dirección Nacional</t>
  </si>
  <si>
    <t>TOTAL COSTOS ex IMP + OVERHEAD</t>
  </si>
  <si>
    <t>PRECIO FINAL DE AUDITORIA</t>
  </si>
  <si>
    <t>Precio por auditor/día</t>
  </si>
  <si>
    <t>Número total de Auditores por día</t>
  </si>
  <si>
    <t>Auditoria de Certificaión</t>
  </si>
  <si>
    <t>F</t>
  </si>
  <si>
    <t>OTORGACION Y MANTENIMIENTO DE SELLO</t>
  </si>
  <si>
    <t>Empresa Nacional</t>
  </si>
  <si>
    <t>Mediana</t>
  </si>
  <si>
    <t>Grande</t>
  </si>
  <si>
    <t>Otorgación del Sello</t>
  </si>
  <si>
    <t>Mediana (USD)</t>
  </si>
  <si>
    <t>Grande (USD)</t>
  </si>
  <si>
    <t>1er Sello</t>
  </si>
  <si>
    <t>2do Sello</t>
  </si>
  <si>
    <t>3er Sello</t>
  </si>
  <si>
    <t>4to Sello</t>
  </si>
  <si>
    <t>Siguientes</t>
  </si>
  <si>
    <t>G</t>
  </si>
  <si>
    <t>PRESUPUESTO POR PERIODO DE CERTIFICACIÓN</t>
  </si>
  <si>
    <t>AÑO 1</t>
  </si>
  <si>
    <t>% de utilidad</t>
  </si>
  <si>
    <t>Precio de la Auditoría</t>
  </si>
  <si>
    <t>Derecho de uso de sello</t>
  </si>
  <si>
    <t xml:space="preserve">Otros Ensayos con tetigo) y </t>
  </si>
  <si>
    <t>AÑO 2</t>
  </si>
  <si>
    <t>Otros Ensayos con tetigo y viaticos</t>
  </si>
  <si>
    <t>AÑO 3</t>
  </si>
  <si>
    <t>UTILIDAD NETA TOTAL POR EL PERIODO DE 3 AÑOS</t>
  </si>
  <si>
    <t>Gestión</t>
  </si>
  <si>
    <t>Fecha</t>
  </si>
  <si>
    <t xml:space="preserve">EJE ENE </t>
  </si>
  <si>
    <t>EJE JUL</t>
  </si>
  <si>
    <t xml:space="preserve">EJE SEP </t>
  </si>
  <si>
    <t>OCT</t>
  </si>
  <si>
    <t>NOV</t>
  </si>
  <si>
    <t>Norma</t>
  </si>
  <si>
    <t>5-03-01-32</t>
  </si>
  <si>
    <t>5-03-01-33</t>
  </si>
  <si>
    <t xml:space="preserve">         GASTOS DN </t>
  </si>
  <si>
    <t>EJECUTADO</t>
  </si>
  <si>
    <t>TOTAL COSTOS FIJO</t>
  </si>
  <si>
    <t>TOTAL COSTO FIJO DIRECTO</t>
  </si>
  <si>
    <t xml:space="preserve">TOTAL GASTOS OPERATIVOS </t>
  </si>
  <si>
    <t>UNIDAD/TOTAL INSCRITOS</t>
  </si>
  <si>
    <t>Mantenimiento de la plataforma</t>
  </si>
  <si>
    <t>Comisiones bancarias</t>
  </si>
  <si>
    <t>Refrigerio cursos</t>
  </si>
  <si>
    <t>TOTAL COSTO VARIABLE UNITARIO</t>
  </si>
  <si>
    <t>Alquiler de ambientes</t>
  </si>
  <si>
    <t>Alquiler de equipos</t>
  </si>
  <si>
    <t>COSTOS VARIABLES UNITARIOS</t>
  </si>
  <si>
    <t>COSTOS SEMI-VARIABLES</t>
  </si>
  <si>
    <t>PUNTO DE EQUILIBRIO FINANCIERO</t>
  </si>
  <si>
    <t>COSTOS DE OPERACIÓN</t>
  </si>
  <si>
    <t>COSTOS FIJOS TOTAL</t>
  </si>
  <si>
    <t>COSTOS VARIABLES TOTAL</t>
  </si>
  <si>
    <t>MARGEN DE GANANCIA ESPERADA</t>
  </si>
  <si>
    <t>PRECIO DE VENTA CON FACTURA UNITARIO</t>
  </si>
  <si>
    <t>(-) COSTO DEL SERVICIO</t>
  </si>
  <si>
    <t xml:space="preserve">(-) GASTOS OPERATIVOS </t>
  </si>
  <si>
    <t>INGRESOS POR LA VENTA DEL CURSO</t>
  </si>
  <si>
    <t>INGRESOS BRUTOS DEL CURSO</t>
  </si>
  <si>
    <t>PRECIO DE VENTA UNITARIO</t>
  </si>
  <si>
    <t>LA PAZ</t>
  </si>
  <si>
    <t>CC-curso corto</t>
  </si>
  <si>
    <t>CI-curso internacional</t>
  </si>
  <si>
    <t>IC-curso in company</t>
  </si>
  <si>
    <t>OL-online</t>
  </si>
  <si>
    <t>PF-programa de formación</t>
  </si>
  <si>
    <t>Bolígrafos</t>
  </si>
  <si>
    <t>Docente-Tipo A</t>
  </si>
  <si>
    <t>Docente-Tipo B</t>
  </si>
  <si>
    <t>Docente-Tipo C</t>
  </si>
  <si>
    <t>Docente-Tipo D</t>
  </si>
  <si>
    <t>Víaticos-al interior</t>
  </si>
  <si>
    <t>Gastos de Terminal-al interior</t>
  </si>
  <si>
    <t>Víaticos-al exterior</t>
  </si>
  <si>
    <t>Gastos de Terminal-al exterior</t>
  </si>
  <si>
    <t>Bs/hr</t>
  </si>
  <si>
    <t>COSTO POR MODUL0</t>
  </si>
  <si>
    <t>calificacion de cilindro</t>
  </si>
  <si>
    <t>contado ibnored</t>
  </si>
  <si>
    <t>empresas afiliadas</t>
  </si>
  <si>
    <t>mayore de 3 alumnos</t>
  </si>
  <si>
    <t>Módulo</t>
  </si>
  <si>
    <t>DESCUENTO</t>
  </si>
  <si>
    <t>DESCRIPCION</t>
  </si>
  <si>
    <t>COSTOS FIJOS UNITARIO</t>
  </si>
  <si>
    <t>COSTOS VARIABLES UNITARIO</t>
  </si>
  <si>
    <t>NÚMERO ALUMOS</t>
  </si>
  <si>
    <t>PRECIO</t>
  </si>
  <si>
    <t xml:space="preserve">INGRESOS </t>
  </si>
  <si>
    <t>%</t>
  </si>
  <si>
    <t>INGRESOS BRUTOS DEL MODULO</t>
  </si>
  <si>
    <t>(-) COSTO DEL VARUABLES</t>
  </si>
  <si>
    <t>(-) GASTOS FIJOS</t>
  </si>
  <si>
    <t>(-) COSTO VARIABLES</t>
  </si>
  <si>
    <t>(-) COSTOS FIJOS</t>
  </si>
  <si>
    <t xml:space="preserve">COSTO TOTAL </t>
  </si>
  <si>
    <t>INGRESOS POR LA VENTA DEL MODULO (87%)</t>
  </si>
  <si>
    <t>CANTIDAD DE PARTICIPANTES MINIMA</t>
  </si>
  <si>
    <t xml:space="preserve"> EN IBNORCA</t>
  </si>
  <si>
    <t>(S/N)</t>
  </si>
  <si>
    <t>PRECIO DE VENTA CON FACTURA **RECOMENDADO</t>
  </si>
  <si>
    <t>PRECIO DE VENTA CON FACTURA **UTILIZADO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</si>
</sst>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000_-;\-* #,##0.0000_-;_-* &quot;-&quot;??_-;_-@_-"/>
    <numFmt numFmtId="167" formatCode="0.0"/>
    <numFmt numFmtId="168" formatCode="yyyy\-mm\-dd"/>
    <numFmt numFmtId="169" formatCode="yyyy\-mm\-dd;@"/>
    <numFmt numFmtId="170" formatCode="_(* #,##0.00_);_(* \(#,##0.00\);_(* &quot;-&quot;??_);_(@_)"/>
    <numFmt numFmtId="171" formatCode="_(* #,##0_);_(* \(#,##0\);_(* &quot;-&quot;??_);_(@_)"/>
    <numFmt numFmtId="172" formatCode="_-* #,##0.000_-;\-* #,##0.000_-;_-* &quot;-&quot;??_-;_-@_-"/>
  </numFmts>
  <fonts count="57" x14ac:knownFonts="1">
    <font>
      <sz val="10"/>
      <name val="Arial"/>
      <family val="2"/>
    </font>
    <font>
      <sz val="10"/>
      <name val="Arial"/>
      <family val="2"/>
    </font>
    <font>
      <i/>
      <u/>
      <sz val="11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b/>
      <sz val="18"/>
      <color theme="0"/>
      <name val="Arial"/>
      <family val="2"/>
    </font>
    <font>
      <sz val="18"/>
      <name val="Arial"/>
      <family val="2"/>
    </font>
    <font>
      <sz val="11"/>
      <name val="Arial"/>
      <family val="2"/>
    </font>
    <font>
      <b/>
      <sz val="14"/>
      <color theme="0"/>
      <name val="Arial"/>
      <family val="2"/>
    </font>
    <font>
      <b/>
      <sz val="11"/>
      <color indexed="43"/>
      <name val="Verdana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FF99"/>
      <name val="Verdana"/>
      <family val="2"/>
    </font>
    <font>
      <b/>
      <sz val="9"/>
      <color rgb="FFFFFF99"/>
      <name val="Verdana"/>
      <family val="2"/>
    </font>
    <font>
      <b/>
      <sz val="9"/>
      <name val="Verdana"/>
      <family val="2"/>
    </font>
    <font>
      <i/>
      <sz val="9"/>
      <name val="Verdana"/>
      <family val="2"/>
    </font>
    <font>
      <i/>
      <sz val="10"/>
      <name val="Arial"/>
      <family val="2"/>
    </font>
    <font>
      <sz val="9"/>
      <color rgb="FFFFFF99"/>
      <name val="Verdana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sz val="8"/>
      <color indexed="81"/>
      <name val="Tahoma"/>
      <family val="2"/>
    </font>
    <font>
      <b/>
      <sz val="16"/>
      <name val="Arial"/>
      <family val="2"/>
    </font>
    <font>
      <sz val="14"/>
      <name val="Arial"/>
      <family val="2"/>
    </font>
    <font>
      <sz val="8"/>
      <name val="Arial"/>
      <family val="2"/>
    </font>
    <font>
      <sz val="11"/>
      <color rgb="FF1F497D"/>
      <name val="Calibri"/>
      <family val="2"/>
    </font>
    <font>
      <sz val="11"/>
      <name val="Calibri"/>
      <family val="2"/>
    </font>
    <font>
      <b/>
      <sz val="12"/>
      <name val="Arial"/>
      <family val="2"/>
    </font>
    <font>
      <b/>
      <sz val="14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name val="Verdana"/>
      <family val="2"/>
    </font>
    <font>
      <b/>
      <sz val="8"/>
      <color rgb="FFFFFF99"/>
      <name val="Verdana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5"/>
      <name val="Arial"/>
      <family val="2"/>
    </font>
    <font>
      <b/>
      <sz val="8"/>
      <name val="Arial"/>
      <family val="2"/>
    </font>
    <font>
      <b/>
      <sz val="10"/>
      <color theme="0"/>
      <name val="Verdana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8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8"/>
      <color theme="0"/>
      <name val="Arial"/>
      <family val="2"/>
    </font>
    <font>
      <sz val="11"/>
      <color theme="0"/>
      <name val="Arial"/>
      <family val="2"/>
    </font>
    <font>
      <sz val="10"/>
      <color theme="0" tint="-0.14999847407452621"/>
      <name val="Arial"/>
      <family val="2"/>
    </font>
    <font>
      <b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9D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4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86866"/>
        <bgColor indexed="64"/>
      </patternFill>
    </fill>
    <fill>
      <patternFill patternType="solid">
        <fgColor rgb="FF00642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5448"/>
        <bgColor indexed="64"/>
      </patternFill>
    </fill>
  </fills>
  <borders count="10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0"/>
      </left>
      <right/>
      <top style="medium">
        <color indexed="64"/>
      </top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45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5" fillId="0" borderId="0" xfId="0" applyFont="1" applyProtection="1"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14" fontId="8" fillId="2" borderId="0" xfId="0" applyNumberFormat="1" applyFont="1" applyFill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10" fillId="3" borderId="4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/>
    <xf numFmtId="0" fontId="4" fillId="0" borderId="0" xfId="0" applyFont="1" applyAlignment="1" applyProtection="1"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1" fillId="0" borderId="8" xfId="0" applyFont="1" applyFill="1" applyBorder="1" applyAlignment="1" applyProtection="1">
      <alignment horizontal="left"/>
      <protection hidden="1"/>
    </xf>
    <xf numFmtId="0" fontId="1" fillId="0" borderId="9" xfId="0" applyFont="1" applyFill="1" applyBorder="1" applyAlignment="1" applyProtection="1">
      <alignment horizontal="left"/>
      <protection hidden="1"/>
    </xf>
    <xf numFmtId="1" fontId="0" fillId="2" borderId="10" xfId="0" applyNumberFormat="1" applyFill="1" applyBorder="1" applyAlignment="1" applyProtection="1">
      <alignment horizontal="center"/>
      <protection locked="0"/>
    </xf>
    <xf numFmtId="0" fontId="1" fillId="0" borderId="6" xfId="0" applyFont="1" applyBorder="1" applyProtection="1">
      <protection locked="0"/>
    </xf>
    <xf numFmtId="0" fontId="12" fillId="2" borderId="13" xfId="0" applyFont="1" applyFill="1" applyBorder="1" applyAlignment="1" applyProtection="1">
      <alignment horizontal="center"/>
      <protection locked="0"/>
    </xf>
    <xf numFmtId="43" fontId="0" fillId="0" borderId="6" xfId="1" applyFont="1" applyBorder="1" applyProtection="1">
      <protection locked="0"/>
    </xf>
    <xf numFmtId="0" fontId="0" fillId="0" borderId="6" xfId="0" applyFill="1" applyBorder="1" applyProtection="1">
      <protection locked="0"/>
    </xf>
    <xf numFmtId="164" fontId="0" fillId="0" borderId="6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  <xf numFmtId="43" fontId="0" fillId="0" borderId="0" xfId="0" applyNumberFormat="1" applyFill="1" applyProtection="1">
      <protection locked="0"/>
    </xf>
    <xf numFmtId="0" fontId="4" fillId="0" borderId="0" xfId="0" applyFont="1" applyFill="1" applyProtection="1">
      <protection locked="0"/>
    </xf>
    <xf numFmtId="0" fontId="13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alignment horizontal="center"/>
      <protection hidden="1"/>
    </xf>
    <xf numFmtId="0" fontId="0" fillId="0" borderId="0" xfId="0" applyBorder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4" fillId="5" borderId="2" xfId="0" applyFont="1" applyFill="1" applyBorder="1" applyAlignment="1" applyProtection="1">
      <alignment horizontal="center" vertical="center" wrapText="1"/>
      <protection locked="0"/>
    </xf>
    <xf numFmtId="0" fontId="14" fillId="5" borderId="14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5" borderId="20" xfId="0" applyFont="1" applyFill="1" applyBorder="1" applyAlignment="1" applyProtection="1">
      <alignment horizontal="center" vertical="center"/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4" fillId="5" borderId="8" xfId="0" applyFont="1" applyFill="1" applyBorder="1" applyAlignment="1" applyProtection="1">
      <alignment horizontal="center" vertical="center"/>
      <protection locked="0"/>
    </xf>
    <xf numFmtId="0" fontId="14" fillId="5" borderId="22" xfId="0" applyFont="1" applyFill="1" applyBorder="1" applyAlignment="1" applyProtection="1">
      <alignment horizontal="center" vertical="center"/>
      <protection locked="0"/>
    </xf>
    <xf numFmtId="0" fontId="14" fillId="5" borderId="10" xfId="0" applyFont="1" applyFill="1" applyBorder="1" applyAlignment="1" applyProtection="1">
      <alignment horizontal="center" vertical="center"/>
      <protection locked="0"/>
    </xf>
    <xf numFmtId="0" fontId="14" fillId="5" borderId="23" xfId="0" applyFont="1" applyFill="1" applyBorder="1" applyAlignment="1" applyProtection="1">
      <alignment horizontal="center" vertical="center"/>
      <protection locked="0"/>
    </xf>
    <xf numFmtId="0" fontId="14" fillId="5" borderId="21" xfId="0" applyFont="1" applyFill="1" applyBorder="1" applyAlignment="1" applyProtection="1">
      <alignment horizontal="center" vertical="center"/>
      <protection locked="0"/>
    </xf>
    <xf numFmtId="43" fontId="15" fillId="0" borderId="26" xfId="1" applyFont="1" applyFill="1" applyBorder="1" applyAlignment="1" applyProtection="1">
      <alignment vertical="center"/>
      <protection locked="0"/>
    </xf>
    <xf numFmtId="43" fontId="16" fillId="0" borderId="27" xfId="1" applyFont="1" applyFill="1" applyBorder="1" applyAlignment="1" applyProtection="1">
      <alignment vertical="center"/>
      <protection locked="0"/>
    </xf>
    <xf numFmtId="43" fontId="15" fillId="0" borderId="28" xfId="1" applyFont="1" applyFill="1" applyBorder="1" applyAlignment="1" applyProtection="1">
      <alignment vertical="center"/>
      <protection locked="0"/>
    </xf>
    <xf numFmtId="43" fontId="15" fillId="0" borderId="29" xfId="1" applyFont="1" applyFill="1" applyBorder="1" applyAlignment="1" applyProtection="1">
      <alignment vertical="center"/>
      <protection locked="0"/>
    </xf>
    <xf numFmtId="43" fontId="15" fillId="0" borderId="25" xfId="1" applyFont="1" applyFill="1" applyBorder="1" applyAlignment="1" applyProtection="1">
      <alignment vertical="center"/>
      <protection locked="0"/>
    </xf>
    <xf numFmtId="43" fontId="0" fillId="2" borderId="30" xfId="1" applyFont="1" applyFill="1" applyBorder="1" applyProtection="1">
      <protection locked="0"/>
    </xf>
    <xf numFmtId="43" fontId="0" fillId="7" borderId="32" xfId="1" applyFont="1" applyFill="1" applyBorder="1" applyProtection="1">
      <protection locked="0"/>
    </xf>
    <xf numFmtId="43" fontId="1" fillId="2" borderId="33" xfId="1" applyFont="1" applyFill="1" applyBorder="1" applyProtection="1">
      <protection locked="0"/>
    </xf>
    <xf numFmtId="43" fontId="0" fillId="0" borderId="31" xfId="1" applyFont="1" applyBorder="1" applyProtection="1"/>
    <xf numFmtId="43" fontId="1" fillId="2" borderId="30" xfId="1" applyFont="1" applyFill="1" applyBorder="1" applyAlignment="1" applyProtection="1">
      <alignment horizontal="center"/>
      <protection locked="0"/>
    </xf>
    <xf numFmtId="43" fontId="0" fillId="0" borderId="31" xfId="1" applyFont="1" applyBorder="1" applyProtection="1">
      <protection hidden="1"/>
    </xf>
    <xf numFmtId="10" fontId="0" fillId="0" borderId="32" xfId="2" applyNumberFormat="1" applyFont="1" applyBorder="1" applyProtection="1">
      <protection hidden="1"/>
    </xf>
    <xf numFmtId="43" fontId="0" fillId="0" borderId="33" xfId="1" applyFont="1" applyBorder="1" applyProtection="1">
      <protection hidden="1"/>
    </xf>
    <xf numFmtId="43" fontId="0" fillId="2" borderId="8" xfId="1" applyFont="1" applyFill="1" applyBorder="1" applyProtection="1"/>
    <xf numFmtId="43" fontId="0" fillId="7" borderId="22" xfId="1" applyFont="1" applyFill="1" applyBorder="1" applyProtection="1"/>
    <xf numFmtId="43" fontId="1" fillId="2" borderId="10" xfId="1" applyFont="1" applyFill="1" applyBorder="1" applyProtection="1">
      <protection locked="0"/>
    </xf>
    <xf numFmtId="43" fontId="0" fillId="2" borderId="8" xfId="1" applyFont="1" applyFill="1" applyBorder="1" applyProtection="1">
      <protection locked="0"/>
    </xf>
    <xf numFmtId="43" fontId="0" fillId="0" borderId="23" xfId="1" applyFont="1" applyBorder="1" applyProtection="1"/>
    <xf numFmtId="43" fontId="1" fillId="2" borderId="8" xfId="1" applyFont="1" applyFill="1" applyBorder="1" applyAlignment="1" applyProtection="1">
      <alignment horizontal="center"/>
      <protection locked="0"/>
    </xf>
    <xf numFmtId="43" fontId="0" fillId="0" borderId="23" xfId="1" applyFont="1" applyBorder="1" applyProtection="1">
      <protection hidden="1"/>
    </xf>
    <xf numFmtId="43" fontId="0" fillId="0" borderId="10" xfId="1" applyFont="1" applyBorder="1" applyProtection="1">
      <protection hidden="1"/>
    </xf>
    <xf numFmtId="10" fontId="15" fillId="0" borderId="25" xfId="2" applyNumberFormat="1" applyFont="1" applyFill="1" applyBorder="1" applyAlignment="1" applyProtection="1">
      <alignment vertical="center"/>
      <protection locked="0"/>
    </xf>
    <xf numFmtId="43" fontId="0" fillId="2" borderId="5" xfId="1" applyFont="1" applyFill="1" applyBorder="1" applyProtection="1">
      <protection locked="0"/>
    </xf>
    <xf numFmtId="43" fontId="0" fillId="7" borderId="20" xfId="1" applyFont="1" applyFill="1" applyBorder="1" applyProtection="1">
      <protection locked="0"/>
    </xf>
    <xf numFmtId="43" fontId="1" fillId="2" borderId="7" xfId="1" applyFont="1" applyFill="1" applyBorder="1" applyProtection="1">
      <protection locked="0"/>
    </xf>
    <xf numFmtId="43" fontId="0" fillId="0" borderId="18" xfId="1" applyFont="1" applyFill="1" applyBorder="1" applyProtection="1"/>
    <xf numFmtId="43" fontId="1" fillId="2" borderId="34" xfId="1" applyFont="1" applyFill="1" applyBorder="1" applyAlignment="1" applyProtection="1">
      <alignment horizontal="center"/>
    </xf>
    <xf numFmtId="43" fontId="1" fillId="0" borderId="18" xfId="1" applyFont="1" applyFill="1" applyBorder="1" applyProtection="1"/>
    <xf numFmtId="43" fontId="1" fillId="2" borderId="5" xfId="1" applyFont="1" applyFill="1" applyBorder="1" applyAlignment="1" applyProtection="1">
      <alignment horizontal="center"/>
      <protection locked="0"/>
    </xf>
    <xf numFmtId="43" fontId="0" fillId="0" borderId="7" xfId="1" applyFont="1" applyFill="1" applyBorder="1" applyProtection="1">
      <protection hidden="1"/>
    </xf>
    <xf numFmtId="43" fontId="0" fillId="0" borderId="18" xfId="1" applyFont="1" applyBorder="1" applyProtection="1"/>
    <xf numFmtId="43" fontId="0" fillId="0" borderId="18" xfId="1" applyFont="1" applyBorder="1" applyProtection="1">
      <protection hidden="1"/>
    </xf>
    <xf numFmtId="43" fontId="0" fillId="0" borderId="7" xfId="1" applyFont="1" applyBorder="1" applyProtection="1">
      <protection hidden="1"/>
    </xf>
    <xf numFmtId="0" fontId="1" fillId="0" borderId="0" xfId="0" applyFont="1" applyBorder="1" applyProtection="1">
      <protection locked="0"/>
    </xf>
    <xf numFmtId="43" fontId="17" fillId="7" borderId="19" xfId="1" applyFont="1" applyFill="1" applyBorder="1" applyProtection="1">
      <protection locked="0"/>
    </xf>
    <xf numFmtId="43" fontId="0" fillId="0" borderId="37" xfId="1" applyFont="1" applyBorder="1" applyProtection="1">
      <protection locked="0"/>
    </xf>
    <xf numFmtId="43" fontId="1" fillId="0" borderId="7" xfId="1" applyFont="1" applyBorder="1" applyProtection="1">
      <protection hidden="1"/>
    </xf>
    <xf numFmtId="43" fontId="14" fillId="5" borderId="24" xfId="1" applyFont="1" applyFill="1" applyBorder="1" applyAlignment="1" applyProtection="1">
      <alignment vertical="center"/>
      <protection locked="0"/>
    </xf>
    <xf numFmtId="43" fontId="14" fillId="5" borderId="38" xfId="1" applyFont="1" applyFill="1" applyBorder="1" applyAlignment="1" applyProtection="1">
      <alignment vertical="center"/>
      <protection locked="0"/>
    </xf>
    <xf numFmtId="43" fontId="14" fillId="5" borderId="39" xfId="1" applyFont="1" applyFill="1" applyBorder="1" applyAlignment="1" applyProtection="1">
      <alignment vertical="center"/>
      <protection locked="0"/>
    </xf>
    <xf numFmtId="9" fontId="0" fillId="0" borderId="5" xfId="2" applyFont="1" applyBorder="1" applyProtection="1">
      <protection locked="0"/>
    </xf>
    <xf numFmtId="43" fontId="1" fillId="0" borderId="7" xfId="1" applyFont="1" applyBorder="1" applyProtection="1">
      <protection locked="0"/>
    </xf>
    <xf numFmtId="43" fontId="0" fillId="0" borderId="34" xfId="1" applyFont="1" applyBorder="1" applyProtection="1">
      <protection locked="0"/>
    </xf>
    <xf numFmtId="43" fontId="0" fillId="0" borderId="32" xfId="1" applyFont="1" applyBorder="1" applyProtection="1">
      <protection locked="0"/>
    </xf>
    <xf numFmtId="9" fontId="0" fillId="0" borderId="8" xfId="2" applyFont="1" applyBorder="1" applyProtection="1">
      <protection locked="0"/>
    </xf>
    <xf numFmtId="43" fontId="1" fillId="0" borderId="10" xfId="1" applyFont="1" applyBorder="1" applyProtection="1">
      <protection locked="0"/>
    </xf>
    <xf numFmtId="43" fontId="0" fillId="0" borderId="21" xfId="1" applyFont="1" applyBorder="1" applyProtection="1">
      <protection locked="0"/>
    </xf>
    <xf numFmtId="43" fontId="18" fillId="5" borderId="25" xfId="1" applyFont="1" applyFill="1" applyBorder="1" applyAlignment="1" applyProtection="1">
      <alignment vertical="center"/>
      <protection locked="0"/>
    </xf>
    <xf numFmtId="43" fontId="14" fillId="5" borderId="26" xfId="1" applyFont="1" applyFill="1" applyBorder="1" applyAlignment="1" applyProtection="1">
      <alignment vertical="center"/>
      <protection locked="0"/>
    </xf>
    <xf numFmtId="43" fontId="14" fillId="5" borderId="25" xfId="1" applyFont="1" applyFill="1" applyBorder="1" applyAlignment="1" applyProtection="1">
      <alignment vertical="center"/>
      <protection locked="0"/>
    </xf>
    <xf numFmtId="43" fontId="14" fillId="5" borderId="36" xfId="1" applyFont="1" applyFill="1" applyBorder="1" applyAlignment="1" applyProtection="1">
      <alignment vertical="center"/>
      <protection locked="0"/>
    </xf>
    <xf numFmtId="43" fontId="14" fillId="5" borderId="37" xfId="1" applyFont="1" applyFill="1" applyBorder="1" applyAlignment="1" applyProtection="1">
      <alignment vertical="center"/>
      <protection locked="0"/>
    </xf>
    <xf numFmtId="43" fontId="14" fillId="5" borderId="32" xfId="1" applyFont="1" applyFill="1" applyBorder="1" applyAlignment="1" applyProtection="1">
      <alignment vertical="center"/>
      <protection locked="0"/>
    </xf>
    <xf numFmtId="43" fontId="19" fillId="0" borderId="34" xfId="1" applyFont="1" applyBorder="1" applyAlignment="1" applyProtection="1">
      <protection locked="0"/>
    </xf>
    <xf numFmtId="43" fontId="19" fillId="7" borderId="20" xfId="1" applyFont="1" applyFill="1" applyBorder="1" applyAlignment="1" applyProtection="1">
      <protection locked="0"/>
    </xf>
    <xf numFmtId="43" fontId="19" fillId="0" borderId="35" xfId="1" applyFont="1" applyBorder="1" applyAlignment="1" applyProtection="1">
      <protection locked="0"/>
    </xf>
    <xf numFmtId="43" fontId="19" fillId="0" borderId="20" xfId="1" applyFont="1" applyBorder="1" applyAlignment="1" applyProtection="1">
      <protection locked="0"/>
    </xf>
    <xf numFmtId="43" fontId="1" fillId="7" borderId="20" xfId="1" applyFont="1" applyFill="1" applyBorder="1" applyAlignment="1" applyProtection="1">
      <alignment horizontal="center"/>
      <protection locked="0"/>
    </xf>
    <xf numFmtId="43" fontId="1" fillId="2" borderId="5" xfId="1" applyFont="1" applyFill="1" applyBorder="1" applyAlignment="1" applyProtection="1">
      <alignment horizontal="center" vertical="center"/>
      <protection locked="0"/>
    </xf>
    <xf numFmtId="43" fontId="0" fillId="0" borderId="18" xfId="1" applyFont="1" applyBorder="1" applyProtection="1">
      <protection locked="0"/>
    </xf>
    <xf numFmtId="165" fontId="0" fillId="0" borderId="20" xfId="2" applyNumberFormat="1" applyFont="1" applyBorder="1" applyProtection="1">
      <protection hidden="1"/>
    </xf>
    <xf numFmtId="43" fontId="20" fillId="2" borderId="5" xfId="1" applyFont="1" applyFill="1" applyBorder="1" applyAlignment="1" applyProtection="1">
      <alignment horizontal="center" vertical="center"/>
      <protection locked="0"/>
    </xf>
    <xf numFmtId="43" fontId="0" fillId="2" borderId="5" xfId="1" applyFont="1" applyFill="1" applyBorder="1" applyAlignment="1" applyProtection="1">
      <alignment horizontal="center"/>
      <protection locked="0"/>
    </xf>
    <xf numFmtId="43" fontId="0" fillId="0" borderId="7" xfId="1" applyFont="1" applyBorder="1" applyProtection="1">
      <protection locked="0"/>
    </xf>
    <xf numFmtId="43" fontId="14" fillId="5" borderId="5" xfId="1" applyFont="1" applyFill="1" applyBorder="1" applyAlignment="1" applyProtection="1">
      <alignment vertical="center"/>
      <protection locked="0"/>
    </xf>
    <xf numFmtId="43" fontId="14" fillId="5" borderId="7" xfId="1" applyFont="1" applyFill="1" applyBorder="1" applyAlignment="1" applyProtection="1">
      <alignment vertical="center"/>
      <protection locked="0"/>
    </xf>
    <xf numFmtId="43" fontId="14" fillId="5" borderId="5" xfId="1" applyFont="1" applyFill="1" applyBorder="1" applyAlignment="1" applyProtection="1">
      <alignment horizontal="left" vertical="center"/>
      <protection locked="0"/>
    </xf>
    <xf numFmtId="43" fontId="14" fillId="5" borderId="18" xfId="1" applyFont="1" applyFill="1" applyBorder="1" applyAlignment="1" applyProtection="1">
      <alignment horizontal="left" vertical="center"/>
      <protection locked="0"/>
    </xf>
    <xf numFmtId="43" fontId="14" fillId="5" borderId="34" xfId="1" applyFont="1" applyFill="1" applyBorder="1" applyAlignment="1" applyProtection="1">
      <alignment horizontal="left" vertical="center"/>
      <protection locked="0"/>
    </xf>
    <xf numFmtId="43" fontId="14" fillId="5" borderId="20" xfId="1" applyFont="1" applyFill="1" applyBorder="1" applyAlignment="1" applyProtection="1">
      <alignment horizontal="left" vertical="center"/>
      <protection locked="0"/>
    </xf>
    <xf numFmtId="43" fontId="11" fillId="9" borderId="5" xfId="1" applyFont="1" applyFill="1" applyBorder="1" applyAlignment="1" applyProtection="1">
      <protection locked="0"/>
    </xf>
    <xf numFmtId="43" fontId="11" fillId="9" borderId="7" xfId="1" applyFont="1" applyFill="1" applyBorder="1" applyAlignment="1" applyProtection="1">
      <protection locked="0"/>
    </xf>
    <xf numFmtId="43" fontId="11" fillId="9" borderId="18" xfId="1" applyFont="1" applyFill="1" applyBorder="1" applyAlignment="1" applyProtection="1">
      <protection locked="0"/>
    </xf>
    <xf numFmtId="43" fontId="11" fillId="9" borderId="34" xfId="1" applyFont="1" applyFill="1" applyBorder="1" applyAlignment="1" applyProtection="1">
      <protection locked="0"/>
    </xf>
    <xf numFmtId="43" fontId="11" fillId="9" borderId="20" xfId="1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0" fontId="21" fillId="10" borderId="41" xfId="0" applyFont="1" applyFill="1" applyBorder="1" applyAlignment="1" applyProtection="1">
      <alignment horizontal="center"/>
      <protection locked="0"/>
    </xf>
    <xf numFmtId="9" fontId="0" fillId="2" borderId="42" xfId="0" applyNumberFormat="1" applyFill="1" applyBorder="1" applyProtection="1">
      <protection locked="0"/>
    </xf>
    <xf numFmtId="0" fontId="22" fillId="0" borderId="0" xfId="0" applyFont="1" applyFill="1" applyAlignment="1" applyProtection="1">
      <alignment horizontal="center"/>
      <protection locked="0"/>
    </xf>
    <xf numFmtId="0" fontId="21" fillId="10" borderId="43" xfId="0" applyFont="1" applyFill="1" applyBorder="1" applyAlignment="1" applyProtection="1">
      <alignment horizontal="center"/>
      <protection locked="0"/>
    </xf>
    <xf numFmtId="9" fontId="0" fillId="2" borderId="44" xfId="0" applyNumberFormat="1" applyFill="1" applyBorder="1" applyProtection="1">
      <protection locked="0"/>
    </xf>
    <xf numFmtId="0" fontId="1" fillId="0" borderId="0" xfId="0" applyFont="1" applyFill="1" applyAlignment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2" fontId="1" fillId="0" borderId="0" xfId="0" applyNumberFormat="1" applyFont="1" applyFill="1" applyProtection="1"/>
    <xf numFmtId="43" fontId="0" fillId="0" borderId="0" xfId="1" applyFont="1" applyBorder="1" applyProtection="1">
      <protection locked="0"/>
    </xf>
    <xf numFmtId="166" fontId="0" fillId="0" borderId="0" xfId="0" applyNumberFormat="1" applyBorder="1" applyProtection="1">
      <protection locked="0"/>
    </xf>
    <xf numFmtId="0" fontId="14" fillId="5" borderId="16" xfId="0" applyFont="1" applyFill="1" applyBorder="1" applyAlignment="1" applyProtection="1">
      <alignment horizontal="center" vertical="center" wrapText="1"/>
      <protection locked="0"/>
    </xf>
    <xf numFmtId="0" fontId="0" fillId="0" borderId="45" xfId="0" applyBorder="1" applyProtection="1">
      <protection locked="0"/>
    </xf>
    <xf numFmtId="43" fontId="0" fillId="0" borderId="9" xfId="1" applyFont="1" applyBorder="1" applyProtection="1">
      <protection locked="0"/>
    </xf>
    <xf numFmtId="0" fontId="1" fillId="0" borderId="47" xfId="0" applyFont="1" applyBorder="1" applyProtection="1">
      <protection locked="0"/>
    </xf>
    <xf numFmtId="43" fontId="0" fillId="0" borderId="0" xfId="0" applyNumberFormat="1" applyBorder="1" applyProtection="1">
      <protection locked="0"/>
    </xf>
    <xf numFmtId="0" fontId="0" fillId="0" borderId="47" xfId="0" applyBorder="1" applyProtection="1">
      <protection locked="0"/>
    </xf>
    <xf numFmtId="43" fontId="4" fillId="11" borderId="25" xfId="1" applyFont="1" applyFill="1" applyBorder="1" applyProtection="1">
      <protection locked="0"/>
    </xf>
    <xf numFmtId="43" fontId="0" fillId="0" borderId="6" xfId="0" applyNumberFormat="1" applyBorder="1" applyProtection="1">
      <protection locked="0"/>
    </xf>
    <xf numFmtId="10" fontId="0" fillId="0" borderId="0" xfId="2" applyNumberFormat="1" applyFont="1" applyProtection="1">
      <protection locked="0"/>
    </xf>
    <xf numFmtId="43" fontId="0" fillId="0" borderId="0" xfId="1" applyFont="1" applyProtection="1">
      <protection locked="0"/>
    </xf>
    <xf numFmtId="43" fontId="0" fillId="0" borderId="47" xfId="0" applyNumberFormat="1" applyBorder="1" applyProtection="1">
      <protection locked="0"/>
    </xf>
    <xf numFmtId="0" fontId="1" fillId="12" borderId="6" xfId="0" applyFont="1" applyFill="1" applyBorder="1" applyAlignment="1" applyProtection="1">
      <protection locked="0"/>
    </xf>
    <xf numFmtId="43" fontId="1" fillId="12" borderId="6" xfId="1" applyFont="1" applyFill="1" applyBorder="1" applyProtection="1">
      <protection locked="0"/>
    </xf>
    <xf numFmtId="43" fontId="0" fillId="12" borderId="6" xfId="0" applyNumberFormat="1" applyFill="1" applyBorder="1" applyProtection="1">
      <protection locked="0"/>
    </xf>
    <xf numFmtId="43" fontId="1" fillId="0" borderId="0" xfId="1" applyFont="1" applyProtection="1">
      <protection locked="0"/>
    </xf>
    <xf numFmtId="43" fontId="1" fillId="0" borderId="0" xfId="0" applyNumberFormat="1" applyFont="1" applyProtection="1">
      <protection locked="0"/>
    </xf>
    <xf numFmtId="43" fontId="0" fillId="12" borderId="6" xfId="1" applyFont="1" applyFill="1" applyBorder="1" applyProtection="1">
      <protection locked="0"/>
    </xf>
    <xf numFmtId="0" fontId="1" fillId="9" borderId="6" xfId="0" applyFont="1" applyFill="1" applyBorder="1" applyProtection="1">
      <protection locked="0"/>
    </xf>
    <xf numFmtId="43" fontId="0" fillId="9" borderId="6" xfId="0" applyNumberFormat="1" applyFill="1" applyBorder="1" applyProtection="1">
      <protection locked="0"/>
    </xf>
    <xf numFmtId="9" fontId="1" fillId="0" borderId="0" xfId="2" applyFo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25" fillId="0" borderId="0" xfId="0" applyFont="1" applyProtection="1">
      <protection locked="0"/>
    </xf>
    <xf numFmtId="14" fontId="25" fillId="2" borderId="0" xfId="0" applyNumberFormat="1" applyFont="1" applyFill="1" applyProtection="1">
      <protection locked="0"/>
    </xf>
    <xf numFmtId="0" fontId="25" fillId="0" borderId="0" xfId="0" applyFont="1" applyAlignment="1" applyProtection="1">
      <alignment horizontal="center"/>
      <protection locked="0"/>
    </xf>
    <xf numFmtId="0" fontId="1" fillId="0" borderId="19" xfId="0" applyFont="1" applyBorder="1" applyProtection="1">
      <protection locked="0"/>
    </xf>
    <xf numFmtId="0" fontId="19" fillId="15" borderId="6" xfId="0" applyFont="1" applyFill="1" applyBorder="1" applyProtection="1">
      <protection locked="0"/>
    </xf>
    <xf numFmtId="0" fontId="1" fillId="16" borderId="6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hidden="1"/>
    </xf>
    <xf numFmtId="0" fontId="26" fillId="0" borderId="0" xfId="0" applyFont="1" applyProtection="1">
      <protection locked="0"/>
    </xf>
    <xf numFmtId="4" fontId="5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9" fontId="5" fillId="0" borderId="0" xfId="2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1" fillId="0" borderId="0" xfId="0" applyFont="1" applyAlignment="1" applyProtection="1"/>
    <xf numFmtId="0" fontId="1" fillId="0" borderId="0" xfId="0" applyFont="1" applyAlignment="1" applyProtection="1">
      <protection locked="0"/>
    </xf>
    <xf numFmtId="0" fontId="26" fillId="0" borderId="0" xfId="0" applyFont="1" applyFill="1" applyProtection="1">
      <protection locked="0"/>
    </xf>
    <xf numFmtId="0" fontId="14" fillId="5" borderId="6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2" fontId="0" fillId="2" borderId="6" xfId="0" applyNumberFormat="1" applyFill="1" applyBorder="1" applyProtection="1">
      <protection locked="0"/>
    </xf>
    <xf numFmtId="2" fontId="0" fillId="0" borderId="6" xfId="0" applyNumberFormat="1" applyFill="1" applyBorder="1" applyProtection="1"/>
    <xf numFmtId="2" fontId="0" fillId="0" borderId="6" xfId="0" applyNumberFormat="1" applyBorder="1" applyProtection="1"/>
    <xf numFmtId="2" fontId="1" fillId="0" borderId="7" xfId="0" applyNumberFormat="1" applyFont="1" applyBorder="1" applyProtection="1"/>
    <xf numFmtId="2" fontId="1" fillId="2" borderId="5" xfId="0" applyNumberFormat="1" applyFont="1" applyFill="1" applyBorder="1" applyAlignment="1" applyProtection="1">
      <alignment horizontal="center"/>
      <protection locked="0"/>
    </xf>
    <xf numFmtId="2" fontId="0" fillId="0" borderId="6" xfId="0" applyNumberFormat="1" applyBorder="1" applyProtection="1">
      <protection hidden="1"/>
    </xf>
    <xf numFmtId="2" fontId="28" fillId="0" borderId="7" xfId="0" applyNumberFormat="1" applyFont="1" applyBorder="1" applyProtection="1"/>
    <xf numFmtId="2" fontId="0" fillId="2" borderId="5" xfId="0" applyNumberFormat="1" applyFill="1" applyBorder="1" applyAlignment="1" applyProtection="1">
      <alignment horizontal="center"/>
      <protection locked="0"/>
    </xf>
    <xf numFmtId="0" fontId="0" fillId="0" borderId="6" xfId="0" applyBorder="1" applyProtection="1"/>
    <xf numFmtId="0" fontId="0" fillId="2" borderId="6" xfId="0" applyFill="1" applyBorder="1" applyProtection="1"/>
    <xf numFmtId="0" fontId="20" fillId="0" borderId="34" xfId="0" applyFont="1" applyBorder="1" applyAlignment="1" applyProtection="1">
      <alignment horizontal="left"/>
      <protection locked="0"/>
    </xf>
    <xf numFmtId="0" fontId="20" fillId="0" borderId="49" xfId="0" applyFont="1" applyBorder="1" applyAlignment="1" applyProtection="1">
      <alignment horizontal="left"/>
      <protection locked="0"/>
    </xf>
    <xf numFmtId="0" fontId="1" fillId="0" borderId="34" xfId="0" applyFont="1" applyBorder="1" applyAlignment="1" applyProtection="1">
      <alignment horizontal="left"/>
      <protection locked="0"/>
    </xf>
    <xf numFmtId="0" fontId="1" fillId="0" borderId="49" xfId="0" applyFont="1" applyBorder="1" applyAlignment="1" applyProtection="1">
      <alignment horizontal="left"/>
      <protection locked="0"/>
    </xf>
    <xf numFmtId="0" fontId="1" fillId="6" borderId="34" xfId="0" applyFont="1" applyFill="1" applyBorder="1" applyAlignment="1" applyProtection="1">
      <alignment horizontal="left"/>
      <protection locked="0"/>
    </xf>
    <xf numFmtId="0" fontId="1" fillId="6" borderId="49" xfId="0" applyFont="1" applyFill="1" applyBorder="1" applyAlignment="1" applyProtection="1">
      <alignment horizontal="left"/>
      <protection locked="0"/>
    </xf>
    <xf numFmtId="3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0" fillId="0" borderId="0" xfId="0" applyAlignment="1" applyProtection="1">
      <alignment horizontal="left" indent="3"/>
      <protection locked="0"/>
    </xf>
    <xf numFmtId="2" fontId="1" fillId="0" borderId="13" xfId="0" applyNumberFormat="1" applyFont="1" applyBorder="1" applyProtection="1"/>
    <xf numFmtId="0" fontId="14" fillId="5" borderId="11" xfId="0" applyFont="1" applyFill="1" applyBorder="1" applyAlignment="1" applyProtection="1">
      <alignment horizontal="center" vertical="center"/>
      <protection locked="0"/>
    </xf>
    <xf numFmtId="2" fontId="28" fillId="0" borderId="12" xfId="0" applyNumberFormat="1" applyFont="1" applyBorder="1" applyProtection="1"/>
    <xf numFmtId="2" fontId="28" fillId="0" borderId="13" xfId="0" applyNumberFormat="1" applyFont="1" applyBorder="1" applyProtection="1"/>
    <xf numFmtId="0" fontId="1" fillId="0" borderId="0" xfId="0" applyFont="1" applyAlignment="1" applyProtection="1">
      <alignment horizontal="center" vertical="center"/>
      <protection locked="0"/>
    </xf>
    <xf numFmtId="0" fontId="13" fillId="5" borderId="5" xfId="0" applyFont="1" applyFill="1" applyBorder="1" applyAlignment="1" applyProtection="1">
      <alignment horizontal="left"/>
      <protection locked="0"/>
    </xf>
    <xf numFmtId="0" fontId="13" fillId="5" borderId="6" xfId="0" applyFont="1" applyFill="1" applyBorder="1" applyAlignment="1" applyProtection="1">
      <alignment horizontal="left"/>
      <protection locked="0"/>
    </xf>
    <xf numFmtId="0" fontId="13" fillId="5" borderId="6" xfId="0" applyFont="1" applyFill="1" applyBorder="1" applyAlignment="1" applyProtection="1">
      <alignment horizontal="center"/>
      <protection locked="0"/>
    </xf>
    <xf numFmtId="2" fontId="1" fillId="0" borderId="6" xfId="0" applyNumberFormat="1" applyFont="1" applyBorder="1" applyAlignment="1" applyProtection="1">
      <alignment horizontal="center" vertical="center"/>
    </xf>
    <xf numFmtId="167" fontId="1" fillId="0" borderId="6" xfId="0" applyNumberFormat="1" applyFont="1" applyBorder="1" applyAlignment="1" applyProtection="1">
      <alignment horizontal="center" vertical="center"/>
    </xf>
    <xf numFmtId="2" fontId="1" fillId="0" borderId="7" xfId="0" applyNumberFormat="1" applyFont="1" applyBorder="1" applyAlignment="1" applyProtection="1">
      <alignment horizontal="center" vertical="center"/>
    </xf>
    <xf numFmtId="0" fontId="1" fillId="13" borderId="5" xfId="0" applyFont="1" applyFill="1" applyBorder="1" applyAlignment="1" applyProtection="1">
      <protection locked="0"/>
    </xf>
    <xf numFmtId="9" fontId="1" fillId="13" borderId="6" xfId="0" applyNumberFormat="1" applyFont="1" applyFill="1" applyBorder="1" applyAlignment="1" applyProtection="1">
      <protection locked="0"/>
    </xf>
    <xf numFmtId="0" fontId="1" fillId="13" borderId="8" xfId="0" applyFont="1" applyFill="1" applyBorder="1" applyAlignment="1" applyProtection="1">
      <protection locked="0"/>
    </xf>
    <xf numFmtId="9" fontId="1" fillId="13" borderId="9" xfId="0" applyNumberFormat="1" applyFont="1" applyFill="1" applyBorder="1" applyAlignment="1" applyProtection="1">
      <protection locked="0"/>
    </xf>
    <xf numFmtId="2" fontId="1" fillId="0" borderId="12" xfId="0" applyNumberFormat="1" applyFont="1" applyBorder="1" applyAlignment="1" applyProtection="1">
      <alignment horizontal="center" vertical="center"/>
    </xf>
    <xf numFmtId="167" fontId="1" fillId="0" borderId="12" xfId="0" applyNumberFormat="1" applyFont="1" applyBorder="1" applyAlignment="1" applyProtection="1">
      <alignment horizontal="center" vertical="center"/>
    </xf>
    <xf numFmtId="2" fontId="1" fillId="0" borderId="13" xfId="0" applyNumberFormat="1" applyFont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2" fontId="1" fillId="0" borderId="6" xfId="0" applyNumberFormat="1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2" fontId="1" fillId="0" borderId="12" xfId="0" applyNumberFormat="1" applyFont="1" applyFill="1" applyBorder="1" applyAlignment="1" applyProtection="1">
      <alignment horizontal="center" vertical="center"/>
    </xf>
    <xf numFmtId="2" fontId="0" fillId="0" borderId="12" xfId="0" applyNumberFormat="1" applyBorder="1" applyProtection="1">
      <protection hidden="1"/>
    </xf>
    <xf numFmtId="2" fontId="0" fillId="0" borderId="24" xfId="0" applyNumberFormat="1" applyBorder="1" applyProtection="1"/>
    <xf numFmtId="2" fontId="0" fillId="0" borderId="38" xfId="0" applyNumberFormat="1" applyBorder="1" applyProtection="1"/>
    <xf numFmtId="43" fontId="27" fillId="0" borderId="0" xfId="1" applyFont="1" applyProtection="1">
      <protection locked="0"/>
    </xf>
    <xf numFmtId="2" fontId="0" fillId="0" borderId="0" xfId="0" applyNumberFormat="1" applyProtection="1">
      <protection locked="0"/>
    </xf>
    <xf numFmtId="0" fontId="13" fillId="17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2" fontId="0" fillId="0" borderId="0" xfId="0" applyNumberFormat="1" applyProtection="1"/>
    <xf numFmtId="0" fontId="21" fillId="10" borderId="0" xfId="0" applyFont="1" applyFill="1" applyAlignment="1" applyProtection="1">
      <alignment horizontal="center"/>
      <protection locked="0"/>
    </xf>
    <xf numFmtId="0" fontId="29" fillId="0" borderId="0" xfId="0" applyFont="1" applyAlignment="1" applyProtection="1">
      <alignment horizontal="left" wrapText="1"/>
    </xf>
    <xf numFmtId="0" fontId="1" fillId="0" borderId="0" xfId="0" applyFont="1" applyAlignment="1" applyProtection="1">
      <alignment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24" fillId="0" borderId="0" xfId="0" applyFont="1" applyProtection="1"/>
    <xf numFmtId="9" fontId="0" fillId="0" borderId="0" xfId="0" applyNumberFormat="1" applyProtection="1">
      <protection locked="0"/>
    </xf>
    <xf numFmtId="0" fontId="29" fillId="0" borderId="0" xfId="0" applyFont="1" applyAlignment="1" applyProtection="1">
      <alignment horizontal="center" wrapText="1"/>
    </xf>
    <xf numFmtId="0" fontId="4" fillId="0" borderId="0" xfId="0" applyFont="1" applyFill="1" applyProtection="1">
      <protection hidden="1"/>
    </xf>
    <xf numFmtId="0" fontId="4" fillId="0" borderId="0" xfId="0" applyFont="1"/>
    <xf numFmtId="167" fontId="0" fillId="0" borderId="0" xfId="0" applyNumberFormat="1" applyProtection="1">
      <protection locked="0"/>
    </xf>
    <xf numFmtId="0" fontId="21" fillId="18" borderId="0" xfId="0" applyFont="1" applyFill="1" applyAlignment="1" applyProtection="1">
      <alignment horizontal="center"/>
      <protection locked="0"/>
    </xf>
    <xf numFmtId="0" fontId="26" fillId="0" borderId="0" xfId="0" applyFont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21" fillId="18" borderId="6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Protection="1">
      <protection locked="0"/>
    </xf>
    <xf numFmtId="2" fontId="0" fillId="0" borderId="12" xfId="0" applyNumberFormat="1" applyBorder="1" applyProtection="1"/>
    <xf numFmtId="167" fontId="0" fillId="0" borderId="12" xfId="0" applyNumberFormat="1" applyBorder="1" applyProtection="1"/>
    <xf numFmtId="0" fontId="0" fillId="0" borderId="12" xfId="0" applyBorder="1" applyProtection="1"/>
    <xf numFmtId="9" fontId="0" fillId="0" borderId="13" xfId="0" applyNumberFormat="1" applyBorder="1" applyProtection="1"/>
    <xf numFmtId="2" fontId="0" fillId="0" borderId="0" xfId="0" applyNumberFormat="1" applyBorder="1" applyProtection="1"/>
    <xf numFmtId="167" fontId="0" fillId="0" borderId="0" xfId="0" applyNumberFormat="1" applyBorder="1" applyProtection="1"/>
    <xf numFmtId="0" fontId="0" fillId="0" borderId="0" xfId="0" applyBorder="1" applyProtection="1"/>
    <xf numFmtId="9" fontId="0" fillId="0" borderId="0" xfId="0" applyNumberFormat="1" applyBorder="1" applyProtection="1"/>
    <xf numFmtId="0" fontId="21" fillId="19" borderId="0" xfId="0" applyFont="1" applyFill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1" fillId="19" borderId="6" xfId="0" applyFont="1" applyFill="1" applyBorder="1" applyAlignment="1" applyProtection="1">
      <alignment horizontal="center" vertical="center"/>
      <protection locked="0"/>
    </xf>
    <xf numFmtId="9" fontId="1" fillId="2" borderId="6" xfId="2" applyFont="1" applyFill="1" applyBorder="1" applyProtection="1"/>
    <xf numFmtId="1" fontId="0" fillId="0" borderId="6" xfId="0" applyNumberFormat="1" applyBorder="1" applyProtection="1"/>
    <xf numFmtId="167" fontId="0" fillId="0" borderId="6" xfId="0" applyNumberFormat="1" applyBorder="1" applyProtection="1"/>
    <xf numFmtId="9" fontId="1" fillId="2" borderId="6" xfId="2" applyFont="1" applyFill="1" applyBorder="1" applyProtection="1">
      <protection locked="0"/>
    </xf>
    <xf numFmtId="9" fontId="1" fillId="2" borderId="12" xfId="2" applyFont="1" applyFill="1" applyBorder="1" applyProtection="1">
      <protection locked="0"/>
    </xf>
    <xf numFmtId="1" fontId="0" fillId="0" borderId="12" xfId="0" applyNumberFormat="1" applyBorder="1" applyProtection="1"/>
    <xf numFmtId="0" fontId="31" fillId="0" borderId="39" xfId="0" applyFont="1" applyBorder="1" applyAlignment="1">
      <alignment horizontal="center"/>
    </xf>
    <xf numFmtId="0" fontId="26" fillId="0" borderId="47" xfId="0" applyFont="1" applyBorder="1" applyProtection="1">
      <protection locked="0"/>
    </xf>
    <xf numFmtId="0" fontId="13" fillId="5" borderId="0" xfId="0" applyFont="1" applyFill="1" applyBorder="1" applyAlignment="1" applyProtection="1">
      <alignment horizont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4" fillId="5" borderId="16" xfId="0" applyFont="1" applyFill="1" applyBorder="1" applyAlignment="1" applyProtection="1">
      <alignment horizontal="center" vertical="center" wrapText="1"/>
      <protection locked="0"/>
    </xf>
    <xf numFmtId="0" fontId="14" fillId="5" borderId="17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Fill="1" applyProtection="1">
      <protection locked="0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36" fillId="0" borderId="0" xfId="0" applyFont="1" applyProtection="1">
      <protection locked="0"/>
    </xf>
    <xf numFmtId="0" fontId="35" fillId="0" borderId="0" xfId="0" applyFont="1" applyAlignment="1" applyProtection="1">
      <alignment horizontal="center"/>
      <protection locked="0"/>
    </xf>
    <xf numFmtId="0" fontId="35" fillId="0" borderId="0" xfId="0" applyFont="1" applyProtection="1">
      <protection locked="0"/>
    </xf>
    <xf numFmtId="0" fontId="28" fillId="0" borderId="0" xfId="0" applyFont="1" applyProtection="1">
      <protection locked="0"/>
    </xf>
    <xf numFmtId="4" fontId="28" fillId="0" borderId="0" xfId="0" applyNumberFormat="1" applyFont="1" applyProtection="1">
      <protection locked="0"/>
    </xf>
    <xf numFmtId="0" fontId="36" fillId="0" borderId="0" xfId="0" applyFont="1" applyAlignment="1" applyProtection="1">
      <alignment horizontal="center"/>
      <protection locked="0"/>
    </xf>
    <xf numFmtId="0" fontId="37" fillId="0" borderId="0" xfId="0" applyFont="1" applyAlignment="1" applyProtection="1">
      <alignment horizontal="center"/>
      <protection locked="0"/>
    </xf>
    <xf numFmtId="0" fontId="35" fillId="0" borderId="0" xfId="0" applyFont="1" applyAlignment="1" applyProtection="1">
      <alignment horizontal="center"/>
    </xf>
    <xf numFmtId="0" fontId="36" fillId="22" borderId="6" xfId="0" applyFont="1" applyFill="1" applyBorder="1" applyAlignment="1" applyProtection="1">
      <alignment vertical="center" wrapText="1"/>
      <protection locked="0"/>
    </xf>
    <xf numFmtId="0" fontId="36" fillId="22" borderId="6" xfId="0" applyFont="1" applyFill="1" applyBorder="1" applyAlignment="1" applyProtection="1">
      <alignment horizontal="left" vertical="center" wrapText="1"/>
      <protection locked="0"/>
    </xf>
    <xf numFmtId="4" fontId="36" fillId="22" borderId="6" xfId="0" applyNumberFormat="1" applyFont="1" applyFill="1" applyBorder="1" applyAlignment="1" applyProtection="1">
      <alignment vertical="center" wrapText="1"/>
    </xf>
    <xf numFmtId="4" fontId="37" fillId="22" borderId="6" xfId="0" applyNumberFormat="1" applyFont="1" applyFill="1" applyBorder="1" applyAlignment="1" applyProtection="1">
      <alignment vertical="center" wrapText="1"/>
    </xf>
    <xf numFmtId="0" fontId="36" fillId="0" borderId="0" xfId="0" applyFont="1" applyAlignment="1" applyProtection="1">
      <alignment vertical="center" wrapText="1"/>
      <protection locked="0"/>
    </xf>
    <xf numFmtId="0" fontId="36" fillId="23" borderId="6" xfId="0" applyFont="1" applyFill="1" applyBorder="1" applyAlignment="1" applyProtection="1">
      <alignment vertical="center" wrapText="1"/>
      <protection locked="0"/>
    </xf>
    <xf numFmtId="0" fontId="36" fillId="23" borderId="6" xfId="0" applyFont="1" applyFill="1" applyBorder="1" applyAlignment="1" applyProtection="1">
      <alignment horizontal="left" vertical="center" wrapText="1"/>
      <protection locked="0"/>
    </xf>
    <xf numFmtId="4" fontId="36" fillId="23" borderId="6" xfId="0" applyNumberFormat="1" applyFont="1" applyFill="1" applyBorder="1" applyAlignment="1" applyProtection="1">
      <alignment vertical="center" wrapText="1"/>
    </xf>
    <xf numFmtId="4" fontId="37" fillId="23" borderId="6" xfId="0" applyNumberFormat="1" applyFont="1" applyFill="1" applyBorder="1" applyAlignment="1" applyProtection="1">
      <alignment vertical="center" wrapText="1"/>
    </xf>
    <xf numFmtId="4" fontId="37" fillId="23" borderId="6" xfId="0" applyNumberFormat="1" applyFont="1" applyFill="1" applyBorder="1" applyAlignment="1" applyProtection="1">
      <alignment horizontal="right" vertical="center" wrapText="1"/>
    </xf>
    <xf numFmtId="0" fontId="36" fillId="24" borderId="6" xfId="0" applyFont="1" applyFill="1" applyBorder="1" applyAlignment="1" applyProtection="1">
      <alignment vertical="center" wrapText="1"/>
      <protection locked="0"/>
    </xf>
    <xf numFmtId="0" fontId="36" fillId="24" borderId="6" xfId="0" applyFont="1" applyFill="1" applyBorder="1" applyAlignment="1" applyProtection="1">
      <alignment horizontal="left" vertical="center" wrapText="1"/>
      <protection locked="0"/>
    </xf>
    <xf numFmtId="4" fontId="36" fillId="24" borderId="6" xfId="0" applyNumberFormat="1" applyFont="1" applyFill="1" applyBorder="1" applyAlignment="1" applyProtection="1">
      <alignment vertical="center" wrapText="1"/>
    </xf>
    <xf numFmtId="4" fontId="37" fillId="24" borderId="6" xfId="0" applyNumberFormat="1" applyFont="1" applyFill="1" applyBorder="1" applyAlignment="1" applyProtection="1">
      <alignment vertical="center" wrapText="1"/>
    </xf>
    <xf numFmtId="4" fontId="37" fillId="24" borderId="6" xfId="0" applyNumberFormat="1" applyFont="1" applyFill="1" applyBorder="1" applyAlignment="1" applyProtection="1">
      <alignment horizontal="right" vertical="center" wrapText="1"/>
    </xf>
    <xf numFmtId="0" fontId="35" fillId="25" borderId="6" xfId="0" applyFont="1" applyFill="1" applyBorder="1" applyAlignment="1" applyProtection="1">
      <alignment vertical="center" wrapText="1"/>
      <protection locked="0"/>
    </xf>
    <xf numFmtId="0" fontId="35" fillId="25" borderId="6" xfId="0" applyFont="1" applyFill="1" applyBorder="1" applyAlignment="1" applyProtection="1">
      <alignment horizontal="left" vertical="center" wrapText="1"/>
      <protection locked="0"/>
    </xf>
    <xf numFmtId="4" fontId="35" fillId="20" borderId="6" xfId="0" applyNumberFormat="1" applyFont="1" applyFill="1" applyBorder="1" applyAlignment="1" applyProtection="1">
      <alignment vertical="center" wrapText="1"/>
      <protection locked="0"/>
    </xf>
    <xf numFmtId="4" fontId="28" fillId="20" borderId="6" xfId="0" applyNumberFormat="1" applyFont="1" applyFill="1" applyBorder="1" applyAlignment="1" applyProtection="1">
      <alignment vertical="center" wrapText="1"/>
      <protection locked="0"/>
    </xf>
    <xf numFmtId="0" fontId="35" fillId="0" borderId="0" xfId="0" applyFont="1" applyAlignment="1" applyProtection="1">
      <alignment vertical="center" wrapText="1"/>
      <protection locked="0"/>
    </xf>
    <xf numFmtId="4" fontId="35" fillId="20" borderId="6" xfId="0" applyNumberFormat="1" applyFont="1" applyFill="1" applyBorder="1" applyAlignment="1" applyProtection="1">
      <alignment horizontal="right" vertical="center" wrapText="1"/>
      <protection locked="0"/>
    </xf>
    <xf numFmtId="4" fontId="28" fillId="20" borderId="6" xfId="0" applyNumberFormat="1" applyFont="1" applyFill="1" applyBorder="1" applyAlignment="1" applyProtection="1">
      <alignment horizontal="right" vertical="center" wrapText="1"/>
      <protection locked="0"/>
    </xf>
    <xf numFmtId="4" fontId="35" fillId="25" borderId="6" xfId="0" applyNumberFormat="1" applyFont="1" applyFill="1" applyBorder="1" applyAlignment="1" applyProtection="1">
      <alignment vertical="center" wrapText="1"/>
    </xf>
    <xf numFmtId="4" fontId="36" fillId="23" borderId="6" xfId="0" applyNumberFormat="1" applyFont="1" applyFill="1" applyBorder="1" applyAlignment="1" applyProtection="1">
      <alignment horizontal="right" vertical="center" wrapText="1"/>
    </xf>
    <xf numFmtId="4" fontId="36" fillId="24" borderId="6" xfId="0" applyNumberFormat="1" applyFont="1" applyFill="1" applyBorder="1" applyAlignment="1" applyProtection="1">
      <alignment horizontal="right" vertical="center" wrapText="1"/>
    </xf>
    <xf numFmtId="4" fontId="28" fillId="25" borderId="6" xfId="0" applyNumberFormat="1" applyFont="1" applyFill="1" applyBorder="1" applyAlignment="1" applyProtection="1">
      <alignment vertical="center" wrapText="1"/>
    </xf>
    <xf numFmtId="0" fontId="35" fillId="2" borderId="6" xfId="0" applyFont="1" applyFill="1" applyBorder="1" applyAlignment="1" applyProtection="1">
      <alignment vertical="center" wrapText="1"/>
      <protection locked="0"/>
    </xf>
    <xf numFmtId="0" fontId="35" fillId="2" borderId="6" xfId="0" applyFont="1" applyFill="1" applyBorder="1" applyAlignment="1" applyProtection="1">
      <alignment horizontal="left" vertical="center" wrapText="1"/>
      <protection locked="0"/>
    </xf>
    <xf numFmtId="4" fontId="35" fillId="2" borderId="6" xfId="0" applyNumberFormat="1" applyFont="1" applyFill="1" applyBorder="1" applyAlignment="1" applyProtection="1">
      <alignment vertical="center" wrapText="1"/>
    </xf>
    <xf numFmtId="4" fontId="28" fillId="2" borderId="6" xfId="0" applyNumberFormat="1" applyFont="1" applyFill="1" applyBorder="1" applyAlignment="1" applyProtection="1">
      <alignment vertical="center" wrapText="1"/>
    </xf>
    <xf numFmtId="0" fontId="35" fillId="23" borderId="6" xfId="0" applyFont="1" applyFill="1" applyBorder="1" applyAlignment="1" applyProtection="1">
      <alignment vertical="center" wrapText="1"/>
      <protection locked="0"/>
    </xf>
    <xf numFmtId="0" fontId="35" fillId="24" borderId="6" xfId="0" applyFont="1" applyFill="1" applyBorder="1" applyAlignment="1" applyProtection="1">
      <alignment vertical="center" wrapText="1"/>
      <protection locked="0"/>
    </xf>
    <xf numFmtId="0" fontId="35" fillId="26" borderId="0" xfId="0" applyFont="1" applyFill="1" applyAlignment="1" applyProtection="1">
      <alignment vertical="center" wrapText="1"/>
      <protection locked="0"/>
    </xf>
    <xf numFmtId="4" fontId="35" fillId="25" borderId="6" xfId="0" applyNumberFormat="1" applyFont="1" applyFill="1" applyBorder="1" applyAlignment="1" applyProtection="1">
      <alignment vertical="center" wrapText="1"/>
      <protection locked="0"/>
    </xf>
    <xf numFmtId="4" fontId="28" fillId="25" borderId="6" xfId="0" applyNumberFormat="1" applyFont="1" applyFill="1" applyBorder="1" applyAlignment="1" applyProtection="1">
      <alignment vertical="center" wrapText="1"/>
      <protection locked="0"/>
    </xf>
    <xf numFmtId="0" fontId="35" fillId="0" borderId="0" xfId="0" applyFont="1" applyBorder="1" applyAlignment="1" applyProtection="1">
      <alignment vertical="center" wrapText="1"/>
      <protection locked="0"/>
    </xf>
    <xf numFmtId="4" fontId="36" fillId="22" borderId="18" xfId="0" applyNumberFormat="1" applyFont="1" applyFill="1" applyBorder="1" applyAlignment="1" applyProtection="1">
      <alignment vertical="center" wrapText="1"/>
    </xf>
    <xf numFmtId="4" fontId="36" fillId="23" borderId="18" xfId="0" applyNumberFormat="1" applyFont="1" applyFill="1" applyBorder="1" applyAlignment="1" applyProtection="1">
      <alignment vertical="center" wrapText="1"/>
    </xf>
    <xf numFmtId="4" fontId="36" fillId="24" borderId="18" xfId="0" applyNumberFormat="1" applyFont="1" applyFill="1" applyBorder="1" applyAlignment="1" applyProtection="1">
      <alignment vertical="center" wrapText="1"/>
    </xf>
    <xf numFmtId="4" fontId="35" fillId="20" borderId="18" xfId="0" applyNumberFormat="1" applyFont="1" applyFill="1" applyBorder="1" applyAlignment="1" applyProtection="1">
      <alignment vertical="center" wrapText="1"/>
      <protection locked="0"/>
    </xf>
    <xf numFmtId="4" fontId="35" fillId="20" borderId="18" xfId="0" applyNumberFormat="1" applyFont="1" applyFill="1" applyBorder="1" applyAlignment="1" applyProtection="1">
      <alignment horizontal="right" vertical="center" wrapText="1"/>
      <protection locked="0"/>
    </xf>
    <xf numFmtId="4" fontId="36" fillId="23" borderId="18" xfId="0" applyNumberFormat="1" applyFont="1" applyFill="1" applyBorder="1" applyAlignment="1" applyProtection="1">
      <alignment horizontal="right" vertical="center" wrapText="1"/>
    </xf>
    <xf numFmtId="4" fontId="36" fillId="24" borderId="18" xfId="0" applyNumberFormat="1" applyFont="1" applyFill="1" applyBorder="1" applyAlignment="1" applyProtection="1">
      <alignment horizontal="right" vertical="center" wrapText="1"/>
    </xf>
    <xf numFmtId="4" fontId="35" fillId="25" borderId="18" xfId="0" applyNumberFormat="1" applyFont="1" applyFill="1" applyBorder="1" applyAlignment="1" applyProtection="1">
      <alignment vertical="center" wrapText="1"/>
    </xf>
    <xf numFmtId="4" fontId="35" fillId="2" borderId="18" xfId="0" applyNumberFormat="1" applyFont="1" applyFill="1" applyBorder="1" applyAlignment="1" applyProtection="1">
      <alignment vertical="center" wrapText="1"/>
    </xf>
    <xf numFmtId="4" fontId="35" fillId="25" borderId="18" xfId="0" applyNumberFormat="1" applyFont="1" applyFill="1" applyBorder="1" applyAlignment="1" applyProtection="1">
      <alignment vertical="center" wrapText="1"/>
      <protection locked="0"/>
    </xf>
    <xf numFmtId="4" fontId="36" fillId="22" borderId="56" xfId="0" applyNumberFormat="1" applyFont="1" applyFill="1" applyBorder="1" applyAlignment="1" applyProtection="1">
      <alignment vertical="center" wrapText="1"/>
    </xf>
    <xf numFmtId="4" fontId="36" fillId="23" borderId="56" xfId="0" applyNumberFormat="1" applyFont="1" applyFill="1" applyBorder="1" applyAlignment="1" applyProtection="1">
      <alignment vertical="center" wrapText="1"/>
    </xf>
    <xf numFmtId="4" fontId="36" fillId="24" borderId="56" xfId="0" applyNumberFormat="1" applyFont="1" applyFill="1" applyBorder="1" applyAlignment="1" applyProtection="1">
      <alignment vertical="center" wrapText="1"/>
    </xf>
    <xf numFmtId="4" fontId="35" fillId="20" borderId="56" xfId="0" applyNumberFormat="1" applyFont="1" applyFill="1" applyBorder="1" applyAlignment="1" applyProtection="1">
      <alignment vertical="center" wrapText="1"/>
      <protection locked="0"/>
    </xf>
    <xf numFmtId="4" fontId="35" fillId="20" borderId="56" xfId="0" applyNumberFormat="1" applyFont="1" applyFill="1" applyBorder="1" applyAlignment="1" applyProtection="1">
      <alignment horizontal="right" vertical="center" wrapText="1"/>
      <protection locked="0"/>
    </xf>
    <xf numFmtId="4" fontId="36" fillId="23" borderId="56" xfId="0" applyNumberFormat="1" applyFont="1" applyFill="1" applyBorder="1" applyAlignment="1" applyProtection="1">
      <alignment horizontal="right" vertical="center" wrapText="1"/>
    </xf>
    <xf numFmtId="4" fontId="36" fillId="24" borderId="56" xfId="0" applyNumberFormat="1" applyFont="1" applyFill="1" applyBorder="1" applyAlignment="1" applyProtection="1">
      <alignment horizontal="right" vertical="center" wrapText="1"/>
    </xf>
    <xf numFmtId="4" fontId="35" fillId="25" borderId="56" xfId="0" applyNumberFormat="1" applyFont="1" applyFill="1" applyBorder="1" applyAlignment="1" applyProtection="1">
      <alignment vertical="center" wrapText="1"/>
    </xf>
    <xf numFmtId="4" fontId="35" fillId="2" borderId="56" xfId="0" applyNumberFormat="1" applyFont="1" applyFill="1" applyBorder="1" applyAlignment="1" applyProtection="1">
      <alignment vertical="center" wrapText="1"/>
    </xf>
    <xf numFmtId="4" fontId="35" fillId="25" borderId="56" xfId="0" applyNumberFormat="1" applyFont="1" applyFill="1" applyBorder="1" applyAlignment="1" applyProtection="1">
      <alignment vertical="center" wrapText="1"/>
      <protection locked="0"/>
    </xf>
    <xf numFmtId="4" fontId="36" fillId="22" borderId="57" xfId="0" applyNumberFormat="1" applyFont="1" applyFill="1" applyBorder="1" applyAlignment="1" applyProtection="1">
      <alignment vertical="center" wrapText="1"/>
    </xf>
    <xf numFmtId="0" fontId="35" fillId="0" borderId="58" xfId="0" applyFont="1" applyBorder="1" applyProtection="1">
      <protection locked="0"/>
    </xf>
    <xf numFmtId="0" fontId="36" fillId="0" borderId="56" xfId="0" applyFont="1" applyBorder="1" applyAlignment="1" applyProtection="1">
      <alignment horizontal="center"/>
    </xf>
    <xf numFmtId="168" fontId="35" fillId="20" borderId="57" xfId="0" applyNumberFormat="1" applyFont="1" applyFill="1" applyBorder="1" applyAlignment="1" applyProtection="1">
      <alignment horizontal="center"/>
    </xf>
    <xf numFmtId="43" fontId="0" fillId="2" borderId="33" xfId="1" applyFont="1" applyFill="1" applyBorder="1" applyProtection="1">
      <protection locked="0"/>
    </xf>
    <xf numFmtId="43" fontId="0" fillId="2" borderId="10" xfId="1" applyFont="1" applyFill="1" applyBorder="1" applyProtection="1">
      <protection locked="0"/>
    </xf>
    <xf numFmtId="43" fontId="0" fillId="2" borderId="7" xfId="1" applyFont="1" applyFill="1" applyBorder="1" applyProtection="1">
      <protection locked="0"/>
    </xf>
    <xf numFmtId="0" fontId="1" fillId="16" borderId="18" xfId="0" applyFont="1" applyFill="1" applyBorder="1" applyAlignment="1" applyProtection="1">
      <protection locked="0"/>
    </xf>
    <xf numFmtId="0" fontId="1" fillId="15" borderId="18" xfId="0" applyFont="1" applyFill="1" applyBorder="1" applyAlignment="1" applyProtection="1">
      <protection locked="0"/>
    </xf>
    <xf numFmtId="43" fontId="0" fillId="2" borderId="8" xfId="1" applyFont="1" applyFill="1" applyBorder="1" applyAlignment="1" applyProtection="1">
      <alignment horizontal="center"/>
      <protection locked="0"/>
    </xf>
    <xf numFmtId="43" fontId="0" fillId="0" borderId="0" xfId="0" applyNumberFormat="1" applyProtection="1">
      <protection locked="0"/>
    </xf>
    <xf numFmtId="2" fontId="1" fillId="0" borderId="0" xfId="2" applyNumberFormat="1" applyFont="1" applyProtection="1">
      <protection locked="0"/>
    </xf>
    <xf numFmtId="43" fontId="0" fillId="2" borderId="34" xfId="1" applyFont="1" applyFill="1" applyBorder="1" applyAlignment="1" applyProtection="1">
      <alignment horizontal="center"/>
    </xf>
    <xf numFmtId="1" fontId="0" fillId="2" borderId="0" xfId="0" applyNumberFormat="1" applyFill="1" applyBorder="1" applyAlignment="1" applyProtection="1">
      <alignment horizontal="center" vertical="center"/>
      <protection locked="0"/>
    </xf>
    <xf numFmtId="9" fontId="0" fillId="0" borderId="0" xfId="2" applyFont="1" applyProtection="1"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43" fontId="0" fillId="0" borderId="0" xfId="0" applyNumberFormat="1" applyFill="1" applyBorder="1" applyProtection="1"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164" fontId="0" fillId="0" borderId="0" xfId="1" applyNumberFormat="1" applyFont="1" applyProtection="1">
      <protection locked="0"/>
    </xf>
    <xf numFmtId="43" fontId="0" fillId="0" borderId="60" xfId="0" applyNumberFormat="1" applyBorder="1" applyProtection="1">
      <protection locked="0"/>
    </xf>
    <xf numFmtId="1" fontId="0" fillId="0" borderId="6" xfId="0" applyNumberFormat="1" applyFill="1" applyBorder="1" applyAlignment="1" applyProtection="1">
      <alignment horizontal="center"/>
      <protection locked="0"/>
    </xf>
    <xf numFmtId="1" fontId="1" fillId="0" borderId="6" xfId="0" applyNumberFormat="1" applyFont="1" applyBorder="1" applyAlignment="1" applyProtection="1">
      <alignment horizontal="center"/>
      <protection locked="0"/>
    </xf>
    <xf numFmtId="1" fontId="0" fillId="0" borderId="6" xfId="1" applyNumberFormat="1" applyFont="1" applyBorder="1" applyAlignment="1" applyProtection="1">
      <alignment horizontal="center"/>
      <protection locked="0"/>
    </xf>
    <xf numFmtId="1" fontId="0" fillId="0" borderId="6" xfId="1" applyNumberFormat="1" applyFont="1" applyBorder="1" applyAlignment="1" applyProtection="1">
      <alignment horizontal="center" vertical="center"/>
      <protection locked="0"/>
    </xf>
    <xf numFmtId="1" fontId="19" fillId="27" borderId="61" xfId="0" applyNumberFormat="1" applyFont="1" applyFill="1" applyBorder="1" applyAlignment="1" applyProtection="1">
      <alignment horizontal="center"/>
      <protection locked="0"/>
    </xf>
    <xf numFmtId="0" fontId="19" fillId="15" borderId="6" xfId="0" applyFont="1" applyFill="1" applyBorder="1" applyAlignment="1" applyProtection="1">
      <alignment horizontal="center"/>
      <protection locked="0"/>
    </xf>
    <xf numFmtId="0" fontId="19" fillId="16" borderId="6" xfId="0" applyFont="1" applyFill="1" applyBorder="1" applyAlignment="1" applyProtection="1">
      <alignment horizontal="center" vertical="center"/>
      <protection locked="0"/>
    </xf>
    <xf numFmtId="4" fontId="28" fillId="0" borderId="0" xfId="0" applyNumberFormat="1" applyFont="1" applyAlignment="1" applyProtection="1">
      <alignment vertical="center"/>
      <protection locked="0"/>
    </xf>
    <xf numFmtId="43" fontId="16" fillId="0" borderId="0" xfId="1" applyFont="1" applyFill="1" applyBorder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0" xfId="0" applyFont="1" applyProtection="1">
      <protection locked="0"/>
    </xf>
    <xf numFmtId="0" fontId="28" fillId="0" borderId="0" xfId="0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center"/>
    </xf>
    <xf numFmtId="0" fontId="37" fillId="0" borderId="0" xfId="0" applyFont="1" applyAlignment="1" applyProtection="1">
      <alignment vertical="center" wrapText="1"/>
      <protection locked="0"/>
    </xf>
    <xf numFmtId="0" fontId="28" fillId="0" borderId="0" xfId="0" applyFont="1" applyAlignment="1" applyProtection="1">
      <alignment vertical="center" wrapText="1"/>
      <protection locked="0"/>
    </xf>
    <xf numFmtId="0" fontId="28" fillId="26" borderId="0" xfId="0" applyFont="1" applyFill="1" applyAlignment="1" applyProtection="1">
      <alignment vertical="center" wrapText="1"/>
      <protection locked="0"/>
    </xf>
    <xf numFmtId="4" fontId="37" fillId="0" borderId="0" xfId="0" applyNumberFormat="1" applyFont="1" applyAlignment="1" applyProtection="1">
      <alignment vertical="center" wrapText="1"/>
      <protection locked="0"/>
    </xf>
    <xf numFmtId="0" fontId="36" fillId="0" borderId="18" xfId="0" applyFont="1" applyBorder="1" applyAlignment="1" applyProtection="1">
      <alignment horizontal="center"/>
    </xf>
    <xf numFmtId="168" fontId="35" fillId="20" borderId="18" xfId="0" applyNumberFormat="1" applyFont="1" applyFill="1" applyBorder="1" applyAlignment="1" applyProtection="1">
      <alignment horizontal="center"/>
    </xf>
    <xf numFmtId="43" fontId="1" fillId="0" borderId="35" xfId="1" applyFont="1" applyBorder="1" applyProtection="1">
      <protection locked="0"/>
    </xf>
    <xf numFmtId="43" fontId="14" fillId="5" borderId="46" xfId="1" applyFont="1" applyFill="1" applyBorder="1" applyAlignment="1" applyProtection="1">
      <alignment vertical="center"/>
      <protection locked="0"/>
    </xf>
    <xf numFmtId="43" fontId="14" fillId="5" borderId="66" xfId="1" applyFont="1" applyFill="1" applyBorder="1" applyAlignment="1" applyProtection="1">
      <alignment vertical="center"/>
      <protection locked="0"/>
    </xf>
    <xf numFmtId="43" fontId="14" fillId="5" borderId="33" xfId="1" applyFont="1" applyFill="1" applyBorder="1" applyAlignment="1" applyProtection="1">
      <alignment vertical="center"/>
      <protection locked="0"/>
    </xf>
    <xf numFmtId="43" fontId="0" fillId="0" borderId="68" xfId="1" applyFont="1" applyBorder="1" applyProtection="1">
      <protection locked="0"/>
    </xf>
    <xf numFmtId="43" fontId="14" fillId="5" borderId="0" xfId="1" applyFont="1" applyFill="1" applyBorder="1" applyAlignment="1" applyProtection="1">
      <alignment vertical="center"/>
      <protection locked="0"/>
    </xf>
    <xf numFmtId="43" fontId="1" fillId="0" borderId="37" xfId="1" applyFont="1" applyBorder="1" applyProtection="1">
      <protection locked="0"/>
    </xf>
    <xf numFmtId="43" fontId="1" fillId="2" borderId="30" xfId="1" applyFont="1" applyFill="1" applyBorder="1" applyAlignment="1" applyProtection="1">
      <alignment horizontal="center" vertical="center"/>
      <protection locked="0"/>
    </xf>
    <xf numFmtId="43" fontId="1" fillId="0" borderId="33" xfId="1" applyFont="1" applyBorder="1" applyProtection="1">
      <protection locked="0"/>
    </xf>
    <xf numFmtId="43" fontId="19" fillId="0" borderId="38" xfId="1" applyFont="1" applyBorder="1" applyAlignment="1" applyProtection="1">
      <protection locked="0"/>
    </xf>
    <xf numFmtId="43" fontId="19" fillId="0" borderId="24" xfId="1" applyFont="1" applyBorder="1" applyAlignment="1" applyProtection="1">
      <protection locked="0"/>
    </xf>
    <xf numFmtId="43" fontId="19" fillId="0" borderId="25" xfId="1" applyFont="1" applyBorder="1" applyAlignment="1" applyProtection="1">
      <protection locked="0"/>
    </xf>
    <xf numFmtId="0" fontId="0" fillId="2" borderId="0" xfId="0" applyNumberFormat="1" applyFill="1" applyBorder="1" applyAlignment="1" applyProtection="1">
      <alignment horizontal="center" vertical="center"/>
      <protection locked="0"/>
    </xf>
    <xf numFmtId="43" fontId="1" fillId="0" borderId="0" xfId="0" applyNumberFormat="1" applyFont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1" fontId="0" fillId="0" borderId="0" xfId="0" applyNumberFormat="1" applyFill="1" applyBorder="1" applyAlignment="1" applyProtection="1">
      <alignment horizontal="left"/>
      <protection locked="0"/>
    </xf>
    <xf numFmtId="0" fontId="1" fillId="12" borderId="6" xfId="0" applyFont="1" applyFill="1" applyBorder="1" applyAlignment="1" applyProtection="1">
      <alignment horizontal="left"/>
      <protection locked="0"/>
    </xf>
    <xf numFmtId="0" fontId="37" fillId="0" borderId="18" xfId="0" applyFont="1" applyBorder="1" applyAlignment="1" applyProtection="1">
      <alignment horizontal="center"/>
    </xf>
    <xf numFmtId="168" fontId="28" fillId="20" borderId="18" xfId="0" applyNumberFormat="1" applyFont="1" applyFill="1" applyBorder="1" applyAlignment="1" applyProtection="1">
      <alignment horizontal="center"/>
    </xf>
    <xf numFmtId="43" fontId="16" fillId="6" borderId="27" xfId="1" applyFont="1" applyFill="1" applyBorder="1" applyAlignment="1" applyProtection="1">
      <alignment vertical="center"/>
      <protection locked="0"/>
    </xf>
    <xf numFmtId="43" fontId="15" fillId="6" borderId="28" xfId="1" applyFont="1" applyFill="1" applyBorder="1" applyAlignment="1" applyProtection="1">
      <alignment vertical="center"/>
      <protection locked="0"/>
    </xf>
    <xf numFmtId="43" fontId="15" fillId="6" borderId="26" xfId="1" applyFont="1" applyFill="1" applyBorder="1" applyAlignment="1" applyProtection="1">
      <alignment vertical="center"/>
      <protection locked="0"/>
    </xf>
    <xf numFmtId="43" fontId="15" fillId="6" borderId="29" xfId="1" applyFont="1" applyFill="1" applyBorder="1" applyAlignment="1" applyProtection="1">
      <alignment vertical="center"/>
      <protection locked="0"/>
    </xf>
    <xf numFmtId="43" fontId="14" fillId="5" borderId="43" xfId="1" applyFont="1" applyFill="1" applyBorder="1" applyAlignment="1" applyProtection="1">
      <alignment vertical="center"/>
      <protection locked="0"/>
    </xf>
    <xf numFmtId="43" fontId="0" fillId="2" borderId="35" xfId="1" applyFont="1" applyFill="1" applyBorder="1" applyProtection="1">
      <protection locked="0"/>
    </xf>
    <xf numFmtId="43" fontId="15" fillId="27" borderId="28" xfId="1" applyFont="1" applyFill="1" applyBorder="1" applyAlignment="1" applyProtection="1">
      <alignment vertical="center"/>
      <protection locked="0"/>
    </xf>
    <xf numFmtId="43" fontId="15" fillId="27" borderId="26" xfId="1" applyFont="1" applyFill="1" applyBorder="1" applyAlignment="1" applyProtection="1">
      <alignment vertical="center"/>
      <protection locked="0"/>
    </xf>
    <xf numFmtId="43" fontId="0" fillId="0" borderId="32" xfId="1" applyFont="1" applyFill="1" applyBorder="1" applyProtection="1">
      <protection locked="0"/>
    </xf>
    <xf numFmtId="43" fontId="0" fillId="0" borderId="22" xfId="1" applyFont="1" applyFill="1" applyBorder="1" applyProtection="1"/>
    <xf numFmtId="43" fontId="0" fillId="0" borderId="30" xfId="1" applyFont="1" applyFill="1" applyBorder="1" applyProtection="1">
      <protection locked="0"/>
    </xf>
    <xf numFmtId="43" fontId="0" fillId="0" borderId="8" xfId="1" applyFont="1" applyFill="1" applyBorder="1" applyProtection="1">
      <protection locked="0"/>
    </xf>
    <xf numFmtId="43" fontId="0" fillId="2" borderId="37" xfId="1" applyFont="1" applyFill="1" applyBorder="1" applyProtection="1">
      <protection locked="0"/>
    </xf>
    <xf numFmtId="43" fontId="15" fillId="27" borderId="29" xfId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43" fontId="0" fillId="2" borderId="20" xfId="1" applyFont="1" applyFill="1" applyBorder="1" applyAlignment="1" applyProtection="1">
      <alignment horizontal="center"/>
    </xf>
    <xf numFmtId="43" fontId="1" fillId="2" borderId="49" xfId="1" applyFont="1" applyFill="1" applyBorder="1" applyAlignment="1" applyProtection="1">
      <alignment horizontal="center"/>
      <protection locked="0"/>
    </xf>
    <xf numFmtId="43" fontId="1" fillId="2" borderId="62" xfId="1" applyFont="1" applyFill="1" applyBorder="1" applyAlignment="1" applyProtection="1">
      <alignment horizontal="center"/>
      <protection locked="0"/>
    </xf>
    <xf numFmtId="43" fontId="0" fillId="0" borderId="2" xfId="1" applyFont="1" applyFill="1" applyBorder="1" applyProtection="1">
      <protection locked="0"/>
    </xf>
    <xf numFmtId="43" fontId="0" fillId="0" borderId="50" xfId="1" applyFont="1" applyFill="1" applyBorder="1" applyProtection="1">
      <protection locked="0"/>
    </xf>
    <xf numFmtId="43" fontId="0" fillId="2" borderId="31" xfId="1" applyFont="1" applyFill="1" applyBorder="1" applyProtection="1">
      <protection locked="0"/>
    </xf>
    <xf numFmtId="43" fontId="38" fillId="2" borderId="4" xfId="1" applyFont="1" applyFill="1" applyBorder="1" applyAlignment="1" applyProtection="1">
      <alignment vertical="center"/>
      <protection locked="0"/>
    </xf>
    <xf numFmtId="43" fontId="38" fillId="2" borderId="7" xfId="1" applyFont="1" applyFill="1" applyBorder="1" applyAlignment="1" applyProtection="1">
      <alignment vertical="center"/>
      <protection locked="0"/>
    </xf>
    <xf numFmtId="43" fontId="38" fillId="2" borderId="13" xfId="1" applyFont="1" applyFill="1" applyBorder="1" applyAlignment="1" applyProtection="1">
      <alignment vertical="center"/>
      <protection locked="0"/>
    </xf>
    <xf numFmtId="43" fontId="38" fillId="0" borderId="69" xfId="1" applyFont="1" applyFill="1" applyBorder="1" applyAlignment="1" applyProtection="1">
      <alignment vertical="center"/>
      <protection locked="0"/>
    </xf>
    <xf numFmtId="43" fontId="38" fillId="0" borderId="5" xfId="1" applyFont="1" applyFill="1" applyBorder="1" applyAlignment="1" applyProtection="1">
      <alignment vertical="center"/>
      <protection locked="0"/>
    </xf>
    <xf numFmtId="43" fontId="38" fillId="0" borderId="64" xfId="1" applyFont="1" applyFill="1" applyBorder="1" applyAlignment="1" applyProtection="1">
      <alignment vertical="center"/>
      <protection locked="0"/>
    </xf>
    <xf numFmtId="43" fontId="14" fillId="5" borderId="44" xfId="1" applyFont="1" applyFill="1" applyBorder="1" applyAlignment="1" applyProtection="1">
      <alignment vertical="center"/>
      <protection locked="0"/>
    </xf>
    <xf numFmtId="43" fontId="38" fillId="2" borderId="73" xfId="1" applyFont="1" applyFill="1" applyBorder="1" applyAlignment="1" applyProtection="1">
      <alignment vertical="center"/>
      <protection locked="0"/>
    </xf>
    <xf numFmtId="43" fontId="38" fillId="0" borderId="2" xfId="1" applyFont="1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40" xfId="0" applyFill="1" applyBorder="1" applyProtection="1">
      <protection locked="0"/>
    </xf>
    <xf numFmtId="0" fontId="0" fillId="0" borderId="45" xfId="0" applyFill="1" applyBorder="1" applyProtection="1">
      <protection locked="0"/>
    </xf>
    <xf numFmtId="43" fontId="38" fillId="2" borderId="74" xfId="1" applyFont="1" applyFill="1" applyBorder="1" applyAlignment="1" applyProtection="1">
      <alignment vertical="center"/>
      <protection locked="0"/>
    </xf>
    <xf numFmtId="43" fontId="1" fillId="0" borderId="30" xfId="1" applyFont="1" applyFill="1" applyBorder="1" applyAlignment="1" applyProtection="1">
      <alignment horizontal="center" vertical="center"/>
      <protection locked="0"/>
    </xf>
    <xf numFmtId="43" fontId="1" fillId="0" borderId="5" xfId="1" applyFont="1" applyFill="1" applyBorder="1" applyAlignment="1" applyProtection="1">
      <alignment horizontal="center" vertical="center"/>
      <protection locked="0"/>
    </xf>
    <xf numFmtId="43" fontId="20" fillId="0" borderId="5" xfId="1" applyFont="1" applyFill="1" applyBorder="1" applyAlignment="1" applyProtection="1">
      <alignment horizontal="center" vertical="center"/>
      <protection locked="0"/>
    </xf>
    <xf numFmtId="43" fontId="0" fillId="0" borderId="5" xfId="1" applyFont="1" applyFill="1" applyBorder="1" applyAlignment="1" applyProtection="1">
      <alignment horizontal="center"/>
      <protection locked="0"/>
    </xf>
    <xf numFmtId="43" fontId="15" fillId="27" borderId="27" xfId="1" applyFont="1" applyFill="1" applyBorder="1" applyAlignment="1" applyProtection="1">
      <alignment vertical="center"/>
      <protection locked="0"/>
    </xf>
    <xf numFmtId="43" fontId="38" fillId="0" borderId="62" xfId="1" applyFont="1" applyFill="1" applyBorder="1" applyAlignment="1" applyProtection="1">
      <alignment vertical="center"/>
      <protection locked="0"/>
    </xf>
    <xf numFmtId="43" fontId="38" fillId="0" borderId="49" xfId="1" applyFont="1" applyFill="1" applyBorder="1" applyAlignment="1" applyProtection="1">
      <alignment vertical="center"/>
      <protection locked="0"/>
    </xf>
    <xf numFmtId="43" fontId="38" fillId="0" borderId="67" xfId="1" applyFont="1" applyFill="1" applyBorder="1" applyAlignment="1" applyProtection="1">
      <alignment vertical="center"/>
      <protection locked="0"/>
    </xf>
    <xf numFmtId="43" fontId="38" fillId="0" borderId="35" xfId="1" applyFont="1" applyFill="1" applyBorder="1" applyAlignment="1" applyProtection="1">
      <alignment vertical="center"/>
      <protection locked="0"/>
    </xf>
    <xf numFmtId="43" fontId="14" fillId="5" borderId="7" xfId="1" applyFont="1" applyFill="1" applyBorder="1" applyAlignment="1" applyProtection="1">
      <alignment horizontal="left" vertical="center"/>
      <protection locked="0"/>
    </xf>
    <xf numFmtId="43" fontId="11" fillId="9" borderId="12" xfId="1" applyFont="1" applyFill="1" applyBorder="1" applyAlignment="1" applyProtection="1">
      <protection locked="0"/>
    </xf>
    <xf numFmtId="43" fontId="11" fillId="9" borderId="13" xfId="1" applyFont="1" applyFill="1" applyBorder="1" applyAlignment="1" applyProtection="1">
      <protection locked="0"/>
    </xf>
    <xf numFmtId="43" fontId="1" fillId="7" borderId="32" xfId="1" applyFont="1" applyFill="1" applyBorder="1" applyAlignment="1" applyProtection="1">
      <alignment horizontal="center"/>
      <protection locked="0"/>
    </xf>
    <xf numFmtId="43" fontId="14" fillId="5" borderId="71" xfId="1" applyFont="1" applyFill="1" applyBorder="1" applyAlignment="1" applyProtection="1">
      <alignment vertical="center"/>
      <protection locked="0"/>
    </xf>
    <xf numFmtId="43" fontId="15" fillId="6" borderId="27" xfId="1" applyFont="1" applyFill="1" applyBorder="1" applyAlignment="1" applyProtection="1">
      <alignment vertical="center"/>
      <protection locked="0"/>
    </xf>
    <xf numFmtId="43" fontId="15" fillId="6" borderId="15" xfId="1" applyFont="1" applyFill="1" applyBorder="1" applyAlignment="1" applyProtection="1">
      <alignment vertical="center"/>
      <protection locked="0"/>
    </xf>
    <xf numFmtId="43" fontId="38" fillId="0" borderId="4" xfId="1" applyFont="1" applyFill="1" applyBorder="1" applyAlignment="1" applyProtection="1">
      <alignment vertical="center"/>
      <protection locked="0"/>
    </xf>
    <xf numFmtId="43" fontId="15" fillId="6" borderId="72" xfId="1" applyFont="1" applyFill="1" applyBorder="1" applyAlignment="1" applyProtection="1">
      <alignment vertical="center"/>
      <protection locked="0"/>
    </xf>
    <xf numFmtId="43" fontId="1" fillId="0" borderId="32" xfId="1" applyFont="1" applyFill="1" applyBorder="1" applyProtection="1">
      <protection locked="0"/>
    </xf>
    <xf numFmtId="43" fontId="1" fillId="0" borderId="22" xfId="1" applyFont="1" applyFill="1" applyBorder="1" applyProtection="1"/>
    <xf numFmtId="43" fontId="15" fillId="27" borderId="15" xfId="1" applyFont="1" applyFill="1" applyBorder="1" applyAlignment="1" applyProtection="1">
      <alignment vertical="center"/>
      <protection locked="0"/>
    </xf>
    <xf numFmtId="43" fontId="15" fillId="27" borderId="69" xfId="1" applyFont="1" applyFill="1" applyBorder="1" applyAlignment="1" applyProtection="1">
      <alignment vertical="center"/>
      <protection locked="0"/>
    </xf>
    <xf numFmtId="43" fontId="15" fillId="27" borderId="73" xfId="1" applyFont="1" applyFill="1" applyBorder="1" applyAlignment="1" applyProtection="1">
      <alignment vertical="center"/>
      <protection locked="0"/>
    </xf>
    <xf numFmtId="43" fontId="14" fillId="5" borderId="41" xfId="1" applyFont="1" applyFill="1" applyBorder="1" applyAlignment="1" applyProtection="1">
      <alignment vertical="center"/>
      <protection locked="0"/>
    </xf>
    <xf numFmtId="43" fontId="14" fillId="5" borderId="70" xfId="1" applyFont="1" applyFill="1" applyBorder="1" applyAlignment="1" applyProtection="1">
      <alignment vertical="center"/>
      <protection locked="0"/>
    </xf>
    <xf numFmtId="1" fontId="1" fillId="0" borderId="18" xfId="1" applyNumberFormat="1" applyFont="1" applyFill="1" applyBorder="1" applyAlignment="1" applyProtection="1">
      <alignment horizontal="center"/>
    </xf>
    <xf numFmtId="1" fontId="20" fillId="2" borderId="18" xfId="1" applyNumberFormat="1" applyFont="1" applyFill="1" applyBorder="1" applyAlignment="1" applyProtection="1">
      <alignment horizontal="center"/>
    </xf>
    <xf numFmtId="0" fontId="0" fillId="0" borderId="49" xfId="0" applyBorder="1" applyProtection="1">
      <protection locked="0"/>
    </xf>
    <xf numFmtId="43" fontId="20" fillId="2" borderId="31" xfId="1" applyFont="1" applyFill="1" applyBorder="1" applyAlignment="1" applyProtection="1">
      <alignment horizontal="center"/>
      <protection locked="0"/>
    </xf>
    <xf numFmtId="1" fontId="1" fillId="0" borderId="18" xfId="1" applyNumberFormat="1" applyFont="1" applyFill="1" applyBorder="1" applyAlignment="1" applyProtection="1">
      <alignment horizontal="center"/>
      <protection locked="0"/>
    </xf>
    <xf numFmtId="43" fontId="1" fillId="0" borderId="18" xfId="1" applyFont="1" applyFill="1" applyBorder="1" applyAlignment="1" applyProtection="1">
      <alignment horizontal="center"/>
      <protection locked="0"/>
    </xf>
    <xf numFmtId="43" fontId="14" fillId="5" borderId="42" xfId="1" applyFont="1" applyFill="1" applyBorder="1" applyAlignment="1" applyProtection="1">
      <alignment vertical="center"/>
      <protection locked="0"/>
    </xf>
    <xf numFmtId="43" fontId="20" fillId="2" borderId="2" xfId="1" applyFont="1" applyFill="1" applyBorder="1" applyProtection="1">
      <protection locked="0"/>
    </xf>
    <xf numFmtId="1" fontId="20" fillId="2" borderId="14" xfId="1" applyNumberFormat="1" applyFont="1" applyFill="1" applyBorder="1" applyAlignment="1" applyProtection="1">
      <alignment horizontal="center"/>
    </xf>
    <xf numFmtId="0" fontId="0" fillId="0" borderId="52" xfId="0" applyBorder="1" applyProtection="1">
      <protection locked="0"/>
    </xf>
    <xf numFmtId="43" fontId="20" fillId="2" borderId="4" xfId="1" applyFont="1" applyFill="1" applyBorder="1" applyProtection="1"/>
    <xf numFmtId="43" fontId="1" fillId="0" borderId="5" xfId="1" applyFont="1" applyFill="1" applyBorder="1" applyAlignment="1" applyProtection="1">
      <alignment horizontal="center"/>
      <protection locked="0"/>
    </xf>
    <xf numFmtId="43" fontId="1" fillId="0" borderId="7" xfId="1" applyFont="1" applyFill="1" applyBorder="1" applyProtection="1"/>
    <xf numFmtId="43" fontId="20" fillId="2" borderId="30" xfId="1" applyFont="1" applyFill="1" applyBorder="1" applyProtection="1">
      <protection locked="0"/>
    </xf>
    <xf numFmtId="43" fontId="20" fillId="2" borderId="7" xfId="1" applyFont="1" applyFill="1" applyBorder="1" applyProtection="1"/>
    <xf numFmtId="43" fontId="1" fillId="0" borderId="5" xfId="1" applyFont="1" applyFill="1" applyBorder="1" applyProtection="1">
      <protection locked="0"/>
    </xf>
    <xf numFmtId="43" fontId="1" fillId="0" borderId="5" xfId="1" applyFont="1" applyFill="1" applyBorder="1" applyAlignment="1" applyProtection="1">
      <alignment horizontal="right"/>
      <protection locked="0"/>
    </xf>
    <xf numFmtId="43" fontId="1" fillId="0" borderId="23" xfId="1" applyFont="1" applyFill="1" applyBorder="1" applyAlignment="1" applyProtection="1">
      <alignment horizontal="center"/>
      <protection locked="0"/>
    </xf>
    <xf numFmtId="43" fontId="1" fillId="0" borderId="8" xfId="1" applyFont="1" applyFill="1" applyBorder="1" applyProtection="1">
      <protection locked="0"/>
    </xf>
    <xf numFmtId="1" fontId="1" fillId="0" borderId="23" xfId="1" applyNumberFormat="1" applyFont="1" applyFill="1" applyBorder="1" applyAlignment="1" applyProtection="1">
      <alignment horizontal="center"/>
    </xf>
    <xf numFmtId="0" fontId="0" fillId="0" borderId="53" xfId="0" applyBorder="1" applyProtection="1">
      <protection locked="0"/>
    </xf>
    <xf numFmtId="43" fontId="1" fillId="0" borderId="10" xfId="1" applyFont="1" applyFill="1" applyBorder="1" applyProtection="1"/>
    <xf numFmtId="43" fontId="14" fillId="5" borderId="2" xfId="1" applyFont="1" applyFill="1" applyBorder="1" applyAlignment="1" applyProtection="1">
      <alignment vertical="center"/>
      <protection locked="0"/>
    </xf>
    <xf numFmtId="43" fontId="14" fillId="5" borderId="4" xfId="1" applyFont="1" applyFill="1" applyBorder="1" applyAlignment="1" applyProtection="1">
      <alignment vertical="center"/>
      <protection locked="0"/>
    </xf>
    <xf numFmtId="43" fontId="14" fillId="5" borderId="2" xfId="1" applyFont="1" applyFill="1" applyBorder="1" applyAlignment="1" applyProtection="1">
      <alignment horizontal="left" vertical="center"/>
      <protection locked="0"/>
    </xf>
    <xf numFmtId="43" fontId="14" fillId="5" borderId="16" xfId="1" applyFont="1" applyFill="1" applyBorder="1" applyAlignment="1" applyProtection="1">
      <alignment horizontal="left" vertical="center"/>
      <protection locked="0"/>
    </xf>
    <xf numFmtId="43" fontId="14" fillId="5" borderId="14" xfId="1" applyFont="1" applyFill="1" applyBorder="1" applyAlignment="1" applyProtection="1">
      <alignment horizontal="left" vertical="center"/>
      <protection locked="0"/>
    </xf>
    <xf numFmtId="43" fontId="14" fillId="5" borderId="4" xfId="1" applyFont="1" applyFill="1" applyBorder="1" applyAlignment="1" applyProtection="1">
      <alignment horizontal="left" vertical="center"/>
      <protection locked="0"/>
    </xf>
    <xf numFmtId="0" fontId="0" fillId="28" borderId="5" xfId="0" applyFill="1" applyBorder="1" applyProtection="1">
      <protection locked="0"/>
    </xf>
    <xf numFmtId="0" fontId="0" fillId="28" borderId="7" xfId="0" applyFill="1" applyBorder="1" applyProtection="1">
      <protection locked="0"/>
    </xf>
    <xf numFmtId="0" fontId="0" fillId="28" borderId="8" xfId="0" applyFill="1" applyBorder="1" applyProtection="1">
      <protection locked="0"/>
    </xf>
    <xf numFmtId="0" fontId="0" fillId="28" borderId="10" xfId="0" applyFill="1" applyBorder="1" applyProtection="1">
      <protection locked="0"/>
    </xf>
    <xf numFmtId="0" fontId="0" fillId="28" borderId="2" xfId="0" applyFill="1" applyBorder="1" applyProtection="1">
      <protection locked="0"/>
    </xf>
    <xf numFmtId="0" fontId="0" fillId="28" borderId="4" xfId="0" applyFill="1" applyBorder="1" applyProtection="1">
      <protection locked="0"/>
    </xf>
    <xf numFmtId="164" fontId="20" fillId="2" borderId="62" xfId="1" applyNumberFormat="1" applyFont="1" applyFill="1" applyBorder="1" applyAlignment="1" applyProtection="1">
      <alignment horizontal="center" vertical="center"/>
      <protection locked="0"/>
    </xf>
    <xf numFmtId="164" fontId="1" fillId="0" borderId="49" xfId="1" applyNumberFormat="1" applyFont="1" applyFill="1" applyBorder="1" applyAlignment="1" applyProtection="1">
      <alignment horizontal="center" vertical="center"/>
      <protection locked="0"/>
    </xf>
    <xf numFmtId="164" fontId="20" fillId="2" borderId="49" xfId="1" applyNumberFormat="1" applyFont="1" applyFill="1" applyBorder="1" applyAlignment="1" applyProtection="1">
      <alignment horizontal="center" vertical="center"/>
      <protection locked="0"/>
    </xf>
    <xf numFmtId="164" fontId="1" fillId="0" borderId="53" xfId="1" applyNumberFormat="1" applyFont="1" applyFill="1" applyBorder="1" applyAlignment="1" applyProtection="1">
      <alignment horizontal="center" vertical="center"/>
      <protection locked="0"/>
    </xf>
    <xf numFmtId="9" fontId="0" fillId="0" borderId="0" xfId="2" applyFont="1" applyFill="1" applyProtection="1">
      <protection locked="0"/>
    </xf>
    <xf numFmtId="10" fontId="0" fillId="0" borderId="0" xfId="2" applyNumberFormat="1" applyFont="1" applyFill="1" applyProtection="1">
      <protection locked="0"/>
    </xf>
    <xf numFmtId="43" fontId="0" fillId="14" borderId="32" xfId="1" applyFont="1" applyFill="1" applyBorder="1" applyProtection="1">
      <protection locked="0"/>
    </xf>
    <xf numFmtId="43" fontId="0" fillId="14" borderId="7" xfId="1" applyFont="1" applyFill="1" applyBorder="1" applyProtection="1">
      <protection locked="0"/>
    </xf>
    <xf numFmtId="43" fontId="1" fillId="14" borderId="33" xfId="1" applyFont="1" applyFill="1" applyBorder="1" applyProtection="1">
      <protection locked="0"/>
    </xf>
    <xf numFmtId="43" fontId="0" fillId="14" borderId="5" xfId="1" applyFont="1" applyFill="1" applyBorder="1" applyAlignment="1" applyProtection="1">
      <alignment horizontal="center"/>
      <protection locked="0"/>
    </xf>
    <xf numFmtId="43" fontId="0" fillId="14" borderId="31" xfId="1" applyFont="1" applyFill="1" applyBorder="1" applyProtection="1">
      <protection hidden="1"/>
    </xf>
    <xf numFmtId="43" fontId="1" fillId="14" borderId="5" xfId="1" applyFont="1" applyFill="1" applyBorder="1" applyAlignment="1" applyProtection="1">
      <alignment horizontal="center"/>
      <protection locked="0"/>
    </xf>
    <xf numFmtId="43" fontId="0" fillId="14" borderId="7" xfId="1" applyFont="1" applyFill="1" applyBorder="1" applyProtection="1">
      <protection hidden="1"/>
    </xf>
    <xf numFmtId="43" fontId="0" fillId="14" borderId="20" xfId="1" applyFont="1" applyFill="1" applyBorder="1" applyProtection="1">
      <protection locked="0"/>
    </xf>
    <xf numFmtId="43" fontId="1" fillId="14" borderId="7" xfId="1" applyFont="1" applyFill="1" applyBorder="1" applyProtection="1"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21" xfId="0" applyFont="1" applyFill="1" applyBorder="1" applyAlignment="1" applyProtection="1">
      <alignment horizontal="center" vertical="center"/>
      <protection locked="0"/>
    </xf>
    <xf numFmtId="0" fontId="14" fillId="5" borderId="22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/>
    <xf numFmtId="4" fontId="0" fillId="0" borderId="0" xfId="0" applyNumberFormat="1" applyFont="1" applyBorder="1" applyAlignment="1">
      <alignment horizontal="right"/>
    </xf>
    <xf numFmtId="10" fontId="0" fillId="0" borderId="75" xfId="0" applyNumberFormat="1" applyBorder="1"/>
    <xf numFmtId="4" fontId="0" fillId="0" borderId="76" xfId="0" applyNumberFormat="1" applyFont="1" applyBorder="1" applyAlignment="1">
      <alignment horizontal="right"/>
    </xf>
    <xf numFmtId="10" fontId="0" fillId="0" borderId="77" xfId="0" applyNumberFormat="1" applyBorder="1"/>
    <xf numFmtId="0" fontId="3" fillId="0" borderId="0" xfId="0" applyFont="1" applyBorder="1" applyAlignment="1" applyProtection="1">
      <alignment horizontal="center" vertical="center" wrapText="1"/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16" xfId="0" applyFont="1" applyFill="1" applyBorder="1" applyAlignment="1" applyProtection="1">
      <alignment horizontal="center" vertical="center" wrapText="1"/>
      <protection locked="0"/>
    </xf>
    <xf numFmtId="0" fontId="39" fillId="5" borderId="52" xfId="0" applyFont="1" applyFill="1" applyBorder="1" applyAlignment="1" applyProtection="1">
      <alignment horizontal="center" vertical="center" wrapText="1"/>
      <protection locked="0"/>
    </xf>
    <xf numFmtId="0" fontId="14" fillId="5" borderId="49" xfId="0" applyFont="1" applyFill="1" applyBorder="1" applyAlignment="1" applyProtection="1">
      <alignment horizontal="center" vertical="center"/>
      <protection locked="0"/>
    </xf>
    <xf numFmtId="0" fontId="14" fillId="5" borderId="53" xfId="0" applyFont="1" applyFill="1" applyBorder="1" applyAlignment="1" applyProtection="1">
      <alignment horizontal="center" vertical="center"/>
      <protection locked="0"/>
    </xf>
    <xf numFmtId="43" fontId="15" fillId="27" borderId="72" xfId="1" applyFont="1" applyFill="1" applyBorder="1" applyAlignment="1" applyProtection="1">
      <alignment vertical="center"/>
      <protection locked="0"/>
    </xf>
    <xf numFmtId="43" fontId="0" fillId="0" borderId="62" xfId="1" applyFont="1" applyFill="1" applyBorder="1" applyProtection="1">
      <protection locked="0"/>
    </xf>
    <xf numFmtId="43" fontId="0" fillId="0" borderId="53" xfId="1" applyFont="1" applyFill="1" applyBorder="1" applyProtection="1">
      <protection locked="0"/>
    </xf>
    <xf numFmtId="43" fontId="0" fillId="14" borderId="62" xfId="1" applyFont="1" applyFill="1" applyBorder="1" applyProtection="1">
      <protection locked="0"/>
    </xf>
    <xf numFmtId="43" fontId="1" fillId="0" borderId="62" xfId="1" applyFont="1" applyFill="1" applyBorder="1" applyAlignment="1" applyProtection="1">
      <alignment horizontal="center" vertical="center"/>
      <protection locked="0"/>
    </xf>
    <xf numFmtId="43" fontId="1" fillId="0" borderId="49" xfId="1" applyFont="1" applyFill="1" applyBorder="1" applyAlignment="1" applyProtection="1">
      <alignment horizontal="center" vertical="center"/>
      <protection locked="0"/>
    </xf>
    <xf numFmtId="43" fontId="20" fillId="0" borderId="49" xfId="1" applyFont="1" applyFill="1" applyBorder="1" applyAlignment="1" applyProtection="1">
      <alignment horizontal="center" vertical="center"/>
      <protection locked="0"/>
    </xf>
    <xf numFmtId="43" fontId="0" fillId="0" borderId="49" xfId="1" applyFont="1" applyFill="1" applyBorder="1" applyAlignment="1" applyProtection="1">
      <alignment horizontal="center"/>
      <protection locked="0"/>
    </xf>
    <xf numFmtId="43" fontId="14" fillId="5" borderId="49" xfId="1" applyFont="1" applyFill="1" applyBorder="1" applyAlignment="1" applyProtection="1">
      <alignment horizontal="left" vertical="center"/>
      <protection locked="0"/>
    </xf>
    <xf numFmtId="43" fontId="11" fillId="9" borderId="78" xfId="1" applyFont="1" applyFill="1" applyBorder="1" applyAlignment="1" applyProtection="1">
      <protection locked="0"/>
    </xf>
    <xf numFmtId="43" fontId="16" fillId="27" borderId="72" xfId="1" applyFont="1" applyFill="1" applyBorder="1" applyAlignment="1" applyProtection="1">
      <alignment vertical="center"/>
      <protection locked="0"/>
    </xf>
    <xf numFmtId="43" fontId="19" fillId="7" borderId="72" xfId="1" applyFont="1" applyFill="1" applyBorder="1" applyAlignment="1" applyProtection="1">
      <protection locked="0"/>
    </xf>
    <xf numFmtId="43" fontId="1" fillId="7" borderId="62" xfId="1" applyFont="1" applyFill="1" applyBorder="1" applyAlignment="1" applyProtection="1">
      <alignment horizontal="center"/>
      <protection locked="0"/>
    </xf>
    <xf numFmtId="43" fontId="1" fillId="7" borderId="49" xfId="1" applyFont="1" applyFill="1" applyBorder="1" applyAlignment="1" applyProtection="1">
      <alignment horizontal="center"/>
      <protection locked="0"/>
    </xf>
    <xf numFmtId="43" fontId="1" fillId="7" borderId="78" xfId="1" applyFont="1" applyFill="1" applyBorder="1" applyAlignment="1" applyProtection="1">
      <alignment horizontal="center"/>
      <protection locked="0"/>
    </xf>
    <xf numFmtId="43" fontId="14" fillId="5" borderId="62" xfId="1" applyFont="1" applyFill="1" applyBorder="1" applyAlignment="1" applyProtection="1">
      <alignment vertical="center"/>
      <protection locked="0"/>
    </xf>
    <xf numFmtId="43" fontId="11" fillId="9" borderId="49" xfId="1" applyFont="1" applyFill="1" applyBorder="1" applyAlignment="1" applyProtection="1">
      <protection locked="0"/>
    </xf>
    <xf numFmtId="0" fontId="40" fillId="0" borderId="83" xfId="0" applyFont="1" applyFill="1" applyBorder="1"/>
    <xf numFmtId="0" fontId="40" fillId="0" borderId="84" xfId="0" applyFont="1" applyFill="1" applyBorder="1"/>
    <xf numFmtId="0" fontId="0" fillId="0" borderId="85" xfId="0" applyBorder="1"/>
    <xf numFmtId="43" fontId="0" fillId="12" borderId="9" xfId="1" applyFont="1" applyFill="1" applyBorder="1" applyProtection="1">
      <protection locked="0"/>
    </xf>
    <xf numFmtId="1" fontId="0" fillId="2" borderId="39" xfId="0" applyNumberFormat="1" applyFill="1" applyBorder="1" applyAlignment="1" applyProtection="1">
      <alignment horizontal="center" vertical="center"/>
      <protection locked="0"/>
    </xf>
    <xf numFmtId="0" fontId="1" fillId="9" borderId="18" xfId="0" applyFont="1" applyFill="1" applyBorder="1" applyProtection="1">
      <protection locked="0"/>
    </xf>
    <xf numFmtId="0" fontId="11" fillId="9" borderId="34" xfId="0" applyFont="1" applyFill="1" applyBorder="1" applyAlignment="1" applyProtection="1">
      <protection locked="0"/>
    </xf>
    <xf numFmtId="9" fontId="0" fillId="0" borderId="19" xfId="2" applyFont="1" applyBorder="1" applyProtection="1">
      <protection locked="0"/>
    </xf>
    <xf numFmtId="43" fontId="0" fillId="7" borderId="53" xfId="1" applyFont="1" applyFill="1" applyBorder="1" applyProtection="1">
      <protection locked="0"/>
    </xf>
    <xf numFmtId="43" fontId="0" fillId="0" borderId="53" xfId="1" applyFont="1" applyBorder="1" applyProtection="1">
      <protection locked="0"/>
    </xf>
    <xf numFmtId="9" fontId="0" fillId="0" borderId="86" xfId="2" applyFont="1" applyBorder="1" applyProtection="1">
      <protection locked="0"/>
    </xf>
    <xf numFmtId="43" fontId="0" fillId="0" borderId="10" xfId="1" applyFont="1" applyBorder="1" applyProtection="1">
      <protection locked="0"/>
    </xf>
    <xf numFmtId="43" fontId="0" fillId="7" borderId="62" xfId="1" applyFont="1" applyFill="1" applyBorder="1" applyProtection="1">
      <protection locked="0"/>
    </xf>
    <xf numFmtId="43" fontId="0" fillId="0" borderId="62" xfId="1" applyFont="1" applyBorder="1" applyProtection="1">
      <protection locked="0"/>
    </xf>
    <xf numFmtId="43" fontId="0" fillId="0" borderId="19" xfId="1" applyFont="1" applyBorder="1" applyProtection="1">
      <protection locked="0"/>
    </xf>
    <xf numFmtId="43" fontId="0" fillId="0" borderId="33" xfId="1" applyFont="1" applyBorder="1" applyProtection="1">
      <protection locked="0"/>
    </xf>
    <xf numFmtId="43" fontId="18" fillId="5" borderId="24" xfId="1" applyFont="1" applyFill="1" applyBorder="1" applyAlignment="1" applyProtection="1">
      <alignment vertical="center"/>
      <protection locked="0"/>
    </xf>
    <xf numFmtId="43" fontId="18" fillId="5" borderId="38" xfId="1" applyFont="1" applyFill="1" applyBorder="1" applyAlignment="1" applyProtection="1">
      <alignment vertical="center"/>
      <protection locked="0"/>
    </xf>
    <xf numFmtId="167" fontId="41" fillId="0" borderId="0" xfId="2" applyNumberFormat="1" applyFont="1" applyProtection="1">
      <protection locked="0"/>
    </xf>
    <xf numFmtId="43" fontId="41" fillId="0" borderId="0" xfId="0" applyNumberFormat="1" applyFont="1" applyProtection="1">
      <protection locked="0"/>
    </xf>
    <xf numFmtId="0" fontId="5" fillId="0" borderId="0" xfId="0" applyFont="1" applyAlignment="1" applyProtection="1">
      <protection locked="0"/>
    </xf>
    <xf numFmtId="0" fontId="10" fillId="3" borderId="6" xfId="0" applyFont="1" applyFill="1" applyBorder="1" applyAlignment="1" applyProtection="1">
      <alignment horizontal="center" vertical="center" wrapText="1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" fillId="0" borderId="19" xfId="0" applyFont="1" applyBorder="1" applyProtection="1">
      <protection hidden="1"/>
    </xf>
    <xf numFmtId="0" fontId="0" fillId="2" borderId="19" xfId="0" applyFill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wrapText="1"/>
      <protection hidden="1"/>
    </xf>
    <xf numFmtId="0" fontId="1" fillId="0" borderId="6" xfId="0" applyFont="1" applyBorder="1" applyProtection="1">
      <protection hidden="1"/>
    </xf>
    <xf numFmtId="0" fontId="1" fillId="0" borderId="9" xfId="0" applyFont="1" applyBorder="1" applyProtection="1">
      <protection hidden="1"/>
    </xf>
    <xf numFmtId="0" fontId="0" fillId="2" borderId="9" xfId="0" applyFill="1" applyBorder="1" applyAlignment="1" applyProtection="1">
      <alignment horizontal="center"/>
      <protection locked="0"/>
    </xf>
    <xf numFmtId="0" fontId="19" fillId="14" borderId="39" xfId="0" applyFont="1" applyFill="1" applyBorder="1" applyProtection="1">
      <protection hidden="1"/>
    </xf>
    <xf numFmtId="0" fontId="19" fillId="14" borderId="38" xfId="0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hidden="1"/>
    </xf>
    <xf numFmtId="0" fontId="11" fillId="4" borderId="6" xfId="0" applyFont="1" applyFill="1" applyBorder="1" applyProtection="1">
      <protection hidden="1"/>
    </xf>
    <xf numFmtId="0" fontId="12" fillId="2" borderId="6" xfId="0" applyFont="1" applyFill="1" applyBorder="1" applyAlignment="1" applyProtection="1">
      <alignment horizontal="center"/>
      <protection locked="0"/>
    </xf>
    <xf numFmtId="0" fontId="1" fillId="0" borderId="71" xfId="0" applyFont="1" applyFill="1" applyBorder="1" applyProtection="1">
      <protection locked="0"/>
    </xf>
    <xf numFmtId="0" fontId="21" fillId="29" borderId="12" xfId="0" applyFont="1" applyFill="1" applyBorder="1" applyAlignment="1" applyProtection="1">
      <alignment horizontal="center" vertical="center"/>
      <protection hidden="1"/>
    </xf>
    <xf numFmtId="0" fontId="21" fillId="29" borderId="12" xfId="0" applyFont="1" applyFill="1" applyBorder="1" applyAlignment="1" applyProtection="1">
      <alignment horizontal="center"/>
      <protection hidden="1"/>
    </xf>
    <xf numFmtId="0" fontId="21" fillId="29" borderId="13" xfId="0" applyFont="1" applyFill="1" applyBorder="1" applyAlignment="1" applyProtection="1">
      <alignment horizontal="center"/>
      <protection hidden="1"/>
    </xf>
    <xf numFmtId="0" fontId="0" fillId="0" borderId="88" xfId="0" applyFill="1" applyBorder="1" applyProtection="1">
      <protection locked="0"/>
    </xf>
    <xf numFmtId="0" fontId="0" fillId="0" borderId="62" xfId="0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right"/>
    </xf>
    <xf numFmtId="2" fontId="0" fillId="0" borderId="19" xfId="0" applyNumberFormat="1" applyFill="1" applyBorder="1" applyProtection="1">
      <protection hidden="1"/>
    </xf>
    <xf numFmtId="2" fontId="0" fillId="0" borderId="33" xfId="0" applyNumberFormat="1" applyFill="1" applyBorder="1" applyProtection="1">
      <protection hidden="1"/>
    </xf>
    <xf numFmtId="0" fontId="0" fillId="0" borderId="19" xfId="0" applyBorder="1" applyAlignment="1">
      <alignment horizontal="right"/>
    </xf>
    <xf numFmtId="0" fontId="1" fillId="0" borderId="88" xfId="0" applyFont="1" applyFill="1" applyBorder="1" applyProtection="1"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2" fontId="0" fillId="0" borderId="19" xfId="0" applyNumberFormat="1" applyFill="1" applyBorder="1" applyAlignment="1" applyProtection="1">
      <alignment horizontal="right"/>
      <protection locked="0"/>
    </xf>
    <xf numFmtId="0" fontId="27" fillId="0" borderId="0" xfId="0" applyFont="1" applyFill="1" applyProtection="1">
      <protection locked="0"/>
    </xf>
    <xf numFmtId="0" fontId="0" fillId="0" borderId="56" xfId="0" applyFill="1" applyBorder="1" applyProtection="1">
      <protection locked="0"/>
    </xf>
    <xf numFmtId="0" fontId="0" fillId="0" borderId="49" xfId="0" applyFill="1" applyBorder="1" applyAlignment="1" applyProtection="1">
      <alignment horizontal="center"/>
      <protection locked="0"/>
    </xf>
    <xf numFmtId="0" fontId="1" fillId="0" borderId="56" xfId="0" applyFont="1" applyFill="1" applyBorder="1" applyAlignment="1" applyProtection="1">
      <protection hidden="1"/>
    </xf>
    <xf numFmtId="0" fontId="1" fillId="0" borderId="49" xfId="0" applyFont="1" applyFill="1" applyBorder="1" applyAlignment="1" applyProtection="1">
      <alignment horizontal="center" vertical="center"/>
      <protection hidden="1"/>
    </xf>
    <xf numFmtId="0" fontId="1" fillId="0" borderId="56" xfId="0" applyFont="1" applyFill="1" applyBorder="1" applyProtection="1">
      <protection locked="0"/>
    </xf>
    <xf numFmtId="2" fontId="0" fillId="0" borderId="6" xfId="0" applyNumberFormat="1" applyFill="1" applyBorder="1" applyAlignment="1" applyProtection="1">
      <alignment horizontal="right"/>
      <protection locked="0"/>
    </xf>
    <xf numFmtId="0" fontId="1" fillId="0" borderId="59" xfId="0" applyFont="1" applyBorder="1" applyProtection="1">
      <protection locked="0"/>
    </xf>
    <xf numFmtId="0" fontId="1" fillId="0" borderId="89" xfId="0" applyFont="1" applyFill="1" applyBorder="1" applyProtection="1">
      <protection locked="0"/>
    </xf>
    <xf numFmtId="0" fontId="1" fillId="0" borderId="57" xfId="0" applyFont="1" applyFill="1" applyBorder="1" applyProtection="1">
      <protection locked="0"/>
    </xf>
    <xf numFmtId="2" fontId="0" fillId="0" borderId="6" xfId="0" applyNumberFormat="1" applyFill="1" applyBorder="1" applyAlignment="1" applyProtection="1">
      <alignment horizontal="center"/>
      <protection locked="0"/>
    </xf>
    <xf numFmtId="0" fontId="1" fillId="32" borderId="30" xfId="0" applyFont="1" applyFill="1" applyBorder="1" applyProtection="1">
      <protection locked="0"/>
    </xf>
    <xf numFmtId="0" fontId="0" fillId="32" borderId="9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hidden="1"/>
    </xf>
    <xf numFmtId="2" fontId="29" fillId="33" borderId="39" xfId="0" applyNumberFormat="1" applyFont="1" applyFill="1" applyBorder="1" applyProtection="1">
      <protection hidden="1"/>
    </xf>
    <xf numFmtId="0" fontId="21" fillId="34" borderId="6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vertical="center"/>
      <protection hidden="1"/>
    </xf>
    <xf numFmtId="0" fontId="20" fillId="2" borderId="19" xfId="0" applyFont="1" applyFill="1" applyBorder="1" applyProtection="1">
      <protection locked="0"/>
    </xf>
    <xf numFmtId="1" fontId="20" fillId="2" borderId="19" xfId="3" applyNumberFormat="1" applyFont="1" applyFill="1" applyBorder="1" applyAlignment="1" applyProtection="1">
      <alignment horizontal="center"/>
      <protection locked="0"/>
    </xf>
    <xf numFmtId="170" fontId="20" fillId="2" borderId="19" xfId="3" applyFont="1" applyFill="1" applyBorder="1" applyAlignment="1" applyProtection="1">
      <alignment horizontal="center"/>
      <protection locked="0"/>
    </xf>
    <xf numFmtId="170" fontId="20" fillId="2" borderId="19" xfId="3" applyFont="1" applyFill="1" applyBorder="1" applyProtection="1">
      <protection locked="0"/>
    </xf>
    <xf numFmtId="1" fontId="20" fillId="2" borderId="19" xfId="3" applyNumberFormat="1" applyFont="1" applyFill="1" applyBorder="1" applyAlignment="1" applyProtection="1">
      <alignment horizontal="center"/>
    </xf>
    <xf numFmtId="170" fontId="20" fillId="2" borderId="19" xfId="3" applyFont="1" applyFill="1" applyBorder="1" applyProtection="1"/>
    <xf numFmtId="0" fontId="19" fillId="0" borderId="0" xfId="0" applyFont="1" applyFill="1" applyBorder="1" applyAlignment="1" applyProtection="1">
      <alignment horizontal="center"/>
      <protection hidden="1"/>
    </xf>
    <xf numFmtId="0" fontId="1" fillId="0" borderId="6" xfId="0" applyFont="1" applyFill="1" applyBorder="1" applyProtection="1">
      <protection locked="0"/>
    </xf>
    <xf numFmtId="1" fontId="1" fillId="0" borderId="6" xfId="3" applyNumberFormat="1" applyFont="1" applyFill="1" applyBorder="1" applyAlignment="1" applyProtection="1">
      <alignment horizontal="center"/>
      <protection locked="0"/>
    </xf>
    <xf numFmtId="170" fontId="1" fillId="0" borderId="6" xfId="3" applyFont="1" applyFill="1" applyBorder="1" applyAlignment="1" applyProtection="1">
      <alignment horizontal="center"/>
      <protection locked="0"/>
    </xf>
    <xf numFmtId="1" fontId="1" fillId="0" borderId="6" xfId="3" applyNumberFormat="1" applyFont="1" applyFill="1" applyBorder="1" applyAlignment="1" applyProtection="1">
      <alignment horizontal="center"/>
    </xf>
    <xf numFmtId="170" fontId="1" fillId="0" borderId="6" xfId="3" applyFont="1" applyFill="1" applyBorder="1" applyProtection="1"/>
    <xf numFmtId="0" fontId="20" fillId="2" borderId="6" xfId="0" applyFont="1" applyFill="1" applyBorder="1" applyProtection="1">
      <protection locked="0"/>
    </xf>
    <xf numFmtId="1" fontId="20" fillId="2" borderId="6" xfId="3" applyNumberFormat="1" applyFont="1" applyFill="1" applyBorder="1" applyAlignment="1" applyProtection="1">
      <alignment horizontal="center"/>
      <protection locked="0"/>
    </xf>
    <xf numFmtId="1" fontId="20" fillId="2" borderId="6" xfId="3" applyNumberFormat="1" applyFont="1" applyFill="1" applyBorder="1" applyAlignment="1" applyProtection="1">
      <alignment horizontal="center"/>
    </xf>
    <xf numFmtId="170" fontId="20" fillId="2" borderId="6" xfId="3" applyFont="1" applyFill="1" applyBorder="1" applyProtection="1"/>
    <xf numFmtId="167" fontId="1" fillId="0" borderId="6" xfId="3" applyNumberFormat="1" applyFont="1" applyFill="1" applyBorder="1" applyAlignment="1" applyProtection="1">
      <alignment horizontal="center"/>
      <protection locked="0"/>
    </xf>
    <xf numFmtId="170" fontId="1" fillId="0" borderId="6" xfId="3" applyFont="1" applyFill="1" applyBorder="1" applyProtection="1">
      <protection locked="0"/>
    </xf>
    <xf numFmtId="0" fontId="0" fillId="0" borderId="6" xfId="0" applyBorder="1" applyProtection="1">
      <protection locked="0"/>
    </xf>
    <xf numFmtId="2" fontId="0" fillId="0" borderId="0" xfId="0" applyNumberFormat="1" applyFill="1" applyBorder="1" applyProtection="1">
      <protection hidden="1"/>
    </xf>
    <xf numFmtId="170" fontId="1" fillId="0" borderId="6" xfId="3" applyFont="1" applyFill="1" applyBorder="1" applyAlignment="1" applyProtection="1">
      <alignment horizontal="right"/>
      <protection locked="0"/>
    </xf>
    <xf numFmtId="170" fontId="29" fillId="0" borderId="6" xfId="0" applyNumberFormat="1" applyFont="1" applyFill="1" applyBorder="1" applyProtection="1">
      <protection hidden="1"/>
    </xf>
    <xf numFmtId="2" fontId="29" fillId="0" borderId="6" xfId="0" applyNumberFormat="1" applyFont="1" applyFill="1" applyBorder="1" applyProtection="1">
      <protection hidden="1"/>
    </xf>
    <xf numFmtId="0" fontId="19" fillId="0" borderId="0" xfId="0" applyFont="1" applyBorder="1" applyAlignment="1" applyProtection="1">
      <alignment horizontal="center"/>
      <protection locked="0"/>
    </xf>
    <xf numFmtId="170" fontId="0" fillId="0" borderId="0" xfId="0" applyNumberFormat="1" applyBorder="1" applyProtection="1">
      <protection locked="0"/>
    </xf>
    <xf numFmtId="2" fontId="0" fillId="0" borderId="0" xfId="0" applyNumberFormat="1" applyBorder="1" applyProtection="1">
      <protection hidden="1"/>
    </xf>
    <xf numFmtId="0" fontId="0" fillId="0" borderId="0" xfId="0" applyProtection="1">
      <protection hidden="1"/>
    </xf>
    <xf numFmtId="0" fontId="21" fillId="35" borderId="6" xfId="0" applyFont="1" applyFill="1" applyBorder="1" applyAlignment="1" applyProtection="1">
      <alignment horizontal="center" vertical="center"/>
      <protection locked="0"/>
    </xf>
    <xf numFmtId="0" fontId="21" fillId="35" borderId="7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Protection="1">
      <protection hidden="1"/>
    </xf>
    <xf numFmtId="2" fontId="0" fillId="0" borderId="7" xfId="0" applyNumberFormat="1" applyBorder="1" applyProtection="1">
      <protection hidden="1"/>
    </xf>
    <xf numFmtId="0" fontId="1" fillId="36" borderId="5" xfId="0" applyFont="1" applyFill="1" applyBorder="1" applyProtection="1">
      <protection locked="0"/>
    </xf>
    <xf numFmtId="9" fontId="1" fillId="36" borderId="6" xfId="2" applyFont="1" applyFill="1" applyBorder="1" applyAlignment="1" applyProtection="1">
      <alignment horizontal="right"/>
      <protection locked="0"/>
    </xf>
    <xf numFmtId="2" fontId="0" fillId="0" borderId="7" xfId="0" applyNumberFormat="1" applyFill="1" applyBorder="1" applyProtection="1">
      <protection locked="0"/>
    </xf>
    <xf numFmtId="0" fontId="1" fillId="0" borderId="11" xfId="0" applyFont="1" applyBorder="1" applyProtection="1">
      <protection hidden="1"/>
    </xf>
    <xf numFmtId="2" fontId="0" fillId="0" borderId="13" xfId="0" applyNumberFormat="1" applyBorder="1" applyProtection="1">
      <protection hidden="1"/>
    </xf>
    <xf numFmtId="0" fontId="19" fillId="0" borderId="0" xfId="0" applyFont="1" applyBorder="1" applyAlignment="1" applyProtection="1">
      <alignment horizontal="center" vertical="center" wrapText="1"/>
      <protection locked="0"/>
    </xf>
    <xf numFmtId="2" fontId="0" fillId="0" borderId="71" xfId="0" applyNumberFormat="1" applyBorder="1" applyProtection="1">
      <protection hidden="1"/>
    </xf>
    <xf numFmtId="0" fontId="19" fillId="2" borderId="26" xfId="0" applyFont="1" applyFill="1" applyBorder="1" applyProtection="1">
      <protection locked="0"/>
    </xf>
    <xf numFmtId="165" fontId="19" fillId="2" borderId="28" xfId="2" applyNumberFormat="1" applyFont="1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4" fillId="0" borderId="0" xfId="0" applyFont="1" applyFill="1" applyBorder="1" applyAlignment="1" applyProtection="1">
      <protection hidden="1"/>
    </xf>
    <xf numFmtId="0" fontId="45" fillId="0" borderId="0" xfId="0" applyFont="1" applyBorder="1" applyAlignment="1" applyProtection="1">
      <alignment horizontal="center" vertical="center" wrapText="1"/>
      <protection locked="0"/>
    </xf>
    <xf numFmtId="0" fontId="0" fillId="0" borderId="62" xfId="0" applyBorder="1" applyProtection="1">
      <protection locked="0"/>
    </xf>
    <xf numFmtId="0" fontId="21" fillId="17" borderId="6" xfId="0" applyFont="1" applyFill="1" applyBorder="1" applyAlignment="1" applyProtection="1">
      <alignment horizontal="center"/>
      <protection locked="0"/>
    </xf>
    <xf numFmtId="1" fontId="0" fillId="0" borderId="6" xfId="0" applyNumberFormat="1" applyBorder="1" applyAlignment="1" applyProtection="1">
      <alignment horizont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0" fillId="0" borderId="12" xfId="0" applyNumberFormat="1" applyFill="1" applyBorder="1" applyProtection="1"/>
    <xf numFmtId="1" fontId="0" fillId="0" borderId="12" xfId="0" applyNumberFormat="1" applyFill="1" applyBorder="1" applyProtection="1">
      <protection hidden="1"/>
    </xf>
    <xf numFmtId="1" fontId="1" fillId="0" borderId="12" xfId="0" applyNumberFormat="1" applyFont="1" applyFill="1" applyBorder="1" applyProtection="1">
      <protection hidden="1"/>
    </xf>
    <xf numFmtId="1" fontId="19" fillId="0" borderId="13" xfId="0" applyNumberFormat="1" applyFont="1" applyFill="1" applyBorder="1" applyProtection="1">
      <protection hidden="1"/>
    </xf>
    <xf numFmtId="1" fontId="44" fillId="0" borderId="0" xfId="0" applyNumberFormat="1" applyFont="1" applyFill="1" applyProtection="1">
      <protection locked="0"/>
    </xf>
    <xf numFmtId="0" fontId="11" fillId="37" borderId="0" xfId="0" applyFont="1" applyFill="1" applyAlignment="1" applyProtection="1">
      <alignment vertical="center"/>
      <protection locked="0"/>
    </xf>
    <xf numFmtId="0" fontId="1" fillId="37" borderId="3" xfId="0" applyFont="1" applyFill="1" applyBorder="1" applyProtection="1">
      <protection locked="0"/>
    </xf>
    <xf numFmtId="0" fontId="11" fillId="37" borderId="5" xfId="0" applyFont="1" applyFill="1" applyBorder="1" applyAlignment="1" applyProtection="1">
      <protection locked="0"/>
    </xf>
    <xf numFmtId="0" fontId="11" fillId="37" borderId="6" xfId="0" applyFont="1" applyFill="1" applyBorder="1" applyAlignment="1" applyProtection="1">
      <protection locked="0"/>
    </xf>
    <xf numFmtId="0" fontId="11" fillId="37" borderId="7" xfId="0" applyFont="1" applyFill="1" applyBorder="1" applyAlignment="1" applyProtection="1">
      <protection locked="0"/>
    </xf>
    <xf numFmtId="0" fontId="0" fillId="0" borderId="5" xfId="0" applyFill="1" applyBorder="1" applyProtection="1"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1" fontId="0" fillId="0" borderId="12" xfId="0" applyNumberFormat="1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9" xfId="0" applyFill="1" applyBorder="1" applyProtection="1"/>
    <xf numFmtId="0" fontId="0" fillId="0" borderId="10" xfId="0" applyFill="1" applyBorder="1" applyProtection="1"/>
    <xf numFmtId="0" fontId="11" fillId="37" borderId="24" xfId="0" applyFont="1" applyFill="1" applyBorder="1" applyAlignment="1" applyProtection="1">
      <protection locked="0"/>
    </xf>
    <xf numFmtId="0" fontId="1" fillId="0" borderId="39" xfId="0" applyFont="1" applyFill="1" applyBorder="1" applyProtection="1"/>
    <xf numFmtId="0" fontId="0" fillId="0" borderId="39" xfId="0" applyFill="1" applyBorder="1" applyProtection="1"/>
    <xf numFmtId="0" fontId="0" fillId="0" borderId="70" xfId="0" applyBorder="1" applyProtection="1">
      <protection locked="0"/>
    </xf>
    <xf numFmtId="0" fontId="46" fillId="38" borderId="40" xfId="0" applyFont="1" applyFill="1" applyBorder="1" applyAlignment="1" applyProtection="1">
      <alignment horizontal="center" vertical="center"/>
      <protection locked="0"/>
    </xf>
    <xf numFmtId="0" fontId="46" fillId="38" borderId="92" xfId="0" applyFont="1" applyFill="1" applyBorder="1" applyAlignment="1" applyProtection="1">
      <alignment horizontal="center" vertical="center"/>
      <protection locked="0"/>
    </xf>
    <xf numFmtId="171" fontId="0" fillId="0" borderId="6" xfId="3" applyNumberFormat="1" applyFont="1" applyBorder="1" applyAlignment="1" applyProtection="1">
      <alignment vertical="center"/>
    </xf>
    <xf numFmtId="171" fontId="0" fillId="0" borderId="6" xfId="0" applyNumberFormat="1" applyBorder="1" applyAlignment="1" applyProtection="1">
      <alignment vertical="center"/>
    </xf>
    <xf numFmtId="171" fontId="1" fillId="0" borderId="6" xfId="3" applyNumberFormat="1" applyFont="1" applyBorder="1" applyAlignment="1" applyProtection="1">
      <alignment vertical="center"/>
    </xf>
    <xf numFmtId="171" fontId="0" fillId="0" borderId="7" xfId="0" applyNumberFormat="1" applyBorder="1" applyAlignment="1" applyProtection="1">
      <alignment vertical="center"/>
    </xf>
    <xf numFmtId="0" fontId="0" fillId="0" borderId="59" xfId="0" applyBorder="1" applyProtection="1">
      <protection locked="0"/>
    </xf>
    <xf numFmtId="171" fontId="0" fillId="0" borderId="6" xfId="3" applyNumberFormat="1" applyFont="1" applyBorder="1" applyAlignment="1" applyProtection="1">
      <alignment vertical="center"/>
      <protection locked="0"/>
    </xf>
    <xf numFmtId="0" fontId="0" fillId="0" borderId="7" xfId="0" applyBorder="1" applyProtection="1">
      <protection locked="0"/>
    </xf>
    <xf numFmtId="0" fontId="29" fillId="0" borderId="12" xfId="0" applyFont="1" applyBorder="1" applyProtection="1">
      <protection locked="0"/>
    </xf>
    <xf numFmtId="171" fontId="29" fillId="0" borderId="12" xfId="0" applyNumberFormat="1" applyFont="1" applyBorder="1" applyProtection="1"/>
    <xf numFmtId="171" fontId="29" fillId="0" borderId="13" xfId="0" applyNumberFormat="1" applyFont="1" applyBorder="1" applyProtection="1"/>
    <xf numFmtId="1" fontId="29" fillId="2" borderId="93" xfId="0" applyNumberFormat="1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>
      <protection locked="0"/>
    </xf>
    <xf numFmtId="171" fontId="47" fillId="2" borderId="12" xfId="0" applyNumberFormat="1" applyFont="1" applyFill="1" applyBorder="1" applyProtection="1"/>
    <xf numFmtId="0" fontId="46" fillId="38" borderId="49" xfId="0" applyFont="1" applyFill="1" applyBorder="1" applyAlignment="1" applyProtection="1">
      <alignment horizontal="center" vertical="center"/>
      <protection locked="0"/>
    </xf>
    <xf numFmtId="0" fontId="46" fillId="38" borderId="6" xfId="0" applyFont="1" applyFill="1" applyBorder="1" applyAlignment="1" applyProtection="1">
      <alignment horizontal="center" vertical="center"/>
      <protection locked="0"/>
    </xf>
    <xf numFmtId="171" fontId="29" fillId="0" borderId="6" xfId="0" applyNumberFormat="1" applyFont="1" applyBorder="1" applyProtection="1"/>
    <xf numFmtId="0" fontId="26" fillId="0" borderId="0" xfId="0" applyFont="1" applyAlignment="1" applyProtection="1">
      <alignment vertical="center"/>
      <protection locked="0"/>
    </xf>
    <xf numFmtId="4" fontId="8" fillId="0" borderId="0" xfId="0" applyNumberFormat="1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0" fontId="45" fillId="0" borderId="0" xfId="0" applyFont="1" applyProtection="1">
      <protection locked="0"/>
    </xf>
    <xf numFmtId="0" fontId="26" fillId="0" borderId="0" xfId="0" applyFont="1" applyAlignment="1" applyProtection="1">
      <alignment horizontal="center"/>
      <protection locked="0"/>
    </xf>
    <xf numFmtId="4" fontId="8" fillId="0" borderId="0" xfId="0" applyNumberFormat="1" applyFont="1" applyProtection="1">
      <protection locked="0"/>
    </xf>
    <xf numFmtId="0" fontId="45" fillId="0" borderId="0" xfId="0" applyFont="1" applyAlignment="1" applyProtection="1">
      <alignment horizontal="center"/>
      <protection locked="0"/>
    </xf>
    <xf numFmtId="0" fontId="45" fillId="0" borderId="0" xfId="0" applyFont="1" applyAlignment="1" applyProtection="1">
      <alignment horizontal="right"/>
      <protection locked="0"/>
    </xf>
    <xf numFmtId="0" fontId="26" fillId="0" borderId="0" xfId="0" applyFont="1" applyAlignment="1" applyProtection="1">
      <alignment horizontal="center"/>
    </xf>
    <xf numFmtId="0" fontId="19" fillId="22" borderId="6" xfId="0" applyFont="1" applyFill="1" applyBorder="1" applyAlignment="1" applyProtection="1">
      <alignment vertical="center" wrapText="1"/>
      <protection locked="0"/>
    </xf>
    <xf numFmtId="0" fontId="19" fillId="22" borderId="6" xfId="0" applyFont="1" applyFill="1" applyBorder="1" applyAlignment="1" applyProtection="1">
      <alignment horizontal="left" vertical="center" wrapText="1"/>
      <protection locked="0"/>
    </xf>
    <xf numFmtId="4" fontId="19" fillId="22" borderId="6" xfId="0" applyNumberFormat="1" applyFont="1" applyFill="1" applyBorder="1" applyAlignment="1" applyProtection="1">
      <alignment vertical="center" wrapText="1"/>
    </xf>
    <xf numFmtId="4" fontId="19" fillId="22" borderId="63" xfId="0" applyNumberFormat="1" applyFont="1" applyFill="1" applyBorder="1" applyAlignment="1" applyProtection="1">
      <alignment vertical="center" wrapText="1"/>
    </xf>
    <xf numFmtId="4" fontId="48" fillId="0" borderId="0" xfId="0" applyNumberFormat="1" applyFont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  <protection locked="0"/>
    </xf>
    <xf numFmtId="0" fontId="45" fillId="23" borderId="6" xfId="0" applyFont="1" applyFill="1" applyBorder="1" applyAlignment="1" applyProtection="1">
      <alignment vertical="center" wrapText="1"/>
      <protection locked="0"/>
    </xf>
    <xf numFmtId="0" fontId="45" fillId="23" borderId="6" xfId="0" applyFont="1" applyFill="1" applyBorder="1" applyAlignment="1" applyProtection="1">
      <alignment horizontal="left" vertical="center" wrapText="1"/>
      <protection locked="0"/>
    </xf>
    <xf numFmtId="4" fontId="50" fillId="23" borderId="6" xfId="0" applyNumberFormat="1" applyFont="1" applyFill="1" applyBorder="1" applyAlignment="1" applyProtection="1">
      <alignment vertical="center" wrapText="1"/>
    </xf>
    <xf numFmtId="4" fontId="50" fillId="22" borderId="6" xfId="0" applyNumberFormat="1" applyFont="1" applyFill="1" applyBorder="1" applyAlignment="1" applyProtection="1">
      <alignment vertical="center" wrapText="1"/>
    </xf>
    <xf numFmtId="4" fontId="50" fillId="23" borderId="56" xfId="0" applyNumberFormat="1" applyFont="1" applyFill="1" applyBorder="1" applyAlignment="1" applyProtection="1">
      <alignment vertical="center" wrapText="1"/>
    </xf>
    <xf numFmtId="0" fontId="45" fillId="0" borderId="0" xfId="0" applyFont="1" applyAlignment="1" applyProtection="1">
      <alignment vertical="center" wrapText="1"/>
      <protection locked="0"/>
    </xf>
    <xf numFmtId="0" fontId="45" fillId="24" borderId="6" xfId="0" applyFont="1" applyFill="1" applyBorder="1" applyAlignment="1" applyProtection="1">
      <alignment vertical="center" wrapText="1"/>
      <protection locked="0"/>
    </xf>
    <xf numFmtId="0" fontId="45" fillId="24" borderId="6" xfId="0" applyFont="1" applyFill="1" applyBorder="1" applyAlignment="1" applyProtection="1">
      <alignment horizontal="left" vertical="center" wrapText="1"/>
      <protection locked="0"/>
    </xf>
    <xf numFmtId="4" fontId="50" fillId="24" borderId="6" xfId="0" applyNumberFormat="1" applyFont="1" applyFill="1" applyBorder="1" applyAlignment="1" applyProtection="1">
      <alignment vertical="center" wrapText="1"/>
    </xf>
    <xf numFmtId="4" fontId="50" fillId="24" borderId="56" xfId="0" applyNumberFormat="1" applyFont="1" applyFill="1" applyBorder="1" applyAlignment="1" applyProtection="1">
      <alignment vertical="center" wrapText="1"/>
    </xf>
    <xf numFmtId="0" fontId="26" fillId="25" borderId="6" xfId="0" applyFont="1" applyFill="1" applyBorder="1" applyAlignment="1" applyProtection="1">
      <alignment vertical="center" wrapText="1"/>
      <protection locked="0"/>
    </xf>
    <xf numFmtId="0" fontId="26" fillId="25" borderId="6" xfId="0" applyFont="1" applyFill="1" applyBorder="1" applyAlignment="1" applyProtection="1">
      <alignment horizontal="left" vertical="center" wrapText="1"/>
      <protection locked="0"/>
    </xf>
    <xf numFmtId="4" fontId="51" fillId="20" borderId="6" xfId="0" applyNumberFormat="1" applyFont="1" applyFill="1" applyBorder="1" applyAlignment="1" applyProtection="1">
      <alignment vertical="center" wrapText="1"/>
      <protection locked="0"/>
    </xf>
    <xf numFmtId="4" fontId="51" fillId="20" borderId="56" xfId="0" applyNumberFormat="1" applyFont="1" applyFill="1" applyBorder="1" applyAlignment="1" applyProtection="1">
      <alignment vertical="center" wrapText="1"/>
      <protection locked="0"/>
    </xf>
    <xf numFmtId="4" fontId="8" fillId="0" borderId="0" xfId="0" applyNumberFormat="1" applyFont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4" fontId="51" fillId="20" borderId="6" xfId="0" applyNumberFormat="1" applyFont="1" applyFill="1" applyBorder="1" applyAlignment="1" applyProtection="1">
      <alignment horizontal="right" vertical="center" wrapText="1"/>
      <protection locked="0"/>
    </xf>
    <xf numFmtId="4" fontId="51" fillId="20" borderId="56" xfId="0" applyNumberFormat="1" applyFont="1" applyFill="1" applyBorder="1" applyAlignment="1" applyProtection="1">
      <alignment horizontal="right" vertical="center" wrapText="1"/>
      <protection locked="0"/>
    </xf>
    <xf numFmtId="4" fontId="51" fillId="25" borderId="6" xfId="0" applyNumberFormat="1" applyFont="1" applyFill="1" applyBorder="1" applyAlignment="1" applyProtection="1">
      <alignment vertical="center" wrapText="1"/>
    </xf>
    <xf numFmtId="4" fontId="19" fillId="22" borderId="56" xfId="0" applyNumberFormat="1" applyFont="1" applyFill="1" applyBorder="1" applyAlignment="1" applyProtection="1">
      <alignment vertical="center" wrapText="1"/>
    </xf>
    <xf numFmtId="4" fontId="50" fillId="23" borderId="6" xfId="0" applyNumberFormat="1" applyFont="1" applyFill="1" applyBorder="1" applyAlignment="1" applyProtection="1">
      <alignment horizontal="right" vertical="center" wrapText="1"/>
    </xf>
    <xf numFmtId="4" fontId="50" fillId="23" borderId="56" xfId="0" applyNumberFormat="1" applyFont="1" applyFill="1" applyBorder="1" applyAlignment="1" applyProtection="1">
      <alignment horizontal="right" vertical="center" wrapText="1"/>
    </xf>
    <xf numFmtId="4" fontId="50" fillId="24" borderId="6" xfId="0" applyNumberFormat="1" applyFont="1" applyFill="1" applyBorder="1" applyAlignment="1" applyProtection="1">
      <alignment horizontal="right" vertical="center" wrapText="1"/>
    </xf>
    <xf numFmtId="4" fontId="50" fillId="24" borderId="56" xfId="0" applyNumberFormat="1" applyFont="1" applyFill="1" applyBorder="1" applyAlignment="1" applyProtection="1">
      <alignment horizontal="right" vertical="center" wrapText="1"/>
    </xf>
    <xf numFmtId="4" fontId="51" fillId="25" borderId="56" xfId="0" applyNumberFormat="1" applyFont="1" applyFill="1" applyBorder="1" applyAlignment="1" applyProtection="1">
      <alignment vertical="center" wrapText="1"/>
    </xf>
    <xf numFmtId="4" fontId="52" fillId="20" borderId="6" xfId="0" applyNumberFormat="1" applyFont="1" applyFill="1" applyBorder="1" applyAlignment="1" applyProtection="1">
      <alignment horizontal="right" vertical="center" wrapText="1"/>
      <protection locked="0"/>
    </xf>
    <xf numFmtId="4" fontId="52" fillId="20" borderId="56" xfId="0" applyNumberFormat="1" applyFont="1" applyFill="1" applyBorder="1" applyAlignment="1" applyProtection="1">
      <alignment horizontal="right" vertical="center" wrapText="1"/>
      <protection locked="0"/>
    </xf>
    <xf numFmtId="0" fontId="26" fillId="2" borderId="6" xfId="0" applyFont="1" applyFill="1" applyBorder="1" applyAlignment="1" applyProtection="1">
      <alignment vertical="center" wrapText="1"/>
      <protection locked="0"/>
    </xf>
    <xf numFmtId="0" fontId="26" fillId="2" borderId="6" xfId="0" applyFont="1" applyFill="1" applyBorder="1" applyAlignment="1" applyProtection="1">
      <alignment horizontal="left" vertical="center" wrapText="1"/>
      <protection locked="0"/>
    </xf>
    <xf numFmtId="4" fontId="51" fillId="2" borderId="6" xfId="0" applyNumberFormat="1" applyFont="1" applyFill="1" applyBorder="1" applyAlignment="1" applyProtection="1">
      <alignment vertical="center" wrapText="1"/>
    </xf>
    <xf numFmtId="4" fontId="52" fillId="2" borderId="6" xfId="0" applyNumberFormat="1" applyFont="1" applyFill="1" applyBorder="1" applyAlignment="1" applyProtection="1">
      <alignment horizontal="right" vertical="center" wrapText="1"/>
      <protection locked="0"/>
    </xf>
    <xf numFmtId="4" fontId="52" fillId="2" borderId="56" xfId="0" applyNumberFormat="1" applyFont="1" applyFill="1" applyBorder="1" applyAlignment="1" applyProtection="1">
      <alignment horizontal="right" vertical="center" wrapText="1"/>
      <protection locked="0"/>
    </xf>
    <xf numFmtId="0" fontId="26" fillId="23" borderId="6" xfId="0" applyFont="1" applyFill="1" applyBorder="1" applyAlignment="1" applyProtection="1">
      <alignment vertical="center" wrapText="1"/>
      <protection locked="0"/>
    </xf>
    <xf numFmtId="0" fontId="26" fillId="24" borderId="6" xfId="0" applyFont="1" applyFill="1" applyBorder="1" applyAlignment="1" applyProtection="1">
      <alignment vertical="center" wrapText="1"/>
      <protection locked="0"/>
    </xf>
    <xf numFmtId="4" fontId="8" fillId="26" borderId="0" xfId="0" applyNumberFormat="1" applyFont="1" applyFill="1" applyAlignment="1" applyProtection="1">
      <alignment vertical="center" wrapText="1"/>
      <protection locked="0"/>
    </xf>
    <xf numFmtId="0" fontId="26" fillId="26" borderId="0" xfId="0" applyFont="1" applyFill="1" applyAlignment="1" applyProtection="1">
      <alignment vertical="center" wrapText="1"/>
      <protection locked="0"/>
    </xf>
    <xf numFmtId="4" fontId="51" fillId="25" borderId="6" xfId="0" applyNumberFormat="1" applyFont="1" applyFill="1" applyBorder="1" applyAlignment="1" applyProtection="1">
      <alignment vertical="center" wrapText="1"/>
      <protection locked="0"/>
    </xf>
    <xf numFmtId="4" fontId="51" fillId="25" borderId="56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4" fontId="19" fillId="22" borderId="57" xfId="0" applyNumberFormat="1" applyFont="1" applyFill="1" applyBorder="1" applyAlignment="1" applyProtection="1">
      <alignment vertical="center" wrapText="1"/>
    </xf>
    <xf numFmtId="0" fontId="26" fillId="0" borderId="0" xfId="0" applyFont="1" applyProtection="1"/>
    <xf numFmtId="0" fontId="53" fillId="0" borderId="0" xfId="0" applyFont="1" applyAlignment="1" applyProtection="1">
      <alignment horizontal="center"/>
      <protection locked="0"/>
    </xf>
    <xf numFmtId="0" fontId="53" fillId="0" borderId="0" xfId="0" applyFont="1" applyProtection="1">
      <protection locked="0"/>
    </xf>
    <xf numFmtId="4" fontId="54" fillId="0" borderId="0" xfId="0" applyNumberFormat="1" applyFont="1" applyProtection="1">
      <protection locked="0"/>
    </xf>
    <xf numFmtId="3" fontId="53" fillId="0" borderId="0" xfId="0" applyNumberFormat="1" applyFont="1" applyProtection="1">
      <protection locked="0"/>
    </xf>
    <xf numFmtId="43" fontId="0" fillId="0" borderId="20" xfId="1" applyFont="1" applyFill="1" applyBorder="1" applyAlignment="1" applyProtection="1">
      <protection locked="0"/>
    </xf>
    <xf numFmtId="43" fontId="0" fillId="0" borderId="35" xfId="1" applyFont="1" applyFill="1" applyBorder="1" applyAlignment="1" applyProtection="1">
      <protection locked="0"/>
    </xf>
    <xf numFmtId="43" fontId="0" fillId="0" borderId="17" xfId="1" applyFont="1" applyFill="1" applyBorder="1" applyAlignment="1" applyProtection="1">
      <protection locked="0"/>
    </xf>
    <xf numFmtId="43" fontId="0" fillId="0" borderId="67" xfId="1" applyFont="1" applyFill="1" applyBorder="1" applyAlignment="1" applyProtection="1">
      <protection locked="0"/>
    </xf>
    <xf numFmtId="4" fontId="19" fillId="22" borderId="18" xfId="0" applyNumberFormat="1" applyFont="1" applyFill="1" applyBorder="1" applyAlignment="1" applyProtection="1">
      <alignment vertical="center" wrapText="1"/>
    </xf>
    <xf numFmtId="43" fontId="14" fillId="5" borderId="58" xfId="1" applyFont="1" applyFill="1" applyBorder="1" applyAlignment="1" applyProtection="1">
      <alignment vertical="center"/>
      <protection locked="0"/>
    </xf>
    <xf numFmtId="43" fontId="0" fillId="0" borderId="43" xfId="1" applyFont="1" applyBorder="1" applyProtection="1">
      <protection locked="0"/>
    </xf>
    <xf numFmtId="43" fontId="1" fillId="0" borderId="74" xfId="1" applyFont="1" applyBorder="1" applyProtection="1">
      <protection locked="0"/>
    </xf>
    <xf numFmtId="43" fontId="38" fillId="0" borderId="3" xfId="1" applyFont="1" applyFill="1" applyBorder="1" applyAlignment="1" applyProtection="1">
      <alignment vertical="center"/>
      <protection locked="0"/>
    </xf>
    <xf numFmtId="43" fontId="0" fillId="2" borderId="3" xfId="1" applyFont="1" applyFill="1" applyBorder="1" applyProtection="1">
      <protection locked="0"/>
    </xf>
    <xf numFmtId="43" fontId="38" fillId="2" borderId="3" xfId="1" applyFont="1" applyFill="1" applyBorder="1" applyAlignment="1" applyProtection="1">
      <alignment vertical="center"/>
      <protection locked="0"/>
    </xf>
    <xf numFmtId="43" fontId="1" fillId="2" borderId="3" xfId="1" applyFont="1" applyFill="1" applyBorder="1" applyAlignment="1" applyProtection="1">
      <alignment horizontal="center"/>
      <protection locked="0"/>
    </xf>
    <xf numFmtId="43" fontId="0" fillId="0" borderId="3" xfId="1" applyFont="1" applyBorder="1" applyProtection="1">
      <protection hidden="1"/>
    </xf>
    <xf numFmtId="43" fontId="0" fillId="0" borderId="4" xfId="1" applyFont="1" applyBorder="1" applyProtection="1">
      <protection hidden="1"/>
    </xf>
    <xf numFmtId="43" fontId="0" fillId="0" borderId="71" xfId="1" applyFont="1" applyFill="1" applyBorder="1" applyProtection="1">
      <protection locked="0"/>
    </xf>
    <xf numFmtId="43" fontId="0" fillId="0" borderId="71" xfId="1" applyFont="1" applyBorder="1" applyProtection="1">
      <protection locked="0"/>
    </xf>
    <xf numFmtId="43" fontId="0" fillId="0" borderId="44" xfId="1" applyFont="1" applyBorder="1" applyProtection="1">
      <protection locked="0"/>
    </xf>
    <xf numFmtId="43" fontId="18" fillId="5" borderId="71" xfId="1" applyFont="1" applyFill="1" applyBorder="1" applyAlignment="1" applyProtection="1">
      <alignment vertical="center"/>
      <protection locked="0"/>
    </xf>
    <xf numFmtId="43" fontId="14" fillId="5" borderId="93" xfId="1" applyFont="1" applyFill="1" applyBorder="1" applyAlignment="1" applyProtection="1">
      <alignment vertical="center"/>
      <protection locked="0"/>
    </xf>
    <xf numFmtId="43" fontId="14" fillId="5" borderId="50" xfId="1" applyFont="1" applyFill="1" applyBorder="1" applyAlignment="1" applyProtection="1">
      <alignment vertical="center"/>
      <protection locked="0"/>
    </xf>
    <xf numFmtId="43" fontId="16" fillId="0" borderId="12" xfId="1" applyFont="1" applyFill="1" applyBorder="1" applyAlignment="1" applyProtection="1">
      <alignment vertical="center"/>
      <protection locked="0"/>
    </xf>
    <xf numFmtId="43" fontId="1" fillId="0" borderId="12" xfId="1" applyFont="1" applyBorder="1" applyProtection="1">
      <protection locked="0"/>
    </xf>
    <xf numFmtId="43" fontId="0" fillId="0" borderId="12" xfId="1" applyFont="1" applyBorder="1" applyProtection="1">
      <protection locked="0"/>
    </xf>
    <xf numFmtId="43" fontId="0" fillId="0" borderId="13" xfId="1" applyFont="1" applyBorder="1" applyProtection="1">
      <protection locked="0"/>
    </xf>
    <xf numFmtId="4" fontId="50" fillId="23" borderId="18" xfId="0" applyNumberFormat="1" applyFont="1" applyFill="1" applyBorder="1" applyAlignment="1" applyProtection="1">
      <alignment vertical="center" wrapText="1"/>
    </xf>
    <xf numFmtId="4" fontId="50" fillId="24" borderId="18" xfId="0" applyNumberFormat="1" applyFont="1" applyFill="1" applyBorder="1" applyAlignment="1" applyProtection="1">
      <alignment vertical="center" wrapText="1"/>
    </xf>
    <xf numFmtId="4" fontId="51" fillId="20" borderId="18" xfId="0" applyNumberFormat="1" applyFont="1" applyFill="1" applyBorder="1" applyAlignment="1" applyProtection="1">
      <alignment vertical="center" wrapText="1"/>
      <protection locked="0"/>
    </xf>
    <xf numFmtId="4" fontId="51" fillId="20" borderId="18" xfId="0" applyNumberFormat="1" applyFont="1" applyFill="1" applyBorder="1" applyAlignment="1" applyProtection="1">
      <alignment horizontal="right" vertical="center" wrapText="1"/>
      <protection locked="0"/>
    </xf>
    <xf numFmtId="4" fontId="50" fillId="23" borderId="18" xfId="0" applyNumberFormat="1" applyFont="1" applyFill="1" applyBorder="1" applyAlignment="1" applyProtection="1">
      <alignment horizontal="right" vertical="center" wrapText="1"/>
    </xf>
    <xf numFmtId="4" fontId="50" fillId="24" borderId="18" xfId="0" applyNumberFormat="1" applyFont="1" applyFill="1" applyBorder="1" applyAlignment="1" applyProtection="1">
      <alignment horizontal="right" vertical="center" wrapText="1"/>
    </xf>
    <xf numFmtId="4" fontId="51" fillId="25" borderId="18" xfId="0" applyNumberFormat="1" applyFont="1" applyFill="1" applyBorder="1" applyAlignment="1" applyProtection="1">
      <alignment vertical="center" wrapText="1"/>
    </xf>
    <xf numFmtId="4" fontId="51" fillId="2" borderId="18" xfId="0" applyNumberFormat="1" applyFont="1" applyFill="1" applyBorder="1" applyAlignment="1" applyProtection="1">
      <alignment vertical="center" wrapText="1"/>
    </xf>
    <xf numFmtId="4" fontId="51" fillId="2" borderId="56" xfId="0" applyNumberFormat="1" applyFont="1" applyFill="1" applyBorder="1" applyAlignment="1" applyProtection="1">
      <alignment vertical="center" wrapText="1"/>
    </xf>
    <xf numFmtId="4" fontId="51" fillId="25" borderId="18" xfId="0" applyNumberFormat="1" applyFont="1" applyFill="1" applyBorder="1" applyAlignment="1" applyProtection="1">
      <alignment vertical="center" wrapText="1"/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4" fillId="5" borderId="16" xfId="0" applyFont="1" applyFill="1" applyBorder="1" applyAlignment="1" applyProtection="1">
      <alignment horizontal="center" vertical="center" wrapText="1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43" fontId="11" fillId="9" borderId="94" xfId="1" applyFont="1" applyFill="1" applyBorder="1" applyAlignment="1" applyProtection="1">
      <protection locked="0"/>
    </xf>
    <xf numFmtId="0" fontId="39" fillId="5" borderId="17" xfId="0" applyFont="1" applyFill="1" applyBorder="1" applyAlignment="1" applyProtection="1">
      <alignment horizontal="center" vertical="center" wrapText="1"/>
      <protection locked="0"/>
    </xf>
    <xf numFmtId="43" fontId="15" fillId="27" borderId="25" xfId="1" applyFont="1" applyFill="1" applyBorder="1" applyAlignment="1" applyProtection="1">
      <alignment vertical="center"/>
      <protection locked="0"/>
    </xf>
    <xf numFmtId="43" fontId="0" fillId="0" borderId="0" xfId="1" applyFont="1" applyFill="1" applyBorder="1" applyProtection="1">
      <protection locked="0"/>
    </xf>
    <xf numFmtId="43" fontId="0" fillId="0" borderId="55" xfId="1" applyFont="1" applyFill="1" applyBorder="1" applyProtection="1">
      <protection locked="0"/>
    </xf>
    <xf numFmtId="0" fontId="13" fillId="5" borderId="67" xfId="0" applyFont="1" applyFill="1" applyBorder="1" applyAlignment="1" applyProtection="1">
      <alignment horizontal="center" vertical="center" wrapText="1"/>
      <protection locked="0"/>
    </xf>
    <xf numFmtId="43" fontId="0" fillId="0" borderId="31" xfId="1" applyFont="1" applyBorder="1" applyProtection="1">
      <protection locked="0"/>
    </xf>
    <xf numFmtId="43" fontId="0" fillId="0" borderId="23" xfId="1" applyFont="1" applyBorder="1" applyProtection="1">
      <protection locked="0"/>
    </xf>
    <xf numFmtId="43" fontId="11" fillId="9" borderId="95" xfId="1" applyFont="1" applyFill="1" applyBorder="1" applyAlignment="1" applyProtection="1">
      <protection locked="0"/>
    </xf>
    <xf numFmtId="43" fontId="0" fillId="0" borderId="54" xfId="1" applyFont="1" applyBorder="1" applyProtection="1">
      <protection hidden="1"/>
    </xf>
    <xf numFmtId="43" fontId="14" fillId="5" borderId="29" xfId="1" applyFont="1" applyFill="1" applyBorder="1" applyAlignment="1" applyProtection="1">
      <alignment vertical="center"/>
      <protection locked="0"/>
    </xf>
    <xf numFmtId="43" fontId="0" fillId="0" borderId="14" xfId="1" applyFont="1" applyFill="1" applyBorder="1" applyAlignment="1" applyProtection="1">
      <protection locked="0"/>
    </xf>
    <xf numFmtId="43" fontId="0" fillId="0" borderId="18" xfId="1" applyFont="1" applyFill="1" applyBorder="1" applyAlignment="1" applyProtection="1"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1" applyNumberFormat="1" applyFont="1" applyFill="1" applyBorder="1" applyAlignment="1" applyProtection="1">
      <alignment horizontal="center" vertical="center"/>
      <protection locked="0"/>
    </xf>
    <xf numFmtId="1" fontId="19" fillId="0" borderId="0" xfId="0" applyNumberFormat="1" applyFont="1" applyFill="1" applyBorder="1" applyAlignment="1" applyProtection="1">
      <alignment horizontal="center"/>
      <protection locked="0"/>
    </xf>
    <xf numFmtId="43" fontId="0" fillId="40" borderId="32" xfId="1" applyFont="1" applyFill="1" applyBorder="1" applyProtection="1">
      <protection locked="0"/>
    </xf>
    <xf numFmtId="43" fontId="0" fillId="40" borderId="22" xfId="1" applyFont="1" applyFill="1" applyBorder="1" applyProtection="1"/>
    <xf numFmtId="43" fontId="14" fillId="30" borderId="0" xfId="1" applyFont="1" applyFill="1" applyBorder="1" applyAlignment="1" applyProtection="1">
      <alignment vertical="center"/>
      <protection locked="0"/>
    </xf>
    <xf numFmtId="43" fontId="14" fillId="30" borderId="66" xfId="1" applyFont="1" applyFill="1" applyBorder="1" applyAlignment="1" applyProtection="1">
      <alignment vertical="center"/>
      <protection locked="0"/>
    </xf>
    <xf numFmtId="43" fontId="14" fillId="30" borderId="46" xfId="1" applyFont="1" applyFill="1" applyBorder="1" applyAlignment="1" applyProtection="1">
      <alignment vertical="center"/>
      <protection locked="0"/>
    </xf>
    <xf numFmtId="43" fontId="14" fillId="30" borderId="54" xfId="1" applyFont="1" applyFill="1" applyBorder="1" applyAlignment="1" applyProtection="1">
      <alignment vertical="center"/>
      <protection locked="0"/>
    </xf>
    <xf numFmtId="0" fontId="14" fillId="30" borderId="46" xfId="0" applyFont="1" applyFill="1" applyBorder="1" applyAlignment="1" applyProtection="1">
      <alignment vertical="center"/>
      <protection locked="0"/>
    </xf>
    <xf numFmtId="0" fontId="14" fillId="30" borderId="66" xfId="0" applyFont="1" applyFill="1" applyBorder="1" applyAlignment="1" applyProtection="1">
      <alignment vertical="center"/>
      <protection locked="0"/>
    </xf>
    <xf numFmtId="43" fontId="18" fillId="41" borderId="0" xfId="1" applyFont="1" applyFill="1" applyBorder="1" applyAlignment="1" applyProtection="1">
      <alignment vertical="center"/>
      <protection locked="0"/>
    </xf>
    <xf numFmtId="43" fontId="18" fillId="41" borderId="66" xfId="1" applyFont="1" applyFill="1" applyBorder="1" applyAlignment="1" applyProtection="1">
      <alignment vertical="center"/>
      <protection locked="0"/>
    </xf>
    <xf numFmtId="43" fontId="14" fillId="41" borderId="66" xfId="1" applyFont="1" applyFill="1" applyBorder="1" applyAlignment="1" applyProtection="1">
      <alignment vertical="center"/>
      <protection locked="0"/>
    </xf>
    <xf numFmtId="43" fontId="14" fillId="41" borderId="46" xfId="1" applyFont="1" applyFill="1" applyBorder="1" applyAlignment="1" applyProtection="1">
      <alignment vertical="center"/>
      <protection locked="0"/>
    </xf>
    <xf numFmtId="43" fontId="14" fillId="41" borderId="0" xfId="1" applyFont="1" applyFill="1" applyBorder="1" applyAlignment="1" applyProtection="1">
      <alignment vertical="center"/>
      <protection locked="0"/>
    </xf>
    <xf numFmtId="43" fontId="14" fillId="41" borderId="54" xfId="1" applyFont="1" applyFill="1" applyBorder="1" applyAlignment="1" applyProtection="1">
      <alignment vertical="center"/>
      <protection locked="0"/>
    </xf>
    <xf numFmtId="43" fontId="14" fillId="41" borderId="62" xfId="1" applyFont="1" applyFill="1" applyBorder="1" applyAlignment="1" applyProtection="1">
      <alignment vertical="center"/>
      <protection locked="0"/>
    </xf>
    <xf numFmtId="43" fontId="14" fillId="41" borderId="32" xfId="1" applyFont="1" applyFill="1" applyBorder="1" applyAlignment="1" applyProtection="1">
      <alignment vertical="center"/>
      <protection locked="0"/>
    </xf>
    <xf numFmtId="43" fontId="14" fillId="41" borderId="33" xfId="1" applyFont="1" applyFill="1" applyBorder="1" applyAlignment="1" applyProtection="1">
      <alignment vertical="center"/>
      <protection locked="0"/>
    </xf>
    <xf numFmtId="43" fontId="14" fillId="41" borderId="20" xfId="1" applyFont="1" applyFill="1" applyBorder="1" applyAlignment="1" applyProtection="1">
      <alignment horizontal="left" vertical="center"/>
      <protection locked="0"/>
    </xf>
    <xf numFmtId="43" fontId="14" fillId="41" borderId="18" xfId="1" applyFont="1" applyFill="1" applyBorder="1" applyAlignment="1" applyProtection="1">
      <alignment horizontal="left" vertical="center"/>
      <protection locked="0"/>
    </xf>
    <xf numFmtId="43" fontId="14" fillId="41" borderId="5" xfId="1" applyFont="1" applyFill="1" applyBorder="1" applyAlignment="1" applyProtection="1">
      <alignment vertical="center"/>
      <protection locked="0"/>
    </xf>
    <xf numFmtId="43" fontId="14" fillId="41" borderId="7" xfId="1" applyFont="1" applyFill="1" applyBorder="1" applyAlignment="1" applyProtection="1">
      <alignment horizontal="left" vertical="center"/>
      <protection locked="0"/>
    </xf>
    <xf numFmtId="43" fontId="0" fillId="0" borderId="22" xfId="1" applyFont="1" applyFill="1" applyBorder="1" applyProtection="1">
      <protection locked="0"/>
    </xf>
    <xf numFmtId="43" fontId="0" fillId="2" borderId="49" xfId="1" applyFont="1" applyFill="1" applyBorder="1" applyAlignment="1" applyProtection="1">
      <alignment horizontal="center"/>
      <protection locked="0"/>
    </xf>
    <xf numFmtId="43" fontId="0" fillId="0" borderId="63" xfId="1" applyFont="1" applyFill="1" applyBorder="1" applyAlignment="1" applyProtection="1">
      <protection locked="0"/>
    </xf>
    <xf numFmtId="43" fontId="1" fillId="0" borderId="56" xfId="1" applyFont="1" applyFill="1" applyBorder="1" applyAlignment="1" applyProtection="1">
      <alignment horizontal="center" vertical="center"/>
      <protection locked="0"/>
    </xf>
    <xf numFmtId="43" fontId="0" fillId="0" borderId="56" xfId="1" applyFont="1" applyFill="1" applyBorder="1" applyAlignment="1" applyProtection="1">
      <protection locked="0"/>
    </xf>
    <xf numFmtId="43" fontId="1" fillId="0" borderId="88" xfId="1" applyFont="1" applyFill="1" applyBorder="1" applyAlignment="1" applyProtection="1">
      <alignment horizontal="center" vertical="center"/>
      <protection locked="0"/>
    </xf>
    <xf numFmtId="43" fontId="0" fillId="0" borderId="88" xfId="1" applyFont="1" applyFill="1" applyBorder="1" applyProtection="1">
      <protection locked="0"/>
    </xf>
    <xf numFmtId="43" fontId="20" fillId="0" borderId="56" xfId="1" applyFont="1" applyFill="1" applyBorder="1" applyAlignment="1" applyProtection="1">
      <alignment horizontal="center" vertical="center"/>
      <protection locked="0"/>
    </xf>
    <xf numFmtId="43" fontId="14" fillId="41" borderId="56" xfId="1" applyFont="1" applyFill="1" applyBorder="1" applyAlignment="1" applyProtection="1">
      <alignment horizontal="left" vertical="center"/>
      <protection locked="0"/>
    </xf>
    <xf numFmtId="43" fontId="11" fillId="9" borderId="57" xfId="1" applyFont="1" applyFill="1" applyBorder="1" applyAlignment="1" applyProtection="1">
      <protection locked="0"/>
    </xf>
    <xf numFmtId="43" fontId="14" fillId="41" borderId="20" xfId="1" applyFont="1" applyFill="1" applyBorder="1" applyAlignment="1" applyProtection="1">
      <alignment vertical="center"/>
      <protection locked="0"/>
    </xf>
    <xf numFmtId="43" fontId="0" fillId="0" borderId="2" xfId="1" applyFont="1" applyFill="1" applyBorder="1" applyAlignment="1" applyProtection="1">
      <protection locked="0"/>
    </xf>
    <xf numFmtId="43" fontId="0" fillId="0" borderId="5" xfId="1" applyFont="1" applyFill="1" applyBorder="1" applyAlignment="1" applyProtection="1">
      <protection locked="0"/>
    </xf>
    <xf numFmtId="43" fontId="14" fillId="41" borderId="5" xfId="1" applyFont="1" applyFill="1" applyBorder="1" applyAlignment="1" applyProtection="1">
      <alignment horizontal="left" vertical="center"/>
      <protection locked="0"/>
    </xf>
    <xf numFmtId="43" fontId="11" fillId="9" borderId="11" xfId="1" applyFont="1" applyFill="1" applyBorder="1" applyAlignment="1" applyProtection="1">
      <protection locked="0"/>
    </xf>
    <xf numFmtId="0" fontId="1" fillId="0" borderId="5" xfId="1" applyNumberFormat="1" applyFont="1" applyFill="1" applyBorder="1" applyAlignment="1" applyProtection="1">
      <alignment vertical="center"/>
      <protection locked="0"/>
    </xf>
    <xf numFmtId="43" fontId="1" fillId="0" borderId="30" xfId="1" applyFont="1" applyFill="1" applyBorder="1" applyAlignment="1" applyProtection="1">
      <alignment vertical="center"/>
      <protection locked="0"/>
    </xf>
    <xf numFmtId="43" fontId="1" fillId="0" borderId="20" xfId="1" applyFont="1" applyFill="1" applyBorder="1" applyAlignment="1" applyProtection="1">
      <alignment horizontal="center"/>
      <protection locked="0"/>
    </xf>
    <xf numFmtId="43" fontId="1" fillId="0" borderId="35" xfId="1" applyFont="1" applyFill="1" applyBorder="1" applyProtection="1">
      <protection locked="0"/>
    </xf>
    <xf numFmtId="43" fontId="1" fillId="0" borderId="32" xfId="1" applyFont="1" applyFill="1" applyBorder="1" applyAlignment="1" applyProtection="1">
      <alignment horizontal="center"/>
      <protection locked="0"/>
    </xf>
    <xf numFmtId="43" fontId="1" fillId="0" borderId="37" xfId="1" applyFont="1" applyFill="1" applyBorder="1" applyProtection="1">
      <protection locked="0"/>
    </xf>
    <xf numFmtId="43" fontId="0" fillId="0" borderId="37" xfId="1" applyFont="1" applyFill="1" applyBorder="1" applyProtection="1"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43" fontId="0" fillId="2" borderId="30" xfId="1" applyFont="1" applyFill="1" applyBorder="1" applyAlignment="1" applyProtection="1">
      <alignment horizontal="center"/>
      <protection locked="0"/>
    </xf>
    <xf numFmtId="43" fontId="0" fillId="25" borderId="33" xfId="1" applyFont="1" applyFill="1" applyBorder="1" applyProtection="1">
      <protection hidden="1"/>
    </xf>
    <xf numFmtId="43" fontId="0" fillId="25" borderId="7" xfId="1" applyFont="1" applyFill="1" applyBorder="1" applyProtection="1">
      <protection hidden="1"/>
    </xf>
    <xf numFmtId="43" fontId="0" fillId="25" borderId="6" xfId="1" applyFont="1" applyFill="1" applyBorder="1" applyProtection="1">
      <protection locked="0"/>
    </xf>
    <xf numFmtId="43" fontId="1" fillId="25" borderId="6" xfId="1" applyFont="1" applyFill="1" applyBorder="1" applyAlignment="1" applyProtection="1">
      <alignment horizontal="center"/>
      <protection locked="0"/>
    </xf>
    <xf numFmtId="43" fontId="0" fillId="25" borderId="6" xfId="1" applyFont="1" applyFill="1" applyBorder="1" applyProtection="1">
      <protection hidden="1"/>
    </xf>
    <xf numFmtId="43" fontId="1" fillId="0" borderId="6" xfId="1" applyFont="1" applyFill="1" applyBorder="1" applyAlignment="1" applyProtection="1">
      <alignment horizontal="center"/>
      <protection locked="0"/>
    </xf>
    <xf numFmtId="43" fontId="0" fillId="2" borderId="6" xfId="1" applyFont="1" applyFill="1" applyBorder="1" applyProtection="1">
      <protection locked="0"/>
    </xf>
    <xf numFmtId="43" fontId="1" fillId="0" borderId="6" xfId="1" applyFont="1" applyFill="1" applyBorder="1" applyProtection="1">
      <protection locked="0"/>
    </xf>
    <xf numFmtId="43" fontId="1" fillId="0" borderId="6" xfId="1" applyFont="1" applyFill="1" applyBorder="1" applyAlignment="1" applyProtection="1">
      <alignment horizontal="center" vertical="center"/>
      <protection locked="0"/>
    </xf>
    <xf numFmtId="43" fontId="1" fillId="2" borderId="6" xfId="1" applyFont="1" applyFill="1" applyBorder="1" applyAlignment="1" applyProtection="1">
      <alignment horizontal="center"/>
      <protection locked="0"/>
    </xf>
    <xf numFmtId="43" fontId="0" fillId="0" borderId="6" xfId="1" applyFont="1" applyBorder="1" applyProtection="1">
      <protection hidden="1"/>
    </xf>
    <xf numFmtId="43" fontId="0" fillId="0" borderId="6" xfId="1" applyFont="1" applyFill="1" applyBorder="1" applyProtection="1">
      <protection locked="0"/>
    </xf>
    <xf numFmtId="43" fontId="0" fillId="2" borderId="6" xfId="1" applyFont="1" applyFill="1" applyBorder="1" applyAlignment="1" applyProtection="1">
      <alignment horizontal="center"/>
      <protection locked="0"/>
    </xf>
    <xf numFmtId="43" fontId="1" fillId="0" borderId="12" xfId="1" applyFont="1" applyFill="1" applyBorder="1" applyAlignment="1" applyProtection="1">
      <alignment horizontal="center"/>
      <protection locked="0"/>
    </xf>
    <xf numFmtId="10" fontId="0" fillId="0" borderId="19" xfId="2" applyNumberFormat="1" applyFont="1" applyBorder="1" applyProtection="1">
      <protection locked="0"/>
    </xf>
    <xf numFmtId="43" fontId="55" fillId="0" borderId="0" xfId="1" applyFont="1" applyBorder="1" applyProtection="1">
      <protection locked="0"/>
    </xf>
    <xf numFmtId="43" fontId="0" fillId="43" borderId="6" xfId="1" applyFont="1" applyFill="1" applyBorder="1" applyProtection="1">
      <protection locked="0"/>
    </xf>
    <xf numFmtId="4" fontId="0" fillId="0" borderId="6" xfId="0" applyNumberFormat="1" applyFont="1" applyBorder="1" applyAlignment="1">
      <alignment horizontal="right"/>
    </xf>
    <xf numFmtId="165" fontId="0" fillId="0" borderId="6" xfId="0" applyNumberFormat="1" applyBorder="1"/>
    <xf numFmtId="4" fontId="19" fillId="0" borderId="19" xfId="0" applyNumberFormat="1" applyFont="1" applyBorder="1" applyAlignment="1">
      <alignment horizontal="right"/>
    </xf>
    <xf numFmtId="4" fontId="19" fillId="0" borderId="97" xfId="0" applyNumberFormat="1" applyFont="1" applyBorder="1" applyAlignment="1">
      <alignment horizontal="right"/>
    </xf>
    <xf numFmtId="4" fontId="0" fillId="0" borderId="12" xfId="0" applyNumberFormat="1" applyFont="1" applyBorder="1" applyAlignment="1">
      <alignment horizontal="right"/>
    </xf>
    <xf numFmtId="0" fontId="19" fillId="15" borderId="6" xfId="0" applyFont="1" applyFill="1" applyBorder="1" applyAlignment="1" applyProtection="1">
      <alignment horizontal="center" vertical="center" wrapText="1"/>
      <protection locked="0"/>
    </xf>
    <xf numFmtId="43" fontId="26" fillId="0" borderId="0" xfId="1" applyFont="1" applyAlignment="1" applyProtection="1">
      <alignment vertical="center" wrapText="1"/>
      <protection locked="0"/>
    </xf>
    <xf numFmtId="0" fontId="20" fillId="0" borderId="0" xfId="0" applyFont="1" applyProtection="1">
      <protection locked="0"/>
    </xf>
    <xf numFmtId="43" fontId="20" fillId="2" borderId="6" xfId="1" applyFont="1" applyFill="1" applyBorder="1" applyProtection="1">
      <protection locked="0"/>
    </xf>
    <xf numFmtId="43" fontId="20" fillId="2" borderId="6" xfId="1" applyFont="1" applyFill="1" applyBorder="1" applyAlignment="1" applyProtection="1">
      <alignment horizontal="center"/>
      <protection locked="0"/>
    </xf>
    <xf numFmtId="165" fontId="0" fillId="0" borderId="12" xfId="0" applyNumberFormat="1" applyBorder="1"/>
    <xf numFmtId="165" fontId="19" fillId="0" borderId="19" xfId="0" applyNumberFormat="1" applyFont="1" applyBorder="1"/>
    <xf numFmtId="165" fontId="19" fillId="0" borderId="97" xfId="0" applyNumberFormat="1" applyFont="1" applyBorder="1"/>
    <xf numFmtId="43" fontId="0" fillId="0" borderId="9" xfId="1" applyFont="1" applyFill="1" applyBorder="1" applyProtection="1">
      <protection locked="0"/>
    </xf>
    <xf numFmtId="43" fontId="0" fillId="2" borderId="9" xfId="1" applyFont="1" applyFill="1" applyBorder="1" applyProtection="1">
      <protection locked="0"/>
    </xf>
    <xf numFmtId="43" fontId="1" fillId="2" borderId="9" xfId="1" applyFont="1" applyFill="1" applyBorder="1" applyAlignment="1" applyProtection="1">
      <alignment horizontal="center"/>
      <protection locked="0"/>
    </xf>
    <xf numFmtId="43" fontId="0" fillId="0" borderId="9" xfId="1" applyFont="1" applyBorder="1" applyProtection="1">
      <protection hidden="1"/>
    </xf>
    <xf numFmtId="43" fontId="0" fillId="0" borderId="19" xfId="1" applyFont="1" applyFill="1" applyBorder="1" applyProtection="1">
      <protection locked="0"/>
    </xf>
    <xf numFmtId="43" fontId="0" fillId="2" borderId="19" xfId="1" applyFont="1" applyFill="1" applyBorder="1" applyProtection="1">
      <protection locked="0"/>
    </xf>
    <xf numFmtId="43" fontId="1" fillId="2" borderId="19" xfId="1" applyFont="1" applyFill="1" applyBorder="1" applyAlignment="1" applyProtection="1">
      <alignment horizontal="center"/>
      <protection locked="0"/>
    </xf>
    <xf numFmtId="43" fontId="0" fillId="0" borderId="19" xfId="1" applyFont="1" applyBorder="1" applyProtection="1">
      <protection hidden="1"/>
    </xf>
    <xf numFmtId="43" fontId="0" fillId="25" borderId="19" xfId="1" applyFont="1" applyFill="1" applyBorder="1" applyProtection="1">
      <protection locked="0"/>
    </xf>
    <xf numFmtId="43" fontId="1" fillId="25" borderId="19" xfId="1" applyFont="1" applyFill="1" applyBorder="1" applyAlignment="1" applyProtection="1">
      <alignment horizontal="center"/>
      <protection locked="0"/>
    </xf>
    <xf numFmtId="43" fontId="0" fillId="25" borderId="19" xfId="1" applyFont="1" applyFill="1" applyBorder="1" applyProtection="1">
      <protection hidden="1"/>
    </xf>
    <xf numFmtId="43" fontId="16" fillId="27" borderId="27" xfId="1" applyFont="1" applyFill="1" applyBorder="1" applyAlignment="1" applyProtection="1">
      <alignment vertical="center"/>
      <protection locked="0"/>
    </xf>
    <xf numFmtId="43" fontId="0" fillId="2" borderId="9" xfId="1" applyFont="1" applyFill="1" applyBorder="1" applyAlignment="1" applyProtection="1">
      <alignment horizontal="center"/>
      <protection locked="0"/>
    </xf>
    <xf numFmtId="0" fontId="14" fillId="30" borderId="30" xfId="0" applyFont="1" applyFill="1" applyBorder="1" applyAlignment="1" applyProtection="1">
      <alignment vertical="center"/>
      <protection locked="0"/>
    </xf>
    <xf numFmtId="0" fontId="14" fillId="30" borderId="19" xfId="0" applyFont="1" applyFill="1" applyBorder="1" applyAlignment="1" applyProtection="1">
      <alignment vertical="center"/>
      <protection locked="0"/>
    </xf>
    <xf numFmtId="43" fontId="14" fillId="30" borderId="19" xfId="1" applyFont="1" applyFill="1" applyBorder="1" applyAlignment="1" applyProtection="1">
      <alignment vertical="center"/>
      <protection locked="0"/>
    </xf>
    <xf numFmtId="43" fontId="14" fillId="30" borderId="33" xfId="1" applyFont="1" applyFill="1" applyBorder="1" applyAlignment="1" applyProtection="1">
      <alignment vertical="center"/>
      <protection locked="0"/>
    </xf>
    <xf numFmtId="43" fontId="14" fillId="41" borderId="27" xfId="1" applyFont="1" applyFill="1" applyBorder="1" applyAlignment="1" applyProtection="1">
      <alignment vertical="center"/>
      <protection locked="0"/>
    </xf>
    <xf numFmtId="43" fontId="14" fillId="41" borderId="27" xfId="1" applyFont="1" applyFill="1" applyBorder="1" applyAlignment="1" applyProtection="1">
      <alignment horizontal="left" vertical="center"/>
      <protection locked="0"/>
    </xf>
    <xf numFmtId="43" fontId="14" fillId="41" borderId="28" xfId="1" applyFont="1" applyFill="1" applyBorder="1" applyAlignment="1" applyProtection="1">
      <alignment horizontal="left" vertical="center"/>
      <protection locked="0"/>
    </xf>
    <xf numFmtId="43" fontId="1" fillId="0" borderId="9" xfId="1" applyFont="1" applyFill="1" applyBorder="1" applyAlignment="1" applyProtection="1">
      <alignment horizontal="center"/>
      <protection locked="0"/>
    </xf>
    <xf numFmtId="43" fontId="1" fillId="0" borderId="9" xfId="1" applyFont="1" applyFill="1" applyBorder="1" applyProtection="1">
      <protection locked="0"/>
    </xf>
    <xf numFmtId="43" fontId="1" fillId="0" borderId="9" xfId="1" applyFont="1" applyFill="1" applyBorder="1" applyAlignment="1" applyProtection="1">
      <alignment horizontal="center" vertical="center"/>
      <protection locked="0"/>
    </xf>
    <xf numFmtId="43" fontId="11" fillId="9" borderId="98" xfId="1" applyFont="1" applyFill="1" applyBorder="1" applyAlignment="1" applyProtection="1">
      <protection locked="0"/>
    </xf>
    <xf numFmtId="43" fontId="11" fillId="9" borderId="74" xfId="1" applyFont="1" applyFill="1" applyBorder="1" applyAlignment="1" applyProtection="1">
      <protection locked="0"/>
    </xf>
    <xf numFmtId="43" fontId="19" fillId="0" borderId="99" xfId="0" applyNumberFormat="1" applyFont="1" applyBorder="1" applyProtection="1">
      <protection locked="0"/>
    </xf>
    <xf numFmtId="2" fontId="51" fillId="0" borderId="20" xfId="0" applyNumberFormat="1" applyFont="1" applyFill="1" applyBorder="1" applyProtection="1"/>
    <xf numFmtId="0" fontId="51" fillId="0" borderId="20" xfId="0" applyFont="1" applyBorder="1" applyProtection="1">
      <protection locked="0"/>
    </xf>
    <xf numFmtId="43" fontId="26" fillId="0" borderId="0" xfId="0" applyNumberFormat="1" applyFont="1" applyAlignment="1" applyProtection="1">
      <alignment vertical="center" wrapText="1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1" fontId="0" fillId="0" borderId="6" xfId="0" applyNumberFormat="1" applyFont="1" applyBorder="1" applyAlignment="1" applyProtection="1">
      <alignment horizontal="center"/>
      <protection locked="0"/>
    </xf>
    <xf numFmtId="9" fontId="1" fillId="0" borderId="0" xfId="0" applyNumberFormat="1" applyFont="1" applyFill="1" applyProtection="1">
      <protection locked="0"/>
    </xf>
    <xf numFmtId="0" fontId="0" fillId="0" borderId="0" xfId="0" applyFont="1" applyFill="1" applyProtection="1">
      <protection locked="0"/>
    </xf>
    <xf numFmtId="43" fontId="0" fillId="25" borderId="6" xfId="1" applyFont="1" applyFill="1" applyBorder="1" applyAlignment="1" applyProtection="1">
      <alignment horizontal="center"/>
      <protection locked="0"/>
    </xf>
    <xf numFmtId="43" fontId="1" fillId="0" borderId="0" xfId="1" applyFont="1" applyFill="1" applyProtection="1">
      <protection locked="0"/>
    </xf>
    <xf numFmtId="164" fontId="0" fillId="0" borderId="0" xfId="0" applyNumberFormat="1" applyBorder="1" applyProtection="1">
      <protection locked="0"/>
    </xf>
    <xf numFmtId="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5" fillId="15" borderId="18" xfId="0" applyFont="1" applyFill="1" applyBorder="1" applyAlignment="1" applyProtection="1">
      <alignment horizontal="center" vertical="center" wrapText="1"/>
      <protection locked="0"/>
    </xf>
    <xf numFmtId="1" fontId="1" fillId="0" borderId="18" xfId="0" applyNumberFormat="1" applyFont="1" applyBorder="1" applyAlignment="1" applyProtection="1">
      <alignment horizontal="center"/>
      <protection locked="0"/>
    </xf>
    <xf numFmtId="0" fontId="56" fillId="44" borderId="6" xfId="0" applyFont="1" applyFill="1" applyBorder="1" applyAlignment="1">
      <alignment horizontal="center" vertical="center"/>
    </xf>
    <xf numFmtId="0" fontId="56" fillId="44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0" xfId="0" applyFill="1" applyBorder="1" applyProtection="1">
      <protection locked="0"/>
    </xf>
    <xf numFmtId="4" fontId="0" fillId="0" borderId="0" xfId="0" applyNumberFormat="1" applyFill="1" applyProtection="1">
      <protection locked="0"/>
    </xf>
    <xf numFmtId="43" fontId="0" fillId="0" borderId="60" xfId="1" applyFont="1" applyFill="1" applyBorder="1" applyProtection="1">
      <protection locked="0"/>
    </xf>
    <xf numFmtId="9" fontId="0" fillId="0" borderId="6" xfId="2" applyFont="1" applyBorder="1" applyProtection="1">
      <protection locked="0"/>
    </xf>
    <xf numFmtId="172" fontId="1" fillId="0" borderId="31" xfId="1" applyNumberFormat="1" applyFont="1" applyFill="1" applyBorder="1" applyAlignment="1" applyProtection="1">
      <alignment horizontal="center"/>
      <protection locked="0"/>
    </xf>
    <xf numFmtId="43" fontId="1" fillId="0" borderId="4" xfId="1" applyFont="1" applyFill="1" applyBorder="1" applyAlignment="1" applyProtection="1">
      <alignment horizontal="center"/>
      <protection locked="0"/>
    </xf>
    <xf numFmtId="43" fontId="1" fillId="0" borderId="13" xfId="1" applyFont="1" applyFill="1" applyBorder="1" applyAlignment="1" applyProtection="1">
      <alignment horizontal="center"/>
      <protection locked="0"/>
    </xf>
    <xf numFmtId="0" fontId="51" fillId="0" borderId="34" xfId="0" applyFont="1" applyFill="1" applyBorder="1" applyAlignment="1" applyProtection="1">
      <alignment horizontal="center"/>
      <protection locked="0"/>
    </xf>
    <xf numFmtId="43" fontId="19" fillId="0" borderId="100" xfId="0" applyNumberFormat="1" applyFont="1" applyBorder="1" applyProtection="1">
      <protection locked="0"/>
    </xf>
    <xf numFmtId="10" fontId="0" fillId="0" borderId="33" xfId="2" applyNumberFormat="1" applyFont="1" applyBorder="1" applyProtection="1">
      <protection locked="0"/>
    </xf>
    <xf numFmtId="43" fontId="0" fillId="43" borderId="7" xfId="1" applyFont="1" applyFill="1" applyBorder="1" applyProtection="1">
      <protection locked="0"/>
    </xf>
    <xf numFmtId="43" fontId="19" fillId="42" borderId="13" xfId="0" applyNumberFormat="1" applyFont="1" applyFill="1" applyBorder="1" applyProtection="1">
      <protection locked="0"/>
    </xf>
    <xf numFmtId="43" fontId="1" fillId="0" borderId="22" xfId="1" applyFont="1" applyFill="1" applyBorder="1" applyAlignment="1" applyProtection="1">
      <alignment horizontal="center"/>
      <protection locked="0"/>
    </xf>
    <xf numFmtId="164" fontId="1" fillId="0" borderId="31" xfId="1" applyNumberFormat="1" applyFont="1" applyFill="1" applyBorder="1" applyAlignment="1" applyProtection="1">
      <alignment horizontal="center"/>
      <protection locked="0"/>
    </xf>
    <xf numFmtId="43" fontId="1" fillId="0" borderId="3" xfId="1" applyFont="1" applyFill="1" applyBorder="1" applyAlignment="1" applyProtection="1">
      <alignment horizontal="center"/>
      <protection locked="0"/>
    </xf>
    <xf numFmtId="43" fontId="19" fillId="42" borderId="12" xfId="0" applyNumberFormat="1" applyFont="1" applyFill="1" applyBorder="1" applyProtection="1">
      <protection locked="0"/>
    </xf>
    <xf numFmtId="43" fontId="1" fillId="0" borderId="10" xfId="1" applyFont="1" applyFill="1" applyBorder="1" applyAlignment="1" applyProtection="1">
      <alignment horizontal="center"/>
      <protection locked="0"/>
    </xf>
    <xf numFmtId="43" fontId="19" fillId="2" borderId="28" xfId="0" applyNumberFormat="1" applyFont="1" applyFill="1" applyBorder="1" applyProtection="1">
      <protection locked="0"/>
    </xf>
    <xf numFmtId="43" fontId="0" fillId="0" borderId="4" xfId="1" applyFont="1" applyBorder="1" applyProtection="1">
      <protection locked="0"/>
    </xf>
    <xf numFmtId="1" fontId="0" fillId="2" borderId="38" xfId="0" applyNumberFormat="1" applyFill="1" applyBorder="1" applyProtection="1">
      <protection locked="0"/>
    </xf>
    <xf numFmtId="43" fontId="11" fillId="4" borderId="28" xfId="1" applyNumberFormat="1" applyFont="1" applyFill="1" applyBorder="1" applyAlignment="1" applyProtection="1">
      <alignment horizontal="center"/>
      <protection locked="0"/>
    </xf>
    <xf numFmtId="43" fontId="1" fillId="0" borderId="67" xfId="1" applyFont="1" applyFill="1" applyBorder="1" applyAlignment="1" applyProtection="1">
      <alignment horizontal="center"/>
      <protection locked="0"/>
    </xf>
    <xf numFmtId="43" fontId="1" fillId="0" borderId="68" xfId="1" applyFont="1" applyFill="1" applyBorder="1" applyAlignment="1" applyProtection="1">
      <alignment horizontal="center"/>
      <protection locked="0"/>
    </xf>
    <xf numFmtId="0" fontId="19" fillId="39" borderId="39" xfId="0" applyFont="1" applyFill="1" applyBorder="1" applyAlignment="1" applyProtection="1">
      <alignment horizontal="center"/>
      <protection locked="0"/>
    </xf>
    <xf numFmtId="0" fontId="19" fillId="39" borderId="58" xfId="0" applyFont="1" applyFill="1" applyBorder="1" applyAlignment="1" applyProtection="1">
      <alignment horizontal="center"/>
      <protection locked="0"/>
    </xf>
    <xf numFmtId="0" fontId="19" fillId="39" borderId="93" xfId="0" applyFont="1" applyFill="1" applyBorder="1" applyAlignment="1" applyProtection="1">
      <alignment horizontal="center"/>
      <protection locked="0"/>
    </xf>
    <xf numFmtId="4" fontId="19" fillId="2" borderId="19" xfId="0" applyNumberFormat="1" applyFont="1" applyFill="1" applyBorder="1" applyAlignment="1">
      <alignment horizontal="right"/>
    </xf>
    <xf numFmtId="165" fontId="19" fillId="2" borderId="19" xfId="0" applyNumberFormat="1" applyFont="1" applyFill="1" applyBorder="1"/>
    <xf numFmtId="4" fontId="19" fillId="2" borderId="97" xfId="0" applyNumberFormat="1" applyFont="1" applyFill="1" applyBorder="1" applyAlignment="1">
      <alignment horizontal="right"/>
    </xf>
    <xf numFmtId="165" fontId="19" fillId="2" borderId="97" xfId="0" applyNumberFormat="1" applyFont="1" applyFill="1" applyBorder="1"/>
    <xf numFmtId="0" fontId="11" fillId="0" borderId="0" xfId="0" applyFont="1" applyFill="1" applyBorder="1" applyAlignment="1" applyProtection="1">
      <alignment horizontal="left"/>
      <protection locked="0"/>
    </xf>
    <xf numFmtId="43" fontId="11" fillId="0" borderId="0" xfId="1" applyFont="1" applyFill="1" applyBorder="1" applyAlignment="1" applyProtection="1">
      <protection locked="0"/>
    </xf>
    <xf numFmtId="0" fontId="26" fillId="0" borderId="0" xfId="0" applyFont="1" applyBorder="1" applyAlignment="1" applyProtection="1">
      <protection locked="0"/>
    </xf>
    <xf numFmtId="0" fontId="26" fillId="0" borderId="2" xfId="0" applyFont="1" applyBorder="1" applyAlignment="1" applyProtection="1">
      <protection locked="0"/>
    </xf>
    <xf numFmtId="0" fontId="26" fillId="0" borderId="11" xfId="0" applyFont="1" applyBorder="1" applyAlignment="1" applyProtection="1">
      <protection locked="0"/>
    </xf>
    <xf numFmtId="0" fontId="26" fillId="2" borderId="26" xfId="0" applyFont="1" applyFill="1" applyBorder="1" applyAlignment="1" applyProtection="1">
      <protection locked="0"/>
    </xf>
    <xf numFmtId="0" fontId="49" fillId="4" borderId="26" xfId="0" applyFont="1" applyFill="1" applyBorder="1" applyAlignment="1" applyProtection="1">
      <protection locked="0"/>
    </xf>
    <xf numFmtId="43" fontId="19" fillId="2" borderId="28" xfId="0" applyNumberFormat="1" applyFont="1" applyFill="1" applyBorder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horizontal="left" vertical="center" wrapText="1" indent="3"/>
      <protection locked="0"/>
    </xf>
    <xf numFmtId="43" fontId="11" fillId="4" borderId="28" xfId="1" applyFont="1" applyFill="1" applyBorder="1" applyAlignment="1" applyProtection="1">
      <alignment vertical="center"/>
      <protection locked="0"/>
    </xf>
    <xf numFmtId="0" fontId="1" fillId="8" borderId="5" xfId="0" applyFont="1" applyFill="1" applyBorder="1" applyAlignment="1" applyProtection="1">
      <alignment horizontal="left"/>
      <protection locked="0"/>
    </xf>
    <xf numFmtId="0" fontId="1" fillId="8" borderId="7" xfId="0" applyFont="1" applyFill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13" xfId="0" applyFont="1" applyBorder="1" applyAlignment="1" applyProtection="1">
      <alignment horizontal="left"/>
      <protection locked="0"/>
    </xf>
    <xf numFmtId="0" fontId="14" fillId="5" borderId="30" xfId="0" applyFont="1" applyFill="1" applyBorder="1" applyAlignment="1" applyProtection="1">
      <alignment horizontal="left" vertical="center"/>
      <protection locked="0"/>
    </xf>
    <xf numFmtId="0" fontId="14" fillId="5" borderId="33" xfId="0" applyFont="1" applyFill="1" applyBorder="1" applyAlignment="1" applyProtection="1">
      <alignment horizontal="left" vertical="center"/>
      <protection locked="0"/>
    </xf>
    <xf numFmtId="0" fontId="11" fillId="9" borderId="11" xfId="0" applyFont="1" applyFill="1" applyBorder="1" applyAlignment="1" applyProtection="1">
      <alignment horizontal="left"/>
      <protection locked="0"/>
    </xf>
    <xf numFmtId="0" fontId="11" fillId="9" borderId="13" xfId="0" applyFont="1" applyFill="1" applyBorder="1" applyAlignment="1" applyProtection="1">
      <alignment horizontal="left"/>
      <protection locked="0"/>
    </xf>
    <xf numFmtId="0" fontId="1" fillId="2" borderId="24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4" fillId="5" borderId="46" xfId="0" applyFont="1" applyFill="1" applyBorder="1" applyAlignment="1" applyProtection="1">
      <alignment horizontal="left" vertical="center"/>
      <protection locked="0"/>
    </xf>
    <xf numFmtId="0" fontId="14" fillId="5" borderId="0" xfId="0" applyFont="1" applyFill="1" applyBorder="1" applyAlignment="1" applyProtection="1">
      <alignment horizontal="left" vertical="center"/>
      <protection locked="0"/>
    </xf>
    <xf numFmtId="0" fontId="11" fillId="11" borderId="24" xfId="0" applyFont="1" applyFill="1" applyBorder="1" applyAlignment="1" applyProtection="1">
      <alignment horizontal="left"/>
      <protection locked="0"/>
    </xf>
    <xf numFmtId="0" fontId="11" fillId="11" borderId="25" xfId="0" applyFont="1" applyFill="1" applyBorder="1" applyAlignment="1" applyProtection="1">
      <alignment horizontal="left"/>
      <protection locked="0"/>
    </xf>
    <xf numFmtId="0" fontId="11" fillId="9" borderId="36" xfId="0" applyFont="1" applyFill="1" applyBorder="1" applyAlignment="1" applyProtection="1">
      <alignment horizontal="left"/>
      <protection locked="0"/>
    </xf>
    <xf numFmtId="0" fontId="11" fillId="9" borderId="37" xfId="0" applyFont="1" applyFill="1" applyBorder="1" applyAlignment="1" applyProtection="1">
      <alignment horizontal="left"/>
      <protection locked="0"/>
    </xf>
    <xf numFmtId="0" fontId="1" fillId="12" borderId="9" xfId="0" applyFont="1" applyFill="1" applyBorder="1" applyAlignment="1" applyProtection="1">
      <alignment horizontal="center" vertical="center"/>
      <protection locked="0"/>
    </xf>
    <xf numFmtId="0" fontId="0" fillId="12" borderId="19" xfId="0" applyFill="1" applyBorder="1" applyAlignment="1" applyProtection="1">
      <alignment horizontal="center" vertical="center"/>
      <protection locked="0"/>
    </xf>
    <xf numFmtId="0" fontId="14" fillId="5" borderId="24" xfId="0" applyFont="1" applyFill="1" applyBorder="1" applyAlignment="1" applyProtection="1">
      <alignment horizontal="left" vertical="center"/>
      <protection locked="0"/>
    </xf>
    <xf numFmtId="0" fontId="14" fillId="5" borderId="25" xfId="0" applyFont="1" applyFill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indent="3"/>
      <protection locked="0"/>
    </xf>
    <xf numFmtId="0" fontId="1" fillId="0" borderId="7" xfId="0" applyFont="1" applyBorder="1" applyAlignment="1" applyProtection="1">
      <alignment horizontal="left" indent="3"/>
      <protection locked="0"/>
    </xf>
    <xf numFmtId="0" fontId="19" fillId="0" borderId="26" xfId="0" applyFont="1" applyBorder="1" applyAlignment="1" applyProtection="1">
      <alignment horizontal="left"/>
      <protection locked="0"/>
    </xf>
    <xf numFmtId="0" fontId="19" fillId="0" borderId="28" xfId="0" applyFont="1" applyBorder="1" applyAlignment="1" applyProtection="1">
      <alignment horizontal="left"/>
      <protection locked="0"/>
    </xf>
    <xf numFmtId="0" fontId="1" fillId="0" borderId="30" xfId="0" applyFont="1" applyBorder="1" applyAlignment="1" applyProtection="1">
      <alignment horizontal="left" indent="3"/>
      <protection locked="0"/>
    </xf>
    <xf numFmtId="0" fontId="0" fillId="0" borderId="33" xfId="0" applyBorder="1" applyAlignment="1" applyProtection="1">
      <alignment horizontal="left" indent="3"/>
      <protection locked="0"/>
    </xf>
    <xf numFmtId="0" fontId="0" fillId="0" borderId="7" xfId="0" applyBorder="1" applyAlignment="1" applyProtection="1">
      <alignment horizontal="left" indent="3"/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0" fontId="1" fillId="14" borderId="7" xfId="0" applyFont="1" applyFill="1" applyBorder="1" applyAlignment="1" applyProtection="1">
      <alignment horizontal="left"/>
      <protection locked="0"/>
    </xf>
    <xf numFmtId="0" fontId="19" fillId="2" borderId="5" xfId="0" applyFont="1" applyFill="1" applyBorder="1" applyAlignment="1" applyProtection="1">
      <alignment horizontal="left" indent="3"/>
      <protection locked="0"/>
    </xf>
    <xf numFmtId="0" fontId="19" fillId="2" borderId="7" xfId="0" applyFont="1" applyFill="1" applyBorder="1" applyAlignment="1" applyProtection="1">
      <alignment horizontal="left" indent="3"/>
      <protection locked="0"/>
    </xf>
    <xf numFmtId="0" fontId="1" fillId="8" borderId="30" xfId="0" applyFont="1" applyFill="1" applyBorder="1" applyAlignment="1" applyProtection="1">
      <alignment horizontal="left"/>
      <protection locked="0"/>
    </xf>
    <xf numFmtId="0" fontId="1" fillId="8" borderId="33" xfId="0" applyFont="1" applyFill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4" fillId="5" borderId="4" xfId="0" applyFont="1" applyFill="1" applyBorder="1" applyAlignment="1" applyProtection="1">
      <alignment horizontal="center" vertical="center" wrapText="1"/>
      <protection locked="0"/>
    </xf>
    <xf numFmtId="0" fontId="14" fillId="5" borderId="7" xfId="0" applyFont="1" applyFill="1" applyBorder="1" applyAlignment="1" applyProtection="1">
      <alignment horizontal="center" vertical="center" wrapText="1"/>
      <protection locked="0"/>
    </xf>
    <xf numFmtId="0" fontId="13" fillId="5" borderId="0" xfId="0" applyFont="1" applyFill="1" applyBorder="1" applyAlignment="1" applyProtection="1">
      <alignment horizontal="center"/>
      <protection locked="0"/>
    </xf>
    <xf numFmtId="0" fontId="14" fillId="5" borderId="21" xfId="0" applyFont="1" applyFill="1" applyBorder="1" applyAlignment="1" applyProtection="1">
      <alignment horizontal="left" vertical="center"/>
      <protection locked="0"/>
    </xf>
    <xf numFmtId="0" fontId="14" fillId="5" borderId="48" xfId="0" applyFont="1" applyFill="1" applyBorder="1" applyAlignment="1" applyProtection="1">
      <alignment horizontal="left" vertical="center"/>
      <protection locked="0"/>
    </xf>
    <xf numFmtId="0" fontId="15" fillId="27" borderId="24" xfId="0" applyFont="1" applyFill="1" applyBorder="1" applyAlignment="1" applyProtection="1">
      <alignment horizontal="left" vertical="center"/>
      <protection locked="0"/>
    </xf>
    <xf numFmtId="0" fontId="15" fillId="27" borderId="38" xfId="0" applyFont="1" applyFill="1" applyBorder="1" applyAlignment="1" applyProtection="1">
      <alignment horizontal="left" vertical="center"/>
      <protection locked="0"/>
    </xf>
    <xf numFmtId="0" fontId="1" fillId="6" borderId="30" xfId="0" applyFont="1" applyFill="1" applyBorder="1" applyAlignment="1" applyProtection="1">
      <alignment horizontal="left" indent="3"/>
      <protection locked="0"/>
    </xf>
    <xf numFmtId="0" fontId="1" fillId="6" borderId="33" xfId="0" applyFont="1" applyFill="1" applyBorder="1" applyAlignment="1" applyProtection="1">
      <alignment horizontal="left" indent="3"/>
      <protection locked="0"/>
    </xf>
    <xf numFmtId="0" fontId="19" fillId="15" borderId="6" xfId="0" applyFont="1" applyFill="1" applyBorder="1" applyAlignment="1" applyProtection="1">
      <alignment horizontal="center" vertical="center"/>
      <protection locked="0"/>
    </xf>
    <xf numFmtId="0" fontId="14" fillId="5" borderId="2" xfId="0" applyFont="1" applyFill="1" applyBorder="1" applyAlignment="1" applyProtection="1">
      <alignment horizontal="center" vertical="center"/>
      <protection locked="0"/>
    </xf>
    <xf numFmtId="0" fontId="14" fillId="5" borderId="4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4" fillId="5" borderId="79" xfId="0" applyFont="1" applyFill="1" applyBorder="1" applyAlignment="1" applyProtection="1">
      <alignment horizontal="center" vertical="center" wrapText="1"/>
      <protection locked="0"/>
    </xf>
    <xf numFmtId="0" fontId="14" fillId="5" borderId="62" xfId="0" applyFont="1" applyFill="1" applyBorder="1" applyAlignment="1" applyProtection="1">
      <alignment horizontal="center" vertical="center" wrapText="1"/>
      <protection locked="0"/>
    </xf>
    <xf numFmtId="0" fontId="14" fillId="5" borderId="16" xfId="0" applyFont="1" applyFill="1" applyBorder="1" applyAlignment="1" applyProtection="1">
      <alignment horizontal="center" vertical="center" wrapText="1"/>
      <protection locked="0"/>
    </xf>
    <xf numFmtId="0" fontId="14" fillId="5" borderId="17" xfId="0" applyFont="1" applyFill="1" applyBorder="1" applyAlignment="1" applyProtection="1">
      <alignment horizontal="center" vertical="center" wrapText="1"/>
      <protection locked="0"/>
    </xf>
    <xf numFmtId="0" fontId="13" fillId="5" borderId="2" xfId="0" applyFont="1" applyFill="1" applyBorder="1" applyAlignment="1" applyProtection="1">
      <alignment horizontal="center" vertical="center" wrapText="1"/>
      <protection locked="0"/>
    </xf>
    <xf numFmtId="0" fontId="13" fillId="5" borderId="4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left" indent="3"/>
      <protection locked="0"/>
    </xf>
    <xf numFmtId="0" fontId="1" fillId="0" borderId="10" xfId="0" applyFont="1" applyBorder="1" applyAlignment="1" applyProtection="1">
      <alignment horizontal="left" indent="3"/>
      <protection locked="0"/>
    </xf>
    <xf numFmtId="0" fontId="15" fillId="27" borderId="41" xfId="0" applyFont="1" applyFill="1" applyBorder="1" applyAlignment="1" applyProtection="1">
      <alignment horizontal="left" vertical="center"/>
      <protection locked="0"/>
    </xf>
    <xf numFmtId="0" fontId="15" fillId="27" borderId="42" xfId="0" applyFont="1" applyFill="1" applyBorder="1" applyAlignment="1" applyProtection="1">
      <alignment horizontal="left" vertical="center"/>
      <protection locked="0"/>
    </xf>
    <xf numFmtId="4" fontId="11" fillId="30" borderId="82" xfId="0" applyNumberFormat="1" applyFont="1" applyFill="1" applyBorder="1" applyAlignment="1">
      <alignment horizontal="center"/>
    </xf>
    <xf numFmtId="4" fontId="11" fillId="30" borderId="81" xfId="0" applyNumberFormat="1" applyFont="1" applyFill="1" applyBorder="1" applyAlignment="1">
      <alignment horizontal="center"/>
    </xf>
    <xf numFmtId="0" fontId="1" fillId="8" borderId="64" xfId="0" applyFont="1" applyFill="1" applyBorder="1" applyAlignment="1" applyProtection="1">
      <alignment horizontal="left"/>
      <protection locked="0"/>
    </xf>
    <xf numFmtId="0" fontId="1" fillId="8" borderId="65" xfId="0" applyFont="1" applyFill="1" applyBorder="1" applyAlignment="1" applyProtection="1">
      <alignment horizontal="left"/>
      <protection locked="0"/>
    </xf>
    <xf numFmtId="0" fontId="1" fillId="8" borderId="2" xfId="0" applyFont="1" applyFill="1" applyBorder="1" applyAlignment="1" applyProtection="1">
      <alignment horizontal="left"/>
      <protection locked="0"/>
    </xf>
    <xf numFmtId="0" fontId="1" fillId="8" borderId="4" xfId="0" applyFont="1" applyFill="1" applyBorder="1" applyAlignment="1" applyProtection="1">
      <alignment horizontal="left"/>
      <protection locked="0"/>
    </xf>
    <xf numFmtId="4" fontId="11" fillId="29" borderId="80" xfId="0" applyNumberFormat="1" applyFont="1" applyFill="1" applyBorder="1" applyAlignment="1">
      <alignment horizontal="center"/>
    </xf>
    <xf numFmtId="4" fontId="11" fillId="29" borderId="81" xfId="0" applyNumberFormat="1" applyFont="1" applyFill="1" applyBorder="1" applyAlignment="1">
      <alignment horizontal="center"/>
    </xf>
    <xf numFmtId="0" fontId="1" fillId="6" borderId="5" xfId="0" applyFont="1" applyFill="1" applyBorder="1" applyAlignment="1" applyProtection="1">
      <alignment horizontal="left"/>
      <protection locked="0"/>
    </xf>
    <xf numFmtId="0" fontId="1" fillId="6" borderId="7" xfId="0" applyFont="1" applyFill="1" applyBorder="1" applyAlignment="1" applyProtection="1">
      <alignment horizontal="left"/>
      <protection locked="0"/>
    </xf>
    <xf numFmtId="0" fontId="14" fillId="5" borderId="66" xfId="0" applyFont="1" applyFill="1" applyBorder="1" applyAlignment="1" applyProtection="1">
      <alignment horizontal="left" vertical="center"/>
      <protection locked="0"/>
    </xf>
    <xf numFmtId="0" fontId="1" fillId="6" borderId="11" xfId="0" applyFont="1" applyFill="1" applyBorder="1" applyAlignment="1" applyProtection="1">
      <alignment horizontal="left" indent="3"/>
      <protection locked="0"/>
    </xf>
    <xf numFmtId="0" fontId="1" fillId="6" borderId="13" xfId="0" applyFont="1" applyFill="1" applyBorder="1" applyAlignment="1" applyProtection="1">
      <alignment horizontal="left" indent="3"/>
      <protection locked="0"/>
    </xf>
    <xf numFmtId="0" fontId="14" fillId="5" borderId="38" xfId="0" applyFont="1" applyFill="1" applyBorder="1" applyAlignment="1" applyProtection="1">
      <alignment horizontal="left" vertical="center"/>
      <protection locked="0"/>
    </xf>
    <xf numFmtId="0" fontId="1" fillId="0" borderId="30" xfId="0" applyFont="1" applyFill="1" applyBorder="1" applyAlignment="1" applyProtection="1">
      <alignment horizontal="left"/>
      <protection locked="0"/>
    </xf>
    <xf numFmtId="0" fontId="1" fillId="0" borderId="33" xfId="0" applyFont="1" applyFill="1" applyBorder="1" applyAlignment="1" applyProtection="1">
      <alignment horizontal="left"/>
      <protection locked="0"/>
    </xf>
    <xf numFmtId="0" fontId="1" fillId="0" borderId="64" xfId="0" applyFont="1" applyFill="1" applyBorder="1" applyAlignment="1" applyProtection="1">
      <alignment horizontal="left"/>
      <protection locked="0"/>
    </xf>
    <xf numFmtId="0" fontId="1" fillId="0" borderId="65" xfId="0" applyFont="1" applyFill="1" applyBorder="1" applyAlignment="1" applyProtection="1">
      <alignment horizontal="left"/>
      <protection locked="0"/>
    </xf>
    <xf numFmtId="0" fontId="14" fillId="41" borderId="41" xfId="0" applyFont="1" applyFill="1" applyBorder="1" applyAlignment="1" applyProtection="1">
      <alignment horizontal="center" vertical="center"/>
      <protection locked="0"/>
    </xf>
    <xf numFmtId="0" fontId="14" fillId="41" borderId="42" xfId="0" applyFont="1" applyFill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left" indent="3"/>
      <protection locked="0"/>
    </xf>
    <xf numFmtId="0" fontId="14" fillId="40" borderId="79" xfId="0" applyFont="1" applyFill="1" applyBorder="1" applyAlignment="1" applyProtection="1">
      <alignment horizontal="center" vertical="center" wrapText="1"/>
      <protection locked="0"/>
    </xf>
    <xf numFmtId="0" fontId="14" fillId="40" borderId="62" xfId="0" applyFont="1" applyFill="1" applyBorder="1" applyAlignment="1" applyProtection="1">
      <alignment horizontal="center" vertical="center" wrapText="1"/>
      <protection locked="0"/>
    </xf>
    <xf numFmtId="0" fontId="14" fillId="30" borderId="96" xfId="0" applyFont="1" applyFill="1" applyBorder="1" applyAlignment="1" applyProtection="1">
      <alignment horizontal="left" vertical="center"/>
      <protection locked="0"/>
    </xf>
    <xf numFmtId="0" fontId="14" fillId="30" borderId="94" xfId="0" applyFont="1" applyFill="1" applyBorder="1" applyAlignment="1" applyProtection="1">
      <alignment horizontal="left" vertical="center"/>
      <protection locked="0"/>
    </xf>
    <xf numFmtId="0" fontId="14" fillId="30" borderId="68" xfId="0" applyFont="1" applyFill="1" applyBorder="1" applyAlignment="1" applyProtection="1">
      <alignment horizontal="left" vertical="center"/>
      <protection locked="0"/>
    </xf>
    <xf numFmtId="0" fontId="19" fillId="0" borderId="5" xfId="0" applyFont="1" applyFill="1" applyBorder="1" applyAlignment="1" applyProtection="1">
      <alignment horizontal="left" indent="3"/>
      <protection locked="0"/>
    </xf>
    <xf numFmtId="0" fontId="19" fillId="0" borderId="7" xfId="0" applyFont="1" applyFill="1" applyBorder="1" applyAlignment="1" applyProtection="1">
      <alignment horizontal="left" indent="3"/>
      <protection locked="0"/>
    </xf>
    <xf numFmtId="0" fontId="45" fillId="0" borderId="6" xfId="0" applyFont="1" applyBorder="1" applyAlignment="1" applyProtection="1">
      <alignment horizontal="left"/>
      <protection locked="0"/>
    </xf>
    <xf numFmtId="0" fontId="26" fillId="0" borderId="18" xfId="0" applyFont="1" applyBorder="1" applyAlignment="1" applyProtection="1">
      <alignment horizontal="left" indent="1"/>
      <protection locked="0"/>
    </xf>
    <xf numFmtId="0" fontId="26" fillId="0" borderId="49" xfId="0" applyFont="1" applyBorder="1" applyAlignment="1" applyProtection="1">
      <alignment horizontal="left" indent="1"/>
      <protection locked="0"/>
    </xf>
    <xf numFmtId="0" fontId="45" fillId="0" borderId="18" xfId="0" applyFont="1" applyBorder="1" applyAlignment="1" applyProtection="1">
      <alignment horizontal="center"/>
      <protection locked="0"/>
    </xf>
    <xf numFmtId="0" fontId="45" fillId="0" borderId="49" xfId="0" applyFont="1" applyBorder="1" applyAlignment="1" applyProtection="1">
      <alignment horizontal="center"/>
      <protection locked="0"/>
    </xf>
    <xf numFmtId="0" fontId="26" fillId="0" borderId="6" xfId="0" applyFont="1" applyBorder="1" applyAlignment="1" applyProtection="1">
      <alignment horizontal="center"/>
      <protection locked="0"/>
    </xf>
    <xf numFmtId="4" fontId="11" fillId="29" borderId="6" xfId="0" applyNumberFormat="1" applyFont="1" applyFill="1" applyBorder="1" applyAlignment="1">
      <alignment horizontal="center"/>
    </xf>
    <xf numFmtId="0" fontId="26" fillId="0" borderId="18" xfId="0" applyFont="1" applyBorder="1" applyAlignment="1" applyProtection="1">
      <alignment horizontal="center"/>
      <protection locked="0"/>
    </xf>
    <xf numFmtId="0" fontId="26" fillId="0" borderId="49" xfId="0" applyFont="1" applyBorder="1" applyAlignment="1" applyProtection="1">
      <alignment horizontal="center"/>
      <protection locked="0"/>
    </xf>
    <xf numFmtId="0" fontId="26" fillId="0" borderId="19" xfId="0" applyFont="1" applyBorder="1" applyAlignment="1" applyProtection="1">
      <alignment horizontal="center"/>
      <protection locked="0"/>
    </xf>
    <xf numFmtId="0" fontId="51" fillId="0" borderId="30" xfId="0" applyFont="1" applyBorder="1" applyAlignment="1" applyProtection="1">
      <alignment horizontal="left" indent="3"/>
      <protection locked="0"/>
    </xf>
    <xf numFmtId="0" fontId="51" fillId="0" borderId="19" xfId="0" applyFont="1" applyBorder="1" applyAlignment="1" applyProtection="1">
      <alignment horizontal="left" indent="3"/>
      <protection locked="0"/>
    </xf>
    <xf numFmtId="0" fontId="51" fillId="0" borderId="31" xfId="0" applyFont="1" applyBorder="1" applyAlignment="1" applyProtection="1">
      <alignment horizontal="left" indent="3"/>
      <protection locked="0"/>
    </xf>
    <xf numFmtId="0" fontId="51" fillId="0" borderId="5" xfId="0" applyFont="1" applyBorder="1" applyAlignment="1" applyProtection="1">
      <alignment horizontal="left" indent="3"/>
      <protection locked="0"/>
    </xf>
    <xf numFmtId="0" fontId="51" fillId="0" borderId="6" xfId="0" applyFont="1" applyBorder="1" applyAlignment="1" applyProtection="1">
      <alignment horizontal="left" indent="3"/>
      <protection locked="0"/>
    </xf>
    <xf numFmtId="0" fontId="51" fillId="0" borderId="18" xfId="0" applyFont="1" applyBorder="1" applyAlignment="1" applyProtection="1">
      <alignment horizontal="left" indent="3"/>
      <protection locked="0"/>
    </xf>
    <xf numFmtId="0" fontId="26" fillId="43" borderId="5" xfId="0" applyFont="1" applyFill="1" applyBorder="1" applyAlignment="1" applyProtection="1">
      <alignment horizontal="left" indent="3"/>
      <protection locked="0"/>
    </xf>
    <xf numFmtId="0" fontId="26" fillId="43" borderId="6" xfId="0" applyFont="1" applyFill="1" applyBorder="1" applyAlignment="1" applyProtection="1">
      <alignment horizontal="left" indent="3"/>
      <protection locked="0"/>
    </xf>
    <xf numFmtId="0" fontId="26" fillId="43" borderId="18" xfId="0" applyFont="1" applyFill="1" applyBorder="1" applyAlignment="1" applyProtection="1">
      <alignment horizontal="left" indent="3"/>
      <protection locked="0"/>
    </xf>
    <xf numFmtId="0" fontId="45" fillId="42" borderId="11" xfId="0" applyFont="1" applyFill="1" applyBorder="1" applyAlignment="1" applyProtection="1">
      <alignment horizontal="left" indent="3"/>
      <protection locked="0"/>
    </xf>
    <xf numFmtId="0" fontId="45" fillId="42" borderId="12" xfId="0" applyFont="1" applyFill="1" applyBorder="1" applyAlignment="1" applyProtection="1">
      <alignment horizontal="left" indent="3"/>
      <protection locked="0"/>
    </xf>
    <xf numFmtId="0" fontId="45" fillId="42" borderId="95" xfId="0" applyFont="1" applyFill="1" applyBorder="1" applyAlignment="1" applyProtection="1">
      <alignment horizontal="left" indent="3"/>
      <protection locked="0"/>
    </xf>
    <xf numFmtId="0" fontId="51" fillId="0" borderId="2" xfId="0" applyFont="1" applyBorder="1" applyAlignment="1" applyProtection="1">
      <alignment horizontal="left" indent="3"/>
      <protection locked="0"/>
    </xf>
    <xf numFmtId="0" fontId="51" fillId="0" borderId="3" xfId="0" applyFont="1" applyBorder="1" applyAlignment="1" applyProtection="1">
      <alignment horizontal="left" indent="3"/>
      <protection locked="0"/>
    </xf>
    <xf numFmtId="0" fontId="26" fillId="0" borderId="9" xfId="0" applyFont="1" applyBorder="1" applyAlignment="1" applyProtection="1">
      <alignment horizontal="center"/>
      <protection locked="0"/>
    </xf>
    <xf numFmtId="0" fontId="51" fillId="0" borderId="8" xfId="0" applyFont="1" applyBorder="1" applyAlignment="1" applyProtection="1">
      <alignment horizontal="left" indent="3"/>
      <protection locked="0"/>
    </xf>
    <xf numFmtId="0" fontId="51" fillId="0" borderId="9" xfId="0" applyFont="1" applyBorder="1" applyAlignment="1" applyProtection="1">
      <alignment horizontal="left" indent="3"/>
      <protection locked="0"/>
    </xf>
    <xf numFmtId="0" fontId="26" fillId="0" borderId="20" xfId="0" applyFont="1" applyBorder="1" applyAlignment="1" applyProtection="1">
      <alignment horizontal="center"/>
      <protection locked="0"/>
    </xf>
    <xf numFmtId="0" fontId="1" fillId="0" borderId="8" xfId="0" applyFont="1" applyFill="1" applyBorder="1" applyAlignment="1" applyProtection="1">
      <alignment horizontal="left"/>
      <protection locked="0"/>
    </xf>
    <xf numFmtId="0" fontId="1" fillId="0" borderId="9" xfId="0" applyFont="1" applyFill="1" applyBorder="1" applyAlignment="1" applyProtection="1">
      <alignment horizontal="left"/>
      <protection locked="0"/>
    </xf>
    <xf numFmtId="0" fontId="14" fillId="41" borderId="26" xfId="0" applyFont="1" applyFill="1" applyBorder="1" applyAlignment="1" applyProtection="1">
      <alignment horizontal="left" vertical="center"/>
      <protection locked="0"/>
    </xf>
    <xf numFmtId="0" fontId="14" fillId="41" borderId="27" xfId="0" applyFont="1" applyFill="1" applyBorder="1" applyAlignment="1" applyProtection="1">
      <alignment horizontal="left" vertical="center"/>
      <protection locked="0"/>
    </xf>
    <xf numFmtId="0" fontId="1" fillId="25" borderId="5" xfId="0" applyFont="1" applyFill="1" applyBorder="1" applyAlignment="1" applyProtection="1">
      <alignment horizontal="left"/>
      <protection locked="0"/>
    </xf>
    <xf numFmtId="0" fontId="1" fillId="25" borderId="6" xfId="0" applyFont="1" applyFill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 indent="3"/>
      <protection locked="0"/>
    </xf>
    <xf numFmtId="0" fontId="1" fillId="0" borderId="6" xfId="0" applyFont="1" applyBorder="1" applyAlignment="1" applyProtection="1">
      <alignment horizontal="left" indent="3"/>
      <protection locked="0"/>
    </xf>
    <xf numFmtId="0" fontId="1" fillId="0" borderId="5" xfId="0" applyFont="1" applyFill="1" applyBorder="1" applyAlignment="1" applyProtection="1">
      <alignment horizontal="left"/>
      <protection locked="0"/>
    </xf>
    <xf numFmtId="0" fontId="1" fillId="0" borderId="6" xfId="0" applyFont="1" applyFill="1" applyBorder="1" applyAlignment="1" applyProtection="1">
      <alignment horizontal="left"/>
      <protection locked="0"/>
    </xf>
    <xf numFmtId="0" fontId="0" fillId="25" borderId="5" xfId="0" applyFont="1" applyFill="1" applyBorder="1" applyAlignment="1" applyProtection="1">
      <alignment horizontal="left"/>
      <protection locked="0"/>
    </xf>
    <xf numFmtId="0" fontId="1" fillId="0" borderId="5" xfId="0" applyFont="1" applyFill="1" applyBorder="1" applyAlignment="1" applyProtection="1">
      <alignment horizontal="left" indent="3"/>
      <protection locked="0"/>
    </xf>
    <xf numFmtId="0" fontId="1" fillId="0" borderId="6" xfId="0" applyFont="1" applyFill="1" applyBorder="1" applyAlignment="1" applyProtection="1">
      <alignment horizontal="left" indent="3"/>
      <protection locked="0"/>
    </xf>
    <xf numFmtId="0" fontId="15" fillId="27" borderId="26" xfId="0" applyFont="1" applyFill="1" applyBorder="1" applyAlignment="1" applyProtection="1">
      <alignment horizontal="left" vertical="center"/>
      <protection locked="0"/>
    </xf>
    <xf numFmtId="0" fontId="15" fillId="27" borderId="27" xfId="0" applyFont="1" applyFill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 applyProtection="1">
      <alignment horizontal="left"/>
      <protection locked="0"/>
    </xf>
    <xf numFmtId="0" fontId="14" fillId="30" borderId="21" xfId="0" applyFont="1" applyFill="1" applyBorder="1" applyAlignment="1" applyProtection="1">
      <alignment horizontal="left" vertical="center"/>
      <protection locked="0"/>
    </xf>
    <xf numFmtId="0" fontId="14" fillId="30" borderId="22" xfId="0" applyFont="1" applyFill="1" applyBorder="1" applyAlignment="1" applyProtection="1">
      <alignment horizontal="left" vertical="center"/>
      <protection locked="0"/>
    </xf>
    <xf numFmtId="0" fontId="0" fillId="0" borderId="8" xfId="0" applyFont="1" applyBorder="1" applyAlignment="1" applyProtection="1">
      <alignment horizontal="left" indent="3"/>
      <protection locked="0"/>
    </xf>
    <xf numFmtId="0" fontId="0" fillId="0" borderId="9" xfId="0" applyBorder="1" applyAlignment="1" applyProtection="1">
      <alignment horizontal="left" indent="3"/>
      <protection locked="0"/>
    </xf>
    <xf numFmtId="0" fontId="11" fillId="9" borderId="50" xfId="0" applyFont="1" applyFill="1" applyBorder="1" applyAlignment="1" applyProtection="1">
      <alignment horizontal="left"/>
      <protection locked="0"/>
    </xf>
    <xf numFmtId="0" fontId="11" fillId="9" borderId="98" xfId="0" applyFont="1" applyFill="1" applyBorder="1" applyAlignment="1" applyProtection="1">
      <alignment horizontal="left"/>
      <protection locked="0"/>
    </xf>
    <xf numFmtId="0" fontId="19" fillId="16" borderId="9" xfId="0" applyFont="1" applyFill="1" applyBorder="1" applyAlignment="1" applyProtection="1">
      <alignment horizontal="center" vertical="center"/>
      <protection locked="0"/>
    </xf>
    <xf numFmtId="0" fontId="19" fillId="16" borderId="86" xfId="0" applyFont="1" applyFill="1" applyBorder="1" applyAlignment="1" applyProtection="1">
      <alignment horizontal="center" vertical="center"/>
      <protection locked="0"/>
    </xf>
    <xf numFmtId="0" fontId="19" fillId="16" borderId="19" xfId="0" applyFont="1" applyFill="1" applyBorder="1" applyAlignment="1" applyProtection="1">
      <alignment horizontal="center" vertical="center"/>
      <protection locked="0"/>
    </xf>
    <xf numFmtId="0" fontId="51" fillId="16" borderId="6" xfId="0" applyFont="1" applyFill="1" applyBorder="1" applyAlignment="1" applyProtection="1">
      <alignment horizontal="left" indent="1"/>
      <protection locked="0"/>
    </xf>
    <xf numFmtId="0" fontId="1" fillId="25" borderId="30" xfId="0" applyFont="1" applyFill="1" applyBorder="1" applyAlignment="1" applyProtection="1">
      <alignment horizontal="left"/>
      <protection locked="0"/>
    </xf>
    <xf numFmtId="0" fontId="1" fillId="25" borderId="19" xfId="0" applyFont="1" applyFill="1" applyBorder="1" applyAlignment="1" applyProtection="1">
      <alignment horizontal="left"/>
      <protection locked="0"/>
    </xf>
    <xf numFmtId="0" fontId="45" fillId="2" borderId="26" xfId="0" applyFont="1" applyFill="1" applyBorder="1" applyAlignment="1" applyProtection="1">
      <alignment horizontal="left" vertical="center" wrapText="1" indent="3"/>
      <protection locked="0"/>
    </xf>
    <xf numFmtId="0" fontId="45" fillId="2" borderId="27" xfId="0" applyFont="1" applyFill="1" applyBorder="1" applyAlignment="1" applyProtection="1">
      <alignment horizontal="left" vertical="center" wrapText="1" indent="3"/>
      <protection locked="0"/>
    </xf>
    <xf numFmtId="0" fontId="26" fillId="0" borderId="0" xfId="0" applyFont="1" applyBorder="1" applyAlignment="1" applyProtection="1">
      <alignment horizontal="center"/>
      <protection locked="0"/>
    </xf>
    <xf numFmtId="0" fontId="26" fillId="0" borderId="2" xfId="0" applyFont="1" applyBorder="1" applyAlignment="1" applyProtection="1">
      <alignment horizontal="center"/>
      <protection locked="0"/>
    </xf>
    <xf numFmtId="0" fontId="26" fillId="0" borderId="3" xfId="0" applyFont="1" applyBorder="1" applyAlignment="1" applyProtection="1">
      <alignment horizontal="center"/>
      <protection locked="0"/>
    </xf>
    <xf numFmtId="0" fontId="26" fillId="0" borderId="11" xfId="0" applyFont="1" applyBorder="1" applyAlignment="1" applyProtection="1">
      <alignment horizontal="center"/>
      <protection locked="0"/>
    </xf>
    <xf numFmtId="0" fontId="26" fillId="0" borderId="12" xfId="0" applyFont="1" applyBorder="1" applyAlignment="1" applyProtection="1">
      <alignment horizontal="center"/>
      <protection locked="0"/>
    </xf>
    <xf numFmtId="0" fontId="45" fillId="2" borderId="18" xfId="0" applyFont="1" applyFill="1" applyBorder="1" applyAlignment="1" applyProtection="1">
      <alignment horizontal="center"/>
      <protection locked="0"/>
    </xf>
    <xf numFmtId="0" fontId="45" fillId="2" borderId="49" xfId="0" applyFont="1" applyFill="1" applyBorder="1" applyAlignment="1" applyProtection="1">
      <alignment horizontal="center"/>
      <protection locked="0"/>
    </xf>
    <xf numFmtId="0" fontId="45" fillId="2" borderId="6" xfId="0" applyFont="1" applyFill="1" applyBorder="1" applyAlignment="1" applyProtection="1">
      <alignment horizontal="left"/>
      <protection locked="0"/>
    </xf>
    <xf numFmtId="0" fontId="26" fillId="0" borderId="30" xfId="0" applyFont="1" applyBorder="1" applyAlignment="1" applyProtection="1">
      <alignment horizontal="left" indent="3"/>
      <protection locked="0"/>
    </xf>
    <xf numFmtId="0" fontId="26" fillId="0" borderId="19" xfId="0" applyFont="1" applyBorder="1" applyAlignment="1" applyProtection="1">
      <alignment horizontal="left" indent="3"/>
      <protection locked="0"/>
    </xf>
    <xf numFmtId="0" fontId="26" fillId="0" borderId="8" xfId="0" applyFont="1" applyBorder="1" applyAlignment="1" applyProtection="1">
      <alignment horizontal="left" indent="3"/>
      <protection locked="0"/>
    </xf>
    <xf numFmtId="0" fontId="26" fillId="0" borderId="9" xfId="0" applyFont="1" applyBorder="1" applyAlignment="1" applyProtection="1">
      <alignment horizontal="left" indent="3"/>
      <protection locked="0"/>
    </xf>
    <xf numFmtId="0" fontId="49" fillId="4" borderId="26" xfId="0" applyFont="1" applyFill="1" applyBorder="1" applyAlignment="1" applyProtection="1">
      <alignment horizontal="left" wrapText="1" indent="3"/>
      <protection locked="0"/>
    </xf>
    <xf numFmtId="0" fontId="49" fillId="4" borderId="27" xfId="0" applyFont="1" applyFill="1" applyBorder="1" applyAlignment="1" applyProtection="1">
      <alignment horizontal="left" wrapText="1" indent="3"/>
      <protection locked="0"/>
    </xf>
    <xf numFmtId="0" fontId="26" fillId="0" borderId="2" xfId="0" applyFont="1" applyBorder="1" applyAlignment="1" applyProtection="1">
      <alignment horizontal="left" indent="3"/>
      <protection locked="0"/>
    </xf>
    <xf numFmtId="0" fontId="26" fillId="0" borderId="3" xfId="0" applyFont="1" applyBorder="1" applyAlignment="1" applyProtection="1">
      <alignment horizontal="left" indent="3"/>
      <protection locked="0"/>
    </xf>
    <xf numFmtId="0" fontId="45" fillId="2" borderId="26" xfId="0" applyFont="1" applyFill="1" applyBorder="1" applyAlignment="1" applyProtection="1">
      <alignment horizontal="left" indent="3"/>
      <protection locked="0"/>
    </xf>
    <xf numFmtId="0" fontId="45" fillId="2" borderId="27" xfId="0" applyFont="1" applyFill="1" applyBorder="1" applyAlignment="1" applyProtection="1">
      <alignment horizontal="left" indent="3"/>
      <protection locked="0"/>
    </xf>
    <xf numFmtId="0" fontId="45" fillId="21" borderId="9" xfId="0" applyFont="1" applyFill="1" applyBorder="1" applyAlignment="1" applyProtection="1">
      <alignment horizontal="center" vertical="center"/>
      <protection locked="0"/>
    </xf>
    <xf numFmtId="0" fontId="45" fillId="21" borderId="19" xfId="0" applyFont="1" applyFill="1" applyBorder="1" applyAlignment="1" applyProtection="1">
      <alignment horizontal="center" vertical="center"/>
      <protection locked="0"/>
    </xf>
    <xf numFmtId="4" fontId="54" fillId="29" borderId="54" xfId="0" applyNumberFormat="1" applyFont="1" applyFill="1" applyBorder="1" applyAlignment="1" applyProtection="1">
      <alignment horizontal="center" vertical="center"/>
      <protection locked="0"/>
    </xf>
    <xf numFmtId="4" fontId="54" fillId="29" borderId="51" xfId="0" applyNumberFormat="1" applyFont="1" applyFill="1" applyBorder="1" applyAlignment="1" applyProtection="1">
      <alignment horizontal="center" vertical="center"/>
      <protection locked="0"/>
    </xf>
    <xf numFmtId="0" fontId="48" fillId="0" borderId="23" xfId="0" applyFont="1" applyBorder="1" applyAlignment="1" applyProtection="1">
      <alignment horizontal="center" vertical="center" wrapText="1"/>
      <protection locked="0"/>
    </xf>
    <xf numFmtId="0" fontId="48" fillId="0" borderId="22" xfId="0" applyFont="1" applyBorder="1" applyAlignment="1" applyProtection="1">
      <alignment horizontal="center" vertical="center" wrapText="1"/>
      <protection locked="0"/>
    </xf>
    <xf numFmtId="0" fontId="48" fillId="0" borderId="53" xfId="0" applyFont="1" applyBorder="1" applyAlignment="1" applyProtection="1">
      <alignment horizontal="center" vertical="center" wrapText="1"/>
      <protection locked="0"/>
    </xf>
    <xf numFmtId="0" fontId="48" fillId="0" borderId="31" xfId="0" applyFont="1" applyBorder="1" applyAlignment="1" applyProtection="1">
      <alignment horizontal="center" vertical="center" wrapText="1"/>
      <protection locked="0"/>
    </xf>
    <xf numFmtId="0" fontId="48" fillId="0" borderId="32" xfId="0" applyFont="1" applyBorder="1" applyAlignment="1" applyProtection="1">
      <alignment horizontal="center" vertical="center" wrapText="1"/>
      <protection locked="0"/>
    </xf>
    <xf numFmtId="0" fontId="48" fillId="0" borderId="62" xfId="0" applyFont="1" applyBorder="1" applyAlignment="1" applyProtection="1">
      <alignment horizontal="center" vertical="center" wrapText="1"/>
      <protection locked="0"/>
    </xf>
    <xf numFmtId="0" fontId="45" fillId="0" borderId="18" xfId="0" applyFont="1" applyBorder="1" applyAlignment="1" applyProtection="1">
      <alignment horizontal="center"/>
    </xf>
    <xf numFmtId="0" fontId="45" fillId="0" borderId="49" xfId="0" applyFont="1" applyBorder="1" applyAlignment="1" applyProtection="1">
      <alignment horizontal="center"/>
    </xf>
    <xf numFmtId="168" fontId="26" fillId="20" borderId="18" xfId="0" applyNumberFormat="1" applyFont="1" applyFill="1" applyBorder="1" applyAlignment="1" applyProtection="1">
      <alignment horizontal="center"/>
    </xf>
    <xf numFmtId="168" fontId="26" fillId="20" borderId="49" xfId="0" applyNumberFormat="1" applyFont="1" applyFill="1" applyBorder="1" applyAlignment="1" applyProtection="1">
      <alignment horizontal="center"/>
    </xf>
    <xf numFmtId="0" fontId="49" fillId="39" borderId="23" xfId="0" applyFont="1" applyFill="1" applyBorder="1" applyAlignment="1" applyProtection="1">
      <alignment horizontal="center" vertical="center"/>
      <protection locked="0"/>
    </xf>
    <xf numFmtId="0" fontId="49" fillId="39" borderId="22" xfId="0" applyFont="1" applyFill="1" applyBorder="1" applyAlignment="1" applyProtection="1">
      <alignment horizontal="center" vertical="center"/>
      <protection locked="0"/>
    </xf>
    <xf numFmtId="0" fontId="49" fillId="39" borderId="31" xfId="0" applyFont="1" applyFill="1" applyBorder="1" applyAlignment="1" applyProtection="1">
      <alignment horizontal="center" vertical="center"/>
      <protection locked="0"/>
    </xf>
    <xf numFmtId="0" fontId="49" fillId="39" borderId="32" xfId="0" applyFont="1" applyFill="1" applyBorder="1" applyAlignment="1" applyProtection="1">
      <alignment horizontal="center" vertical="center"/>
      <protection locked="0"/>
    </xf>
    <xf numFmtId="0" fontId="49" fillId="4" borderId="9" xfId="0" applyFont="1" applyFill="1" applyBorder="1" applyAlignment="1" applyProtection="1">
      <alignment horizontal="center" vertical="center"/>
      <protection locked="0"/>
    </xf>
    <xf numFmtId="0" fontId="49" fillId="4" borderId="19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left" indent="1"/>
      <protection locked="0"/>
    </xf>
    <xf numFmtId="0" fontId="1" fillId="0" borderId="23" xfId="0" applyFont="1" applyFill="1" applyBorder="1" applyAlignment="1" applyProtection="1">
      <alignment horizontal="left" indent="1"/>
      <protection locked="0"/>
    </xf>
    <xf numFmtId="0" fontId="14" fillId="5" borderId="14" xfId="0" applyFont="1" applyFill="1" applyBorder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15" xfId="0" applyFont="1" applyFill="1" applyBorder="1" applyAlignment="1" applyProtection="1">
      <alignment horizontal="center" vertical="center" wrapText="1"/>
      <protection locked="0"/>
    </xf>
    <xf numFmtId="0" fontId="14" fillId="5" borderId="19" xfId="0" applyFont="1" applyFill="1" applyBorder="1" applyAlignment="1" applyProtection="1">
      <alignment horizontal="center" vertical="center" wrapText="1"/>
      <protection locked="0"/>
    </xf>
    <xf numFmtId="0" fontId="14" fillId="5" borderId="22" xfId="0" applyFont="1" applyFill="1" applyBorder="1" applyAlignment="1" applyProtection="1">
      <alignment horizontal="left" vertical="center"/>
      <protection locked="0"/>
    </xf>
    <xf numFmtId="0" fontId="15" fillId="6" borderId="24" xfId="0" applyFont="1" applyFill="1" applyBorder="1" applyAlignment="1" applyProtection="1">
      <alignment horizontal="left" vertical="center"/>
      <protection locked="0"/>
    </xf>
    <xf numFmtId="0" fontId="15" fillId="6" borderId="25" xfId="0" applyFont="1" applyFill="1" applyBorder="1" applyAlignment="1" applyProtection="1">
      <alignment horizontal="left" vertical="center"/>
      <protection locked="0"/>
    </xf>
    <xf numFmtId="0" fontId="1" fillId="0" borderId="30" xfId="0" applyFont="1" applyFill="1" applyBorder="1" applyAlignment="1" applyProtection="1">
      <alignment horizontal="left" indent="1"/>
      <protection locked="0"/>
    </xf>
    <xf numFmtId="0" fontId="1" fillId="0" borderId="31" xfId="0" applyFont="1" applyFill="1" applyBorder="1" applyAlignment="1" applyProtection="1">
      <alignment horizontal="left" indent="1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5" fillId="6" borderId="41" xfId="0" applyFont="1" applyFill="1" applyBorder="1" applyAlignment="1" applyProtection="1">
      <alignment horizontal="left" vertical="center"/>
      <protection locked="0"/>
    </xf>
    <xf numFmtId="0" fontId="15" fillId="6" borderId="70" xfId="0" applyFont="1" applyFill="1" applyBorder="1" applyAlignment="1" applyProtection="1">
      <alignment horizontal="left" vertical="center"/>
      <protection locked="0"/>
    </xf>
    <xf numFmtId="0" fontId="14" fillId="5" borderId="43" xfId="0" applyFont="1" applyFill="1" applyBorder="1" applyAlignment="1" applyProtection="1">
      <alignment horizontal="left" vertical="center"/>
      <protection locked="0"/>
    </xf>
    <xf numFmtId="0" fontId="14" fillId="5" borderId="71" xfId="0" applyFont="1" applyFill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11" fillId="9" borderId="34" xfId="0" applyFont="1" applyFill="1" applyBorder="1" applyAlignment="1" applyProtection="1">
      <alignment horizontal="left"/>
      <protection locked="0"/>
    </xf>
    <xf numFmtId="0" fontId="11" fillId="9" borderId="20" xfId="0" applyFont="1" applyFill="1" applyBorder="1" applyAlignment="1" applyProtection="1">
      <alignment horizontal="left"/>
      <protection locked="0"/>
    </xf>
    <xf numFmtId="0" fontId="1" fillId="0" borderId="18" xfId="0" applyFont="1" applyBorder="1" applyAlignment="1" applyProtection="1">
      <alignment horizontal="left"/>
      <protection locked="0"/>
    </xf>
    <xf numFmtId="0" fontId="14" fillId="5" borderId="5" xfId="0" applyFont="1" applyFill="1" applyBorder="1" applyAlignment="1" applyProtection="1">
      <alignment horizontal="left" vertical="center"/>
      <protection locked="0"/>
    </xf>
    <xf numFmtId="0" fontId="14" fillId="5" borderId="18" xfId="0" applyFont="1" applyFill="1" applyBorder="1" applyAlignment="1" applyProtection="1">
      <alignment horizontal="left" vertical="center"/>
      <protection locked="0"/>
    </xf>
    <xf numFmtId="0" fontId="11" fillId="9" borderId="12" xfId="0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 indent="3"/>
      <protection locked="0"/>
    </xf>
    <xf numFmtId="0" fontId="0" fillId="0" borderId="31" xfId="0" applyBorder="1" applyAlignment="1" applyProtection="1">
      <alignment horizontal="left" indent="3"/>
      <protection locked="0"/>
    </xf>
    <xf numFmtId="0" fontId="45" fillId="21" borderId="86" xfId="0" applyFont="1" applyFill="1" applyBorder="1" applyAlignment="1" applyProtection="1">
      <alignment horizontal="center" vertical="center"/>
      <protection locked="0"/>
    </xf>
    <xf numFmtId="0" fontId="36" fillId="0" borderId="23" xfId="0" applyFont="1" applyBorder="1" applyAlignment="1" applyProtection="1">
      <alignment horizontal="center" vertical="center" wrapText="1"/>
      <protection locked="0"/>
    </xf>
    <xf numFmtId="0" fontId="36" fillId="0" borderId="22" xfId="0" applyFont="1" applyBorder="1" applyAlignment="1" applyProtection="1">
      <alignment horizontal="center" vertical="center" wrapText="1"/>
      <protection locked="0"/>
    </xf>
    <xf numFmtId="0" fontId="36" fillId="0" borderId="53" xfId="0" applyFont="1" applyBorder="1" applyAlignment="1" applyProtection="1">
      <alignment horizontal="center" vertical="center" wrapText="1"/>
      <protection locked="0"/>
    </xf>
    <xf numFmtId="0" fontId="36" fillId="0" borderId="31" xfId="0" applyFont="1" applyBorder="1" applyAlignment="1" applyProtection="1">
      <alignment horizontal="center" vertical="center" wrapText="1"/>
      <protection locked="0"/>
    </xf>
    <xf numFmtId="0" fontId="36" fillId="0" borderId="32" xfId="0" applyFont="1" applyBorder="1" applyAlignment="1" applyProtection="1">
      <alignment horizontal="center" vertical="center" wrapText="1"/>
      <protection locked="0"/>
    </xf>
    <xf numFmtId="0" fontId="36" fillId="0" borderId="62" xfId="0" applyFont="1" applyBorder="1" applyAlignment="1" applyProtection="1">
      <alignment horizontal="center" vertical="center" wrapText="1"/>
      <protection locked="0"/>
    </xf>
    <xf numFmtId="0" fontId="36" fillId="0" borderId="18" xfId="0" applyFont="1" applyBorder="1" applyAlignment="1" applyProtection="1">
      <alignment horizontal="center"/>
    </xf>
    <xf numFmtId="0" fontId="36" fillId="0" borderId="49" xfId="0" applyFont="1" applyBorder="1" applyAlignment="1" applyProtection="1">
      <alignment horizontal="center"/>
    </xf>
    <xf numFmtId="168" fontId="35" fillId="20" borderId="18" xfId="0" applyNumberFormat="1" applyFont="1" applyFill="1" applyBorder="1" applyAlignment="1" applyProtection="1">
      <alignment horizontal="center"/>
    </xf>
    <xf numFmtId="168" fontId="35" fillId="20" borderId="49" xfId="0" applyNumberFormat="1" applyFont="1" applyFill="1" applyBorder="1" applyAlignment="1" applyProtection="1">
      <alignment horizontal="center"/>
    </xf>
    <xf numFmtId="0" fontId="38" fillId="0" borderId="11" xfId="0" applyFont="1" applyFill="1" applyBorder="1" applyAlignment="1" applyProtection="1">
      <alignment horizontal="left" vertical="center" indent="1"/>
      <protection locked="0"/>
    </xf>
    <xf numFmtId="0" fontId="38" fillId="0" borderId="13" xfId="0" applyFont="1" applyFill="1" applyBorder="1" applyAlignment="1" applyProtection="1">
      <alignment horizontal="left" vertical="center" indent="1"/>
      <protection locked="0"/>
    </xf>
    <xf numFmtId="0" fontId="14" fillId="5" borderId="21" xfId="0" applyFont="1" applyFill="1" applyBorder="1" applyAlignment="1" applyProtection="1">
      <alignment horizontal="center" vertical="center"/>
      <protection locked="0"/>
    </xf>
    <xf numFmtId="0" fontId="14" fillId="5" borderId="22" xfId="0" applyFont="1" applyFill="1" applyBorder="1" applyAlignment="1" applyProtection="1">
      <alignment horizontal="center" vertical="center"/>
      <protection locked="0"/>
    </xf>
    <xf numFmtId="0" fontId="15" fillId="6" borderId="38" xfId="0" applyFont="1" applyFill="1" applyBorder="1" applyAlignment="1" applyProtection="1">
      <alignment horizontal="left" vertical="center"/>
      <protection locked="0"/>
    </xf>
    <xf numFmtId="0" fontId="38" fillId="0" borderId="30" xfId="0" applyFont="1" applyFill="1" applyBorder="1" applyAlignment="1" applyProtection="1">
      <alignment horizontal="left" vertical="center" indent="1"/>
      <protection locked="0"/>
    </xf>
    <xf numFmtId="0" fontId="38" fillId="0" borderId="33" xfId="0" applyFont="1" applyFill="1" applyBorder="1" applyAlignment="1" applyProtection="1">
      <alignment horizontal="left" vertical="center" indent="1"/>
      <protection locked="0"/>
    </xf>
    <xf numFmtId="0" fontId="38" fillId="0" borderId="5" xfId="0" applyFont="1" applyFill="1" applyBorder="1" applyAlignment="1" applyProtection="1">
      <alignment horizontal="left" vertical="center"/>
      <protection locked="0"/>
    </xf>
    <xf numFmtId="0" fontId="38" fillId="0" borderId="7" xfId="0" applyFont="1" applyFill="1" applyBorder="1" applyAlignment="1" applyProtection="1">
      <alignment horizontal="left" vertical="center"/>
      <protection locked="0"/>
    </xf>
    <xf numFmtId="0" fontId="38" fillId="0" borderId="30" xfId="0" applyFont="1" applyFill="1" applyBorder="1" applyAlignment="1" applyProtection="1">
      <alignment horizontal="left" vertical="center"/>
      <protection locked="0"/>
    </xf>
    <xf numFmtId="0" fontId="38" fillId="0" borderId="33" xfId="0" applyFont="1" applyFill="1" applyBorder="1" applyAlignment="1" applyProtection="1">
      <alignment horizontal="left" vertical="center"/>
      <protection locked="0"/>
    </xf>
    <xf numFmtId="0" fontId="1" fillId="12" borderId="9" xfId="0" applyFont="1" applyFill="1" applyBorder="1" applyAlignment="1" applyProtection="1">
      <alignment horizontal="left" vertical="center"/>
      <protection locked="0"/>
    </xf>
    <xf numFmtId="0" fontId="0" fillId="12" borderId="19" xfId="0" applyFill="1" applyBorder="1" applyAlignment="1" applyProtection="1">
      <alignment horizontal="left" vertical="center"/>
      <protection locked="0"/>
    </xf>
    <xf numFmtId="0" fontId="14" fillId="5" borderId="2" xfId="0" applyFont="1" applyFill="1" applyBorder="1" applyAlignment="1" applyProtection="1">
      <alignment horizontal="left" vertical="center"/>
      <protection locked="0"/>
    </xf>
    <xf numFmtId="0" fontId="14" fillId="5" borderId="14" xfId="0" applyFont="1" applyFill="1" applyBorder="1" applyAlignment="1" applyProtection="1">
      <alignment horizontal="left" vertical="center"/>
      <protection locked="0"/>
    </xf>
    <xf numFmtId="0" fontId="1" fillId="0" borderId="34" xfId="0" applyFont="1" applyFill="1" applyBorder="1" applyAlignment="1" applyProtection="1">
      <alignment horizontal="left" indent="1"/>
      <protection locked="0"/>
    </xf>
    <xf numFmtId="0" fontId="1" fillId="0" borderId="35" xfId="0" applyFont="1" applyFill="1" applyBorder="1" applyAlignment="1" applyProtection="1">
      <alignment horizontal="left" indent="1"/>
      <protection locked="0"/>
    </xf>
    <xf numFmtId="0" fontId="1" fillId="0" borderId="21" xfId="0" applyFont="1" applyFill="1" applyBorder="1" applyAlignment="1" applyProtection="1">
      <alignment horizontal="left" indent="1"/>
      <protection locked="0"/>
    </xf>
    <xf numFmtId="0" fontId="1" fillId="0" borderId="48" xfId="0" applyFont="1" applyFill="1" applyBorder="1" applyAlignment="1" applyProtection="1">
      <alignment horizontal="left" indent="1"/>
      <protection locked="0"/>
    </xf>
    <xf numFmtId="0" fontId="38" fillId="0" borderId="2" xfId="0" applyFont="1" applyFill="1" applyBorder="1" applyAlignment="1" applyProtection="1">
      <alignment horizontal="left" vertical="center"/>
      <protection locked="0"/>
    </xf>
    <xf numFmtId="0" fontId="38" fillId="0" borderId="3" xfId="0" applyFont="1" applyFill="1" applyBorder="1" applyAlignment="1" applyProtection="1">
      <alignment horizontal="left" vertical="center"/>
      <protection locked="0"/>
    </xf>
    <xf numFmtId="0" fontId="38" fillId="0" borderId="43" xfId="0" applyFont="1" applyFill="1" applyBorder="1" applyAlignment="1" applyProtection="1">
      <alignment horizontal="left" vertical="center"/>
      <protection locked="0"/>
    </xf>
    <xf numFmtId="0" fontId="38" fillId="0" borderId="44" xfId="0" applyFont="1" applyFill="1" applyBorder="1" applyAlignment="1" applyProtection="1">
      <alignment horizontal="left" vertical="center"/>
      <protection locked="0"/>
    </xf>
    <xf numFmtId="0" fontId="14" fillId="5" borderId="41" xfId="0" applyFont="1" applyFill="1" applyBorder="1" applyAlignment="1" applyProtection="1">
      <alignment horizontal="left" vertical="center"/>
      <protection locked="0"/>
    </xf>
    <xf numFmtId="0" fontId="14" fillId="5" borderId="70" xfId="0" applyFont="1" applyFill="1" applyBorder="1" applyAlignment="1" applyProtection="1">
      <alignment horizontal="left" vertical="center"/>
      <protection locked="0"/>
    </xf>
    <xf numFmtId="0" fontId="20" fillId="2" borderId="16" xfId="0" applyFont="1" applyFill="1" applyBorder="1" applyAlignment="1" applyProtection="1">
      <alignment horizontal="left"/>
      <protection locked="0"/>
    </xf>
    <xf numFmtId="0" fontId="20" fillId="2" borderId="67" xfId="0" applyFont="1" applyFill="1" applyBorder="1" applyAlignment="1" applyProtection="1">
      <alignment horizontal="left"/>
      <protection locked="0"/>
    </xf>
    <xf numFmtId="0" fontId="1" fillId="0" borderId="34" xfId="0" applyFont="1" applyFill="1" applyBorder="1" applyAlignment="1" applyProtection="1">
      <alignment horizontal="left" wrapText="1" indent="1"/>
      <protection locked="0"/>
    </xf>
    <xf numFmtId="0" fontId="1" fillId="0" borderId="35" xfId="0" applyFont="1" applyFill="1" applyBorder="1" applyAlignment="1" applyProtection="1">
      <alignment horizontal="left" wrapText="1" indent="1"/>
      <protection locked="0"/>
    </xf>
    <xf numFmtId="0" fontId="20" fillId="2" borderId="34" xfId="0" applyFont="1" applyFill="1" applyBorder="1" applyAlignment="1" applyProtection="1">
      <alignment horizontal="left"/>
      <protection locked="0"/>
    </xf>
    <xf numFmtId="0" fontId="20" fillId="2" borderId="35" xfId="0" applyFont="1" applyFill="1" applyBorder="1" applyAlignment="1" applyProtection="1">
      <alignment horizontal="left"/>
      <protection locked="0"/>
    </xf>
    <xf numFmtId="0" fontId="46" fillId="38" borderId="58" xfId="0" applyFont="1" applyFill="1" applyBorder="1" applyAlignment="1" applyProtection="1">
      <alignment horizontal="center" vertical="center"/>
      <protection locked="0"/>
    </xf>
    <xf numFmtId="0" fontId="46" fillId="38" borderId="59" xfId="0" applyFont="1" applyFill="1" applyBorder="1" applyAlignment="1" applyProtection="1">
      <alignment horizontal="center" vertical="center"/>
      <protection locked="0"/>
    </xf>
    <xf numFmtId="0" fontId="48" fillId="0" borderId="6" xfId="0" applyFont="1" applyBorder="1" applyAlignment="1" applyProtection="1">
      <alignment horizontal="center"/>
      <protection locked="0"/>
    </xf>
    <xf numFmtId="0" fontId="46" fillId="38" borderId="41" xfId="0" applyFont="1" applyFill="1" applyBorder="1" applyAlignment="1" applyProtection="1">
      <alignment horizontal="center" vertical="center"/>
      <protection locked="0"/>
    </xf>
    <xf numFmtId="0" fontId="46" fillId="38" borderId="46" xfId="0" applyFont="1" applyFill="1" applyBorder="1" applyAlignment="1" applyProtection="1">
      <alignment horizontal="center" vertical="center"/>
      <protection locked="0"/>
    </xf>
    <xf numFmtId="0" fontId="46" fillId="38" borderId="43" xfId="0" applyFont="1" applyFill="1" applyBorder="1" applyAlignment="1" applyProtection="1">
      <alignment horizontal="center" vertical="center"/>
      <protection locked="0"/>
    </xf>
    <xf numFmtId="0" fontId="46" fillId="38" borderId="90" xfId="0" applyFont="1" applyFill="1" applyBorder="1" applyAlignment="1" applyProtection="1">
      <alignment horizontal="center" vertical="center"/>
      <protection locked="0"/>
    </xf>
    <xf numFmtId="0" fontId="46" fillId="38" borderId="70" xfId="0" applyFont="1" applyFill="1" applyBorder="1" applyAlignment="1" applyProtection="1">
      <alignment horizontal="center" vertical="center"/>
      <protection locked="0"/>
    </xf>
    <xf numFmtId="0" fontId="46" fillId="38" borderId="42" xfId="0" applyFont="1" applyFill="1" applyBorder="1" applyAlignment="1" applyProtection="1">
      <alignment horizontal="center" vertical="center"/>
      <protection locked="0"/>
    </xf>
    <xf numFmtId="0" fontId="46" fillId="38" borderId="91" xfId="0" applyFont="1" applyFill="1" applyBorder="1" applyAlignment="1" applyProtection="1">
      <alignment horizontal="center" vertical="center"/>
      <protection locked="0"/>
    </xf>
    <xf numFmtId="0" fontId="11" fillId="37" borderId="0" xfId="0" applyFont="1" applyFill="1" applyAlignment="1" applyProtection="1">
      <alignment horizontal="center" vertical="center"/>
      <protection locked="0"/>
    </xf>
    <xf numFmtId="0" fontId="11" fillId="37" borderId="2" xfId="0" applyFont="1" applyFill="1" applyBorder="1" applyAlignment="1" applyProtection="1">
      <alignment horizontal="center"/>
      <protection locked="0"/>
    </xf>
    <xf numFmtId="0" fontId="11" fillId="37" borderId="3" xfId="0" applyFont="1" applyFill="1" applyBorder="1" applyAlignment="1" applyProtection="1">
      <alignment horizontal="center"/>
      <protection locked="0"/>
    </xf>
    <xf numFmtId="0" fontId="11" fillId="37" borderId="4" xfId="0" applyFont="1" applyFill="1" applyBorder="1" applyAlignment="1" applyProtection="1">
      <alignment horizontal="center"/>
      <protection locked="0"/>
    </xf>
    <xf numFmtId="0" fontId="46" fillId="38" borderId="40" xfId="0" applyFont="1" applyFill="1" applyBorder="1" applyAlignment="1" applyProtection="1">
      <alignment horizontal="center" vertical="center"/>
      <protection locked="0"/>
    </xf>
    <xf numFmtId="0" fontId="46" fillId="38" borderId="0" xfId="0" applyFont="1" applyFill="1" applyBorder="1" applyAlignment="1" applyProtection="1">
      <alignment horizontal="center" vertical="center"/>
      <protection locked="0"/>
    </xf>
    <xf numFmtId="0" fontId="21" fillId="38" borderId="0" xfId="0" applyFont="1" applyFill="1" applyBorder="1" applyAlignment="1" applyProtection="1">
      <alignment horizontal="center" vertical="center"/>
      <protection locked="0"/>
    </xf>
    <xf numFmtId="0" fontId="21" fillId="17" borderId="6" xfId="0" applyFont="1" applyFill="1" applyBorder="1" applyAlignment="1" applyProtection="1">
      <alignment horizontal="center"/>
      <protection locked="0"/>
    </xf>
    <xf numFmtId="0" fontId="21" fillId="17" borderId="2" xfId="0" applyFont="1" applyFill="1" applyBorder="1" applyAlignment="1" applyProtection="1">
      <alignment horizontal="center" vertical="center"/>
      <protection locked="0"/>
    </xf>
    <xf numFmtId="0" fontId="21" fillId="17" borderId="5" xfId="0" applyFont="1" applyFill="1" applyBorder="1" applyAlignment="1" applyProtection="1">
      <alignment horizontal="center" vertical="center"/>
      <protection locked="0"/>
    </xf>
    <xf numFmtId="0" fontId="21" fillId="17" borderId="3" xfId="0" applyFont="1" applyFill="1" applyBorder="1" applyAlignment="1" applyProtection="1">
      <alignment horizontal="center" vertical="center"/>
      <protection locked="0"/>
    </xf>
    <xf numFmtId="0" fontId="21" fillId="17" borderId="4" xfId="0" applyFont="1" applyFill="1" applyBorder="1" applyAlignment="1" applyProtection="1">
      <alignment horizontal="center" vertical="center" wrapText="1"/>
      <protection locked="0"/>
    </xf>
    <xf numFmtId="0" fontId="21" fillId="17" borderId="7" xfId="0" applyFont="1" applyFill="1" applyBorder="1" applyAlignment="1" applyProtection="1">
      <alignment horizontal="center" vertical="center" wrapText="1"/>
      <protection locked="0"/>
    </xf>
    <xf numFmtId="0" fontId="21" fillId="34" borderId="22" xfId="0" applyFont="1" applyFill="1" applyBorder="1" applyAlignment="1" applyProtection="1">
      <alignment horizontal="center" vertical="center"/>
      <protection locked="0"/>
    </xf>
    <xf numFmtId="0" fontId="21" fillId="35" borderId="6" xfId="0" applyFont="1" applyFill="1" applyBorder="1" applyAlignment="1" applyProtection="1">
      <alignment horizontal="center" vertical="center"/>
      <protection locked="0"/>
    </xf>
    <xf numFmtId="0" fontId="21" fillId="35" borderId="2" xfId="0" applyFont="1" applyFill="1" applyBorder="1" applyAlignment="1" applyProtection="1">
      <alignment horizontal="center" vertical="center"/>
      <protection locked="0"/>
    </xf>
    <xf numFmtId="0" fontId="21" fillId="35" borderId="5" xfId="0" applyFont="1" applyFill="1" applyBorder="1" applyAlignment="1" applyProtection="1">
      <alignment horizontal="center" vertical="center"/>
      <protection locked="0"/>
    </xf>
    <xf numFmtId="0" fontId="21" fillId="35" borderId="3" xfId="0" applyFont="1" applyFill="1" applyBorder="1" applyAlignment="1" applyProtection="1">
      <alignment horizontal="center" vertical="center"/>
      <protection locked="0"/>
    </xf>
    <xf numFmtId="0" fontId="21" fillId="35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21" fillId="34" borderId="24" xfId="0" applyFont="1" applyFill="1" applyBorder="1" applyAlignment="1" applyProtection="1">
      <alignment horizontal="center"/>
      <protection locked="0"/>
    </xf>
    <xf numFmtId="0" fontId="21" fillId="34" borderId="25" xfId="0" applyFont="1" applyFill="1" applyBorder="1" applyAlignment="1" applyProtection="1">
      <alignment horizontal="center"/>
      <protection locked="0"/>
    </xf>
    <xf numFmtId="0" fontId="21" fillId="34" borderId="38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1" fillId="34" borderId="6" xfId="0" applyFont="1" applyFill="1" applyBorder="1" applyAlignment="1" applyProtection="1">
      <alignment horizontal="center" vertical="center"/>
      <protection locked="0"/>
    </xf>
    <xf numFmtId="0" fontId="19" fillId="29" borderId="52" xfId="0" applyFont="1" applyFill="1" applyBorder="1" applyAlignment="1" applyProtection="1">
      <alignment horizontal="center" vertical="center"/>
      <protection hidden="1"/>
    </xf>
    <xf numFmtId="0" fontId="19" fillId="29" borderId="3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left" wrapText="1"/>
      <protection locked="0"/>
    </xf>
    <xf numFmtId="0" fontId="0" fillId="0" borderId="0" xfId="0" applyAlignment="1">
      <alignment horizontal="left" wrapText="1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21" fillId="5" borderId="24" xfId="0" applyFont="1" applyFill="1" applyBorder="1" applyAlignment="1" applyProtection="1">
      <alignment horizontal="center"/>
      <protection locked="0"/>
    </xf>
    <xf numFmtId="0" fontId="21" fillId="5" borderId="38" xfId="0" applyFont="1" applyFill="1" applyBorder="1" applyAlignment="1" applyProtection="1">
      <alignment horizontal="center"/>
      <protection locked="0"/>
    </xf>
    <xf numFmtId="0" fontId="21" fillId="29" borderId="24" xfId="0" applyFont="1" applyFill="1" applyBorder="1" applyAlignment="1" applyProtection="1">
      <alignment horizontal="center"/>
      <protection hidden="1"/>
    </xf>
    <xf numFmtId="0" fontId="21" fillId="29" borderId="25" xfId="0" applyFont="1" applyFill="1" applyBorder="1" applyAlignment="1" applyProtection="1">
      <alignment horizontal="center"/>
      <protection hidden="1"/>
    </xf>
    <xf numFmtId="0" fontId="21" fillId="29" borderId="38" xfId="0" applyFont="1" applyFill="1" applyBorder="1" applyAlignment="1" applyProtection="1">
      <alignment horizontal="center"/>
      <protection hidden="1"/>
    </xf>
    <xf numFmtId="0" fontId="21" fillId="29" borderId="63" xfId="0" applyFont="1" applyFill="1" applyBorder="1" applyAlignment="1" applyProtection="1">
      <alignment horizontal="center" vertical="center"/>
      <protection hidden="1"/>
    </xf>
    <xf numFmtId="0" fontId="21" fillId="29" borderId="57" xfId="0" applyFont="1" applyFill="1" applyBorder="1" applyAlignment="1" applyProtection="1">
      <alignment horizontal="center" vertical="center"/>
      <protection hidden="1"/>
    </xf>
    <xf numFmtId="0" fontId="21" fillId="29" borderId="52" xfId="0" applyFont="1" applyFill="1" applyBorder="1" applyAlignment="1" applyProtection="1">
      <alignment horizontal="center" vertical="center"/>
      <protection hidden="1"/>
    </xf>
    <xf numFmtId="0" fontId="21" fillId="29" borderId="78" xfId="0" applyFont="1" applyFill="1" applyBorder="1" applyAlignment="1" applyProtection="1">
      <alignment horizontal="center" vertical="center"/>
      <protection hidden="1"/>
    </xf>
    <xf numFmtId="0" fontId="21" fillId="29" borderId="3" xfId="0" applyFont="1" applyFill="1" applyBorder="1" applyAlignment="1" applyProtection="1">
      <alignment horizontal="center" vertical="center"/>
      <protection hidden="1"/>
    </xf>
    <xf numFmtId="0" fontId="21" fillId="29" borderId="4" xfId="0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left" wrapText="1"/>
      <protection locked="0"/>
    </xf>
    <xf numFmtId="0" fontId="42" fillId="31" borderId="2" xfId="0" applyFont="1" applyFill="1" applyBorder="1" applyAlignment="1" applyProtection="1">
      <alignment horizontal="center"/>
      <protection locked="0"/>
    </xf>
    <xf numFmtId="0" fontId="42" fillId="31" borderId="3" xfId="0" applyFont="1" applyFill="1" applyBorder="1" applyAlignment="1" applyProtection="1">
      <alignment horizontal="center"/>
      <protection locked="0"/>
    </xf>
    <xf numFmtId="0" fontId="2" fillId="0" borderId="87" xfId="0" applyFont="1" applyBorder="1" applyAlignment="1" applyProtection="1">
      <alignment horizontal="center" vertical="center"/>
      <protection locked="0"/>
    </xf>
    <xf numFmtId="0" fontId="2" fillId="0" borderId="70" xfId="0" applyFont="1" applyBorder="1" applyAlignment="1" applyProtection="1">
      <alignment horizontal="center" vertical="center"/>
      <protection locked="0"/>
    </xf>
    <xf numFmtId="0" fontId="0" fillId="0" borderId="70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42" fillId="31" borderId="5" xfId="0" applyFont="1" applyFill="1" applyBorder="1" applyAlignment="1" applyProtection="1">
      <alignment horizontal="center"/>
      <protection locked="0"/>
    </xf>
    <xf numFmtId="0" fontId="42" fillId="31" borderId="6" xfId="0" applyFont="1" applyFill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0" fillId="0" borderId="5" xfId="0" quotePrefix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48" xfId="0" applyBorder="1" applyAlignment="1" applyProtection="1">
      <alignment horizontal="center" vertical="center" wrapText="1"/>
      <protection locked="0"/>
    </xf>
    <xf numFmtId="0" fontId="0" fillId="0" borderId="54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66" xfId="0" applyBorder="1" applyAlignment="1" applyProtection="1">
      <alignment horizontal="center" vertical="center" wrapText="1"/>
      <protection locked="0"/>
    </xf>
    <xf numFmtId="0" fontId="0" fillId="0" borderId="51" xfId="0" applyBorder="1" applyAlignment="1" applyProtection="1">
      <alignment horizontal="center" vertical="center" wrapText="1"/>
      <protection locked="0"/>
    </xf>
    <xf numFmtId="0" fontId="0" fillId="0" borderId="71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169" fontId="20" fillId="0" borderId="5" xfId="0" applyNumberFormat="1" applyFont="1" applyBorder="1" applyAlignment="1" applyProtection="1">
      <alignment horizontal="center"/>
      <protection locked="0"/>
    </xf>
    <xf numFmtId="169" fontId="20" fillId="0" borderId="6" xfId="0" applyNumberFormat="1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27" borderId="70" xfId="0" applyFont="1" applyFill="1" applyBorder="1" applyAlignment="1" applyProtection="1">
      <alignment horizontal="left" vertical="center"/>
      <protection locked="0"/>
    </xf>
    <xf numFmtId="0" fontId="15" fillId="27" borderId="25" xfId="0" applyFont="1" applyFill="1" applyBorder="1" applyAlignment="1" applyProtection="1">
      <alignment horizontal="left" vertical="center"/>
      <protection locked="0"/>
    </xf>
    <xf numFmtId="0" fontId="38" fillId="0" borderId="4" xfId="0" applyFont="1" applyFill="1" applyBorder="1" applyAlignment="1" applyProtection="1">
      <alignment horizontal="left" vertical="center"/>
      <protection locked="0"/>
    </xf>
    <xf numFmtId="0" fontId="15" fillId="0" borderId="11" xfId="0" applyFont="1" applyFill="1" applyBorder="1" applyAlignment="1" applyProtection="1">
      <alignment horizontal="left" vertical="center"/>
      <protection locked="0"/>
    </xf>
    <xf numFmtId="0" fontId="15" fillId="0" borderId="12" xfId="0" applyFont="1" applyFill="1" applyBorder="1" applyAlignment="1" applyProtection="1">
      <alignment horizontal="left" vertical="center"/>
      <protection locked="0"/>
    </xf>
    <xf numFmtId="0" fontId="37" fillId="0" borderId="23" xfId="0" applyFont="1" applyBorder="1" applyAlignment="1" applyProtection="1">
      <alignment horizontal="center" vertical="center" wrapText="1"/>
      <protection locked="0"/>
    </xf>
    <xf numFmtId="0" fontId="37" fillId="0" borderId="22" xfId="0" applyFont="1" applyBorder="1" applyAlignment="1" applyProtection="1">
      <alignment horizontal="center" vertical="center" wrapText="1"/>
      <protection locked="0"/>
    </xf>
    <xf numFmtId="0" fontId="37" fillId="0" borderId="31" xfId="0" applyFont="1" applyBorder="1" applyAlignment="1" applyProtection="1">
      <alignment horizontal="center" vertical="center" wrapText="1"/>
      <protection locked="0"/>
    </xf>
    <xf numFmtId="0" fontId="37" fillId="0" borderId="32" xfId="0" applyFont="1" applyBorder="1" applyAlignment="1" applyProtection="1">
      <alignment horizontal="center" vertical="center" wrapText="1"/>
      <protection locked="0"/>
    </xf>
    <xf numFmtId="0" fontId="38" fillId="0" borderId="11" xfId="0" applyFont="1" applyFill="1" applyBorder="1" applyAlignment="1" applyProtection="1">
      <alignment horizontal="left" vertical="center"/>
      <protection locked="0"/>
    </xf>
    <xf numFmtId="0" fontId="38" fillId="0" borderId="13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left"/>
      <protection locked="0"/>
    </xf>
    <xf numFmtId="0" fontId="1" fillId="0" borderId="30" xfId="0" applyFont="1" applyFill="1" applyBorder="1" applyAlignment="1" applyProtection="1">
      <alignment horizontal="left" indent="3"/>
      <protection locked="0"/>
    </xf>
    <xf numFmtId="0" fontId="0" fillId="0" borderId="31" xfId="0" applyFill="1" applyBorder="1" applyAlignment="1" applyProtection="1">
      <alignment horizontal="left" indent="3"/>
      <protection locked="0"/>
    </xf>
    <xf numFmtId="0" fontId="0" fillId="0" borderId="18" xfId="0" applyFill="1" applyBorder="1" applyAlignment="1" applyProtection="1">
      <alignment horizontal="left" indent="3"/>
      <protection locked="0"/>
    </xf>
    <xf numFmtId="0" fontId="1" fillId="0" borderId="18" xfId="0" applyFont="1" applyFill="1" applyBorder="1" applyAlignment="1" applyProtection="1">
      <alignment horizontal="left" indent="3"/>
      <protection locked="0"/>
    </xf>
    <xf numFmtId="0" fontId="19" fillId="0" borderId="18" xfId="0" applyFont="1" applyFill="1" applyBorder="1" applyAlignment="1" applyProtection="1">
      <alignment horizontal="left" indent="3"/>
      <protection locked="0"/>
    </xf>
    <xf numFmtId="0" fontId="45" fillId="21" borderId="58" xfId="0" applyFont="1" applyFill="1" applyBorder="1" applyAlignment="1" applyProtection="1">
      <alignment horizontal="center" vertical="center"/>
      <protection locked="0"/>
    </xf>
    <xf numFmtId="0" fontId="45" fillId="21" borderId="93" xfId="0" applyFont="1" applyFill="1" applyBorder="1" applyAlignment="1" applyProtection="1">
      <alignment horizontal="center" vertical="center"/>
      <protection locked="0"/>
    </xf>
    <xf numFmtId="0" fontId="45" fillId="21" borderId="23" xfId="0" applyFont="1" applyFill="1" applyBorder="1" applyAlignment="1" applyProtection="1">
      <alignment horizontal="center" vertical="center"/>
      <protection locked="0"/>
    </xf>
    <xf numFmtId="0" fontId="45" fillId="21" borderId="54" xfId="0" applyFont="1" applyFill="1" applyBorder="1" applyAlignment="1" applyProtection="1">
      <alignment horizontal="center" vertical="center"/>
      <protection locked="0"/>
    </xf>
    <xf numFmtId="0" fontId="15" fillId="0" borderId="41" xfId="0" applyFont="1" applyFill="1" applyBorder="1" applyAlignment="1" applyProtection="1">
      <alignment horizontal="left" vertical="center"/>
      <protection locked="0"/>
    </xf>
    <xf numFmtId="0" fontId="15" fillId="0" borderId="42" xfId="0" applyFont="1" applyFill="1" applyBorder="1" applyAlignment="1" applyProtection="1">
      <alignment horizontal="left" vertical="center"/>
      <protection locked="0"/>
    </xf>
    <xf numFmtId="0" fontId="11" fillId="4" borderId="11" xfId="0" applyFont="1" applyFill="1" applyBorder="1" applyAlignment="1" applyProtection="1">
      <alignment horizontal="left"/>
      <protection hidden="1"/>
    </xf>
    <xf numFmtId="0" fontId="11" fillId="4" borderId="12" xfId="0" applyFont="1" applyFill="1" applyBorder="1" applyAlignment="1" applyProtection="1">
      <alignment horizontal="left"/>
      <protection hidden="1"/>
    </xf>
    <xf numFmtId="0" fontId="1" fillId="15" borderId="6" xfId="0" applyFont="1" applyFill="1" applyBorder="1" applyAlignment="1" applyProtection="1">
      <alignment horizontal="center" vertical="center"/>
      <protection locked="0"/>
    </xf>
    <xf numFmtId="0" fontId="1" fillId="15" borderId="18" xfId="0" applyFont="1" applyFill="1" applyBorder="1" applyAlignment="1" applyProtection="1">
      <alignment horizontal="left" indent="1"/>
      <protection locked="0"/>
    </xf>
    <xf numFmtId="0" fontId="1" fillId="15" borderId="49" xfId="0" applyFont="1" applyFill="1" applyBorder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10" fillId="3" borderId="2" xfId="0" applyFont="1" applyFill="1" applyBorder="1" applyAlignment="1" applyProtection="1">
      <alignment horizontal="center"/>
      <protection locked="0"/>
    </xf>
    <xf numFmtId="0" fontId="10" fillId="3" borderId="3" xfId="0" applyFon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left"/>
      <protection hidden="1"/>
    </xf>
    <xf numFmtId="0" fontId="1" fillId="0" borderId="5" xfId="0" applyFont="1" applyFill="1" applyBorder="1" applyAlignment="1" applyProtection="1">
      <alignment horizontal="left"/>
      <protection hidden="1"/>
    </xf>
    <xf numFmtId="0" fontId="1" fillId="0" borderId="6" xfId="0" applyFont="1" applyFill="1" applyBorder="1" applyAlignment="1" applyProtection="1">
      <alignment horizontal="left"/>
      <protection hidden="1"/>
    </xf>
    <xf numFmtId="0" fontId="1" fillId="16" borderId="18" xfId="0" applyFont="1" applyFill="1" applyBorder="1" applyAlignment="1" applyProtection="1">
      <alignment horizontal="left" indent="1"/>
      <protection locked="0"/>
    </xf>
    <xf numFmtId="0" fontId="1" fillId="16" borderId="49" xfId="0" applyFont="1" applyFill="1" applyBorder="1" applyAlignment="1" applyProtection="1">
      <alignment horizontal="left" indent="1"/>
      <protection locked="0"/>
    </xf>
    <xf numFmtId="0" fontId="1" fillId="8" borderId="31" xfId="0" applyFont="1" applyFill="1" applyBorder="1" applyAlignment="1" applyProtection="1">
      <alignment horizontal="left"/>
      <protection locked="0"/>
    </xf>
    <xf numFmtId="0" fontId="15" fillId="0" borderId="24" xfId="0" applyFont="1" applyFill="1" applyBorder="1" applyAlignment="1" applyProtection="1">
      <alignment horizontal="left" vertical="center"/>
      <protection locked="0"/>
    </xf>
    <xf numFmtId="0" fontId="15" fillId="0" borderId="25" xfId="0" applyFont="1" applyFill="1" applyBorder="1" applyAlignment="1" applyProtection="1">
      <alignment horizontal="left" vertical="center"/>
      <protection locked="0"/>
    </xf>
    <xf numFmtId="0" fontId="1" fillId="6" borderId="31" xfId="0" applyFont="1" applyFill="1" applyBorder="1" applyAlignment="1" applyProtection="1">
      <alignment horizontal="left" indent="3"/>
      <protection locked="0"/>
    </xf>
    <xf numFmtId="0" fontId="1" fillId="0" borderId="23" xfId="0" applyFont="1" applyBorder="1" applyAlignment="1" applyProtection="1">
      <alignment horizontal="left" indent="3"/>
      <protection locked="0"/>
    </xf>
    <xf numFmtId="0" fontId="1" fillId="8" borderId="18" xfId="0" applyFont="1" applyFill="1" applyBorder="1" applyAlignment="1" applyProtection="1">
      <alignment horizontal="left"/>
      <protection locked="0"/>
    </xf>
    <xf numFmtId="0" fontId="35" fillId="25" borderId="18" xfId="0" applyFont="1" applyFill="1" applyBorder="1" applyAlignment="1" applyProtection="1">
      <alignment horizontal="center" vertical="center" wrapText="1"/>
      <protection locked="0"/>
    </xf>
    <xf numFmtId="0" fontId="35" fillId="25" borderId="35" xfId="0" applyFont="1" applyFill="1" applyBorder="1" applyAlignment="1" applyProtection="1">
      <alignment horizontal="center" vertical="center" wrapText="1"/>
      <protection locked="0"/>
    </xf>
    <xf numFmtId="0" fontId="1" fillId="6" borderId="18" xfId="0" applyFont="1" applyFill="1" applyBorder="1" applyAlignment="1" applyProtection="1">
      <alignment horizontal="left"/>
      <protection locked="0"/>
    </xf>
    <xf numFmtId="0" fontId="1" fillId="0" borderId="18" xfId="0" applyFont="1" applyBorder="1" applyAlignment="1" applyProtection="1">
      <alignment horizontal="left" indent="3"/>
      <protection locked="0"/>
    </xf>
    <xf numFmtId="0" fontId="1" fillId="6" borderId="34" xfId="0" applyFont="1" applyFill="1" applyBorder="1" applyAlignment="1" applyProtection="1">
      <alignment horizontal="left" indent="3"/>
      <protection locked="0"/>
    </xf>
    <xf numFmtId="0" fontId="1" fillId="6" borderId="35" xfId="0" applyFont="1" applyFill="1" applyBorder="1" applyAlignment="1" applyProtection="1">
      <alignment horizontal="left" indent="3"/>
      <protection locked="0"/>
    </xf>
    <xf numFmtId="0" fontId="1" fillId="8" borderId="36" xfId="0" applyFont="1" applyFill="1" applyBorder="1" applyAlignment="1" applyProtection="1">
      <alignment horizontal="left"/>
      <protection locked="0"/>
    </xf>
    <xf numFmtId="0" fontId="1" fillId="8" borderId="32" xfId="0" applyFont="1" applyFill="1" applyBorder="1" applyAlignment="1" applyProtection="1">
      <alignment horizontal="left"/>
      <protection locked="0"/>
    </xf>
    <xf numFmtId="0" fontId="1" fillId="8" borderId="34" xfId="0" applyFont="1" applyFill="1" applyBorder="1" applyAlignment="1" applyProtection="1">
      <alignment horizontal="left"/>
      <protection locked="0"/>
    </xf>
    <xf numFmtId="0" fontId="1" fillId="8" borderId="20" xfId="0" applyFont="1" applyFill="1" applyBorder="1" applyAlignment="1" applyProtection="1">
      <alignment horizontal="left"/>
      <protection locked="0"/>
    </xf>
    <xf numFmtId="0" fontId="1" fillId="8" borderId="21" xfId="0" applyFont="1" applyFill="1" applyBorder="1" applyAlignment="1" applyProtection="1">
      <alignment horizontal="left"/>
      <protection locked="0"/>
    </xf>
    <xf numFmtId="0" fontId="1" fillId="8" borderId="22" xfId="0" applyFont="1" applyFill="1" applyBorder="1" applyAlignment="1" applyProtection="1">
      <alignment horizontal="left"/>
      <protection locked="0"/>
    </xf>
    <xf numFmtId="0" fontId="14" fillId="5" borderId="36" xfId="0" applyFont="1" applyFill="1" applyBorder="1" applyAlignment="1" applyProtection="1">
      <alignment horizontal="left" vertical="center"/>
      <protection locked="0"/>
    </xf>
    <xf numFmtId="0" fontId="14" fillId="5" borderId="32" xfId="0" applyFont="1" applyFill="1" applyBorder="1" applyAlignment="1" applyProtection="1">
      <alignment horizontal="left" vertical="center"/>
      <protection locked="0"/>
    </xf>
    <xf numFmtId="0" fontId="19" fillId="0" borderId="34" xfId="0" applyFont="1" applyBorder="1" applyAlignment="1" applyProtection="1">
      <alignment horizontal="left"/>
      <protection locked="0"/>
    </xf>
    <xf numFmtId="0" fontId="19" fillId="0" borderId="20" xfId="0" applyFont="1" applyBorder="1" applyAlignment="1" applyProtection="1">
      <alignment horizontal="left"/>
      <protection locked="0"/>
    </xf>
    <xf numFmtId="0" fontId="1" fillId="0" borderId="34" xfId="0" applyFont="1" applyBorder="1" applyAlignment="1" applyProtection="1">
      <alignment horizontal="left" indent="3"/>
      <protection locked="0"/>
    </xf>
    <xf numFmtId="0" fontId="1" fillId="0" borderId="20" xfId="0" applyFont="1" applyBorder="1" applyAlignment="1" applyProtection="1">
      <alignment horizontal="left" indent="3"/>
      <protection locked="0"/>
    </xf>
    <xf numFmtId="0" fontId="1" fillId="0" borderId="35" xfId="0" applyFont="1" applyBorder="1" applyAlignment="1" applyProtection="1">
      <alignment horizontal="left" indent="3"/>
      <protection locked="0"/>
    </xf>
    <xf numFmtId="0" fontId="19" fillId="2" borderId="18" xfId="0" applyFont="1" applyFill="1" applyBorder="1" applyAlignment="1" applyProtection="1">
      <alignment horizontal="left" indent="3"/>
      <protection locked="0"/>
    </xf>
    <xf numFmtId="0" fontId="11" fillId="9" borderId="35" xfId="0" applyFont="1" applyFill="1" applyBorder="1" applyAlignment="1" applyProtection="1">
      <alignment horizontal="left"/>
      <protection locked="0"/>
    </xf>
    <xf numFmtId="0" fontId="11" fillId="9" borderId="48" xfId="0" applyFont="1" applyFill="1" applyBorder="1" applyAlignment="1" applyProtection="1">
      <alignment horizontal="left"/>
      <protection locked="0"/>
    </xf>
    <xf numFmtId="0" fontId="37" fillId="4" borderId="58" xfId="0" applyFont="1" applyFill="1" applyBorder="1" applyAlignment="1" applyProtection="1">
      <alignment horizontal="center" vertical="center"/>
      <protection locked="0"/>
    </xf>
    <xf numFmtId="0" fontId="37" fillId="4" borderId="59" xfId="0" applyFont="1" applyFill="1" applyBorder="1" applyAlignment="1" applyProtection="1">
      <alignment horizontal="center" vertical="center"/>
      <protection locked="0"/>
    </xf>
    <xf numFmtId="0" fontId="36" fillId="21" borderId="23" xfId="0" applyFont="1" applyFill="1" applyBorder="1" applyAlignment="1" applyProtection="1">
      <alignment horizontal="center" vertical="center"/>
      <protection locked="0"/>
    </xf>
    <xf numFmtId="0" fontId="36" fillId="21" borderId="53" xfId="0" applyFont="1" applyFill="1" applyBorder="1" applyAlignment="1" applyProtection="1">
      <alignment horizontal="center" vertical="center"/>
      <protection locked="0"/>
    </xf>
    <xf numFmtId="0" fontId="36" fillId="21" borderId="54" xfId="0" applyFont="1" applyFill="1" applyBorder="1" applyAlignment="1" applyProtection="1">
      <alignment horizontal="center" vertical="center"/>
      <protection locked="0"/>
    </xf>
    <xf numFmtId="0" fontId="36" fillId="21" borderId="55" xfId="0" applyFont="1" applyFill="1" applyBorder="1" applyAlignment="1" applyProtection="1">
      <alignment horizontal="center" vertical="center"/>
      <protection locked="0"/>
    </xf>
    <xf numFmtId="0" fontId="36" fillId="4" borderId="9" xfId="0" applyFont="1" applyFill="1" applyBorder="1" applyAlignment="1" applyProtection="1">
      <alignment horizontal="center" vertical="center"/>
      <protection locked="0"/>
    </xf>
    <xf numFmtId="0" fontId="36" fillId="4" borderId="19" xfId="0" applyFont="1" applyFill="1" applyBorder="1" applyAlignment="1" applyProtection="1">
      <alignment horizontal="center" vertical="center"/>
      <protection locked="0"/>
    </xf>
    <xf numFmtId="0" fontId="37" fillId="4" borderId="9" xfId="0" applyFont="1" applyFill="1" applyBorder="1" applyAlignment="1" applyProtection="1">
      <alignment horizontal="center" vertical="center"/>
      <protection locked="0"/>
    </xf>
    <xf numFmtId="0" fontId="37" fillId="4" borderId="19" xfId="0" applyFont="1" applyFill="1" applyBorder="1" applyAlignment="1" applyProtection="1">
      <alignment horizontal="center" vertical="center"/>
      <protection locked="0"/>
    </xf>
    <xf numFmtId="0" fontId="37" fillId="4" borderId="23" xfId="0" applyFont="1" applyFill="1" applyBorder="1" applyAlignment="1" applyProtection="1">
      <alignment horizontal="center" vertical="center"/>
      <protection locked="0"/>
    </xf>
    <xf numFmtId="0" fontId="37" fillId="4" borderId="31" xfId="0" applyFont="1" applyFill="1" applyBorder="1" applyAlignment="1" applyProtection="1">
      <alignment horizontal="center" vertical="center"/>
      <protection locked="0"/>
    </xf>
    <xf numFmtId="0" fontId="21" fillId="19" borderId="14" xfId="0" applyFont="1" applyFill="1" applyBorder="1" applyAlignment="1" applyProtection="1">
      <alignment horizontal="center" vertical="center"/>
      <protection locked="0"/>
    </xf>
    <xf numFmtId="0" fontId="21" fillId="19" borderId="52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32" fillId="0" borderId="24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0" fontId="21" fillId="19" borderId="0" xfId="0" applyFont="1" applyFill="1" applyAlignment="1" applyProtection="1">
      <alignment horizontal="center"/>
      <protection locked="0"/>
    </xf>
    <xf numFmtId="0" fontId="21" fillId="19" borderId="2" xfId="0" applyFont="1" applyFill="1" applyBorder="1" applyAlignment="1" applyProtection="1">
      <alignment horizontal="center" vertical="center"/>
      <protection locked="0"/>
    </xf>
    <xf numFmtId="0" fontId="21" fillId="19" borderId="5" xfId="0" applyFont="1" applyFill="1" applyBorder="1" applyAlignment="1" applyProtection="1">
      <alignment horizontal="center" vertical="center"/>
      <protection locked="0"/>
    </xf>
    <xf numFmtId="0" fontId="21" fillId="19" borderId="3" xfId="0" applyFont="1" applyFill="1" applyBorder="1" applyAlignment="1" applyProtection="1">
      <alignment horizontal="center" vertical="center"/>
      <protection locked="0"/>
    </xf>
    <xf numFmtId="0" fontId="21" fillId="19" borderId="3" xfId="0" applyFont="1" applyFill="1" applyBorder="1" applyAlignment="1" applyProtection="1">
      <alignment horizontal="center" vertical="center" wrapText="1"/>
      <protection locked="0"/>
    </xf>
    <xf numFmtId="0" fontId="21" fillId="19" borderId="6" xfId="0" applyFont="1" applyFill="1" applyBorder="1" applyAlignment="1" applyProtection="1">
      <alignment horizontal="center" vertical="center" wrapText="1"/>
      <protection locked="0"/>
    </xf>
    <xf numFmtId="0" fontId="21" fillId="18" borderId="3" xfId="0" applyFont="1" applyFill="1" applyBorder="1" applyAlignment="1" applyProtection="1">
      <alignment horizontal="center"/>
      <protection locked="0"/>
    </xf>
    <xf numFmtId="0" fontId="21" fillId="18" borderId="4" xfId="0" applyFont="1" applyFill="1" applyBorder="1" applyAlignment="1" applyProtection="1">
      <alignment horizontal="center" vertical="center" wrapText="1"/>
      <protection locked="0"/>
    </xf>
    <xf numFmtId="0" fontId="21" fillId="18" borderId="7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21" fillId="18" borderId="2" xfId="0" applyFont="1" applyFill="1" applyBorder="1" applyAlignment="1" applyProtection="1">
      <alignment horizontal="center" vertical="center"/>
      <protection locked="0"/>
    </xf>
    <xf numFmtId="0" fontId="21" fillId="18" borderId="5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21" fillId="18" borderId="0" xfId="0" applyFont="1" applyFill="1" applyAlignment="1" applyProtection="1">
      <alignment horizontal="center"/>
      <protection locked="0"/>
    </xf>
    <xf numFmtId="0" fontId="21" fillId="10" borderId="0" xfId="0" applyFont="1" applyFill="1" applyAlignment="1" applyProtection="1">
      <alignment horizontal="center"/>
      <protection locked="0"/>
    </xf>
    <xf numFmtId="0" fontId="19" fillId="2" borderId="5" xfId="0" applyFont="1" applyFill="1" applyBorder="1" applyAlignment="1" applyProtection="1">
      <alignment horizontal="left"/>
      <protection locked="0"/>
    </xf>
    <xf numFmtId="0" fontId="19" fillId="2" borderId="6" xfId="0" applyFont="1" applyFill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left"/>
      <protection locked="0"/>
    </xf>
    <xf numFmtId="0" fontId="14" fillId="5" borderId="50" xfId="0" applyFont="1" applyFill="1" applyBorder="1" applyAlignment="1" applyProtection="1">
      <alignment horizontal="center" vertical="center"/>
      <protection locked="0"/>
    </xf>
    <xf numFmtId="0" fontId="14" fillId="5" borderId="51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14" fillId="5" borderId="3" xfId="0" applyFont="1" applyFill="1" applyBorder="1" applyAlignment="1" applyProtection="1">
      <alignment horizontal="center" vertical="center"/>
      <protection locked="0"/>
    </xf>
    <xf numFmtId="0" fontId="14" fillId="5" borderId="6" xfId="0" applyFont="1" applyFill="1" applyBorder="1" applyAlignment="1" applyProtection="1">
      <alignment horizontal="center" vertical="center"/>
      <protection locked="0"/>
    </xf>
    <xf numFmtId="0" fontId="14" fillId="5" borderId="3" xfId="0" applyFont="1" applyFill="1" applyBorder="1" applyAlignment="1" applyProtection="1">
      <alignment horizontal="center" vertical="center" wrapText="1"/>
      <protection locked="0"/>
    </xf>
    <xf numFmtId="0" fontId="14" fillId="5" borderId="6" xfId="0" applyFont="1" applyFill="1" applyBorder="1" applyAlignment="1" applyProtection="1">
      <alignment horizontal="center" vertical="center" wrapText="1"/>
      <protection locked="0"/>
    </xf>
    <xf numFmtId="0" fontId="1" fillId="6" borderId="6" xfId="0" applyFont="1" applyFill="1" applyBorder="1" applyAlignment="1" applyProtection="1">
      <alignment horizontal="left"/>
      <protection locked="0"/>
    </xf>
    <xf numFmtId="0" fontId="14" fillId="5" borderId="11" xfId="0" applyFont="1" applyFill="1" applyBorder="1" applyAlignment="1" applyProtection="1">
      <alignment horizontal="center" vertical="center"/>
      <protection locked="0"/>
    </xf>
    <xf numFmtId="0" fontId="14" fillId="5" borderId="12" xfId="0" applyFont="1" applyFill="1" applyBorder="1" applyAlignment="1" applyProtection="1">
      <alignment horizontal="center" vertical="center"/>
      <protection locked="0"/>
    </xf>
    <xf numFmtId="0" fontId="13" fillId="5" borderId="2" xfId="0" applyFont="1" applyFill="1" applyBorder="1" applyAlignment="1" applyProtection="1">
      <alignment horizontal="center"/>
      <protection locked="0"/>
    </xf>
    <xf numFmtId="0" fontId="13" fillId="5" borderId="3" xfId="0" applyFont="1" applyFill="1" applyBorder="1" applyAlignment="1" applyProtection="1">
      <alignment horizontal="center"/>
      <protection locked="0"/>
    </xf>
    <xf numFmtId="0" fontId="13" fillId="5" borderId="4" xfId="0" applyFont="1" applyFill="1" applyBorder="1" applyAlignment="1" applyProtection="1">
      <alignment horizontal="center"/>
      <protection locked="0"/>
    </xf>
    <xf numFmtId="0" fontId="13" fillId="5" borderId="6" xfId="0" applyFont="1" applyFill="1" applyBorder="1" applyAlignment="1" applyProtection="1">
      <alignment horizontal="center"/>
      <protection locked="0"/>
    </xf>
    <xf numFmtId="0" fontId="13" fillId="5" borderId="7" xfId="0" applyFont="1" applyFill="1" applyBorder="1" applyAlignment="1" applyProtection="1">
      <alignment horizontal="center"/>
      <protection locked="0"/>
    </xf>
    <xf numFmtId="0" fontId="20" fillId="0" borderId="34" xfId="0" applyFont="1" applyBorder="1" applyAlignment="1" applyProtection="1">
      <alignment horizontal="left"/>
      <protection locked="0"/>
    </xf>
    <xf numFmtId="0" fontId="20" fillId="0" borderId="49" xfId="0" applyFont="1" applyBorder="1" applyAlignment="1" applyProtection="1">
      <alignment horizontal="left"/>
      <protection locked="0"/>
    </xf>
    <xf numFmtId="0" fontId="1" fillId="14" borderId="5" xfId="0" applyFont="1" applyFill="1" applyBorder="1" applyAlignment="1" applyProtection="1">
      <alignment horizontal="left" vertical="center"/>
      <protection locked="0"/>
    </xf>
    <xf numFmtId="0" fontId="1" fillId="14" borderId="6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4">
    <cellStyle name="Millares" xfId="1" builtinId="3"/>
    <cellStyle name="Millares 2" xfId="3" xr:uid="{00000000-0005-0000-0000-000001000000}"/>
    <cellStyle name="Normal" xfId="0" builtinId="0"/>
    <cellStyle name="Porcentaje" xfId="2" builtinId="5"/>
  </cellStyles>
  <dxfs count="1"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0099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47625</xdr:rowOff>
    </xdr:from>
    <xdr:to>
      <xdr:col>12</xdr:col>
      <xdr:colOff>279690</xdr:colOff>
      <xdr:row>5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7625"/>
          <a:ext cx="971551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47625</xdr:rowOff>
    </xdr:from>
    <xdr:to>
      <xdr:col>12</xdr:col>
      <xdr:colOff>492992</xdr:colOff>
      <xdr:row>6</xdr:row>
      <xdr:rowOff>28575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7625"/>
          <a:ext cx="1187451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95250</xdr:rowOff>
    </xdr:from>
    <xdr:to>
      <xdr:col>14</xdr:col>
      <xdr:colOff>771525</xdr:colOff>
      <xdr:row>3</xdr:row>
      <xdr:rowOff>95250</xdr:rowOff>
    </xdr:to>
    <xdr:pic>
      <xdr:nvPicPr>
        <xdr:cNvPr id="2" name="1 Imagen" descr="IB2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95250"/>
          <a:ext cx="7715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47625</xdr:rowOff>
    </xdr:from>
    <xdr:to>
      <xdr:col>12</xdr:col>
      <xdr:colOff>279690</xdr:colOff>
      <xdr:row>5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47625"/>
          <a:ext cx="96549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47625</xdr:rowOff>
    </xdr:from>
    <xdr:to>
      <xdr:col>12</xdr:col>
      <xdr:colOff>492992</xdr:colOff>
      <xdr:row>6</xdr:row>
      <xdr:rowOff>28575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47625"/>
          <a:ext cx="1178792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95250</xdr:rowOff>
    </xdr:from>
    <xdr:to>
      <xdr:col>14</xdr:col>
      <xdr:colOff>771525</xdr:colOff>
      <xdr:row>3</xdr:row>
      <xdr:rowOff>95250</xdr:rowOff>
    </xdr:to>
    <xdr:pic>
      <xdr:nvPicPr>
        <xdr:cNvPr id="2" name="1 Imagen" descr="IB2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95250"/>
          <a:ext cx="7715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47625</xdr:rowOff>
    </xdr:from>
    <xdr:to>
      <xdr:col>12</xdr:col>
      <xdr:colOff>279690</xdr:colOff>
      <xdr:row>5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47625"/>
          <a:ext cx="96549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47625</xdr:rowOff>
    </xdr:from>
    <xdr:to>
      <xdr:col>12</xdr:col>
      <xdr:colOff>492992</xdr:colOff>
      <xdr:row>6</xdr:row>
      <xdr:rowOff>28575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47625"/>
          <a:ext cx="1178792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95250</xdr:rowOff>
    </xdr:from>
    <xdr:to>
      <xdr:col>14</xdr:col>
      <xdr:colOff>752475</xdr:colOff>
      <xdr:row>3</xdr:row>
      <xdr:rowOff>95250</xdr:rowOff>
    </xdr:to>
    <xdr:pic>
      <xdr:nvPicPr>
        <xdr:cNvPr id="2" name="1 Imagen" descr="IB2.pn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95250"/>
          <a:ext cx="7524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523875</xdr:colOff>
      <xdr:row>0</xdr:row>
      <xdr:rowOff>0</xdr:rowOff>
    </xdr:from>
    <xdr:to>
      <xdr:col>10</xdr:col>
      <xdr:colOff>759692</xdr:colOff>
      <xdr:row>5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0"/>
          <a:ext cx="1178792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95250</xdr:rowOff>
    </xdr:from>
    <xdr:to>
      <xdr:col>14</xdr:col>
      <xdr:colOff>752475</xdr:colOff>
      <xdr:row>3</xdr:row>
      <xdr:rowOff>95250</xdr:rowOff>
    </xdr:to>
    <xdr:pic>
      <xdr:nvPicPr>
        <xdr:cNvPr id="2" name="1 Imagen" descr="IB2.pn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95250"/>
          <a:ext cx="7524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47625</xdr:rowOff>
    </xdr:from>
    <xdr:to>
      <xdr:col>17</xdr:col>
      <xdr:colOff>32040</xdr:colOff>
      <xdr:row>5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47625"/>
          <a:ext cx="96549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47625</xdr:rowOff>
    </xdr:from>
    <xdr:to>
      <xdr:col>17</xdr:col>
      <xdr:colOff>245342</xdr:colOff>
      <xdr:row>6</xdr:row>
      <xdr:rowOff>28575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47625"/>
          <a:ext cx="1178792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95250</xdr:rowOff>
    </xdr:from>
    <xdr:to>
      <xdr:col>14</xdr:col>
      <xdr:colOff>752475</xdr:colOff>
      <xdr:row>3</xdr:row>
      <xdr:rowOff>85725</xdr:rowOff>
    </xdr:to>
    <xdr:pic>
      <xdr:nvPicPr>
        <xdr:cNvPr id="2" name="1 Imagen" descr="IB2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5" y="95250"/>
          <a:ext cx="7524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47625</xdr:rowOff>
    </xdr:from>
    <xdr:to>
      <xdr:col>13</xdr:col>
      <xdr:colOff>85725</xdr:colOff>
      <xdr:row>5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47625"/>
          <a:ext cx="9715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0</xdr:row>
      <xdr:rowOff>47625</xdr:rowOff>
    </xdr:from>
    <xdr:to>
      <xdr:col>13</xdr:col>
      <xdr:colOff>301625</xdr:colOff>
      <xdr:row>6</xdr:row>
      <xdr:rowOff>28575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47625"/>
          <a:ext cx="11874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795619</xdr:colOff>
      <xdr:row>0</xdr:row>
      <xdr:rowOff>0</xdr:rowOff>
    </xdr:from>
    <xdr:to>
      <xdr:col>14</xdr:col>
      <xdr:colOff>300959</xdr:colOff>
      <xdr:row>5</xdr:row>
      <xdr:rowOff>137832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1" y="0"/>
          <a:ext cx="1178792" cy="9222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795619</xdr:colOff>
      <xdr:row>0</xdr:row>
      <xdr:rowOff>0</xdr:rowOff>
    </xdr:from>
    <xdr:to>
      <xdr:col>11</xdr:col>
      <xdr:colOff>300958</xdr:colOff>
      <xdr:row>5</xdr:row>
      <xdr:rowOff>137832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5819" y="0"/>
          <a:ext cx="1181740" cy="947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449325</xdr:colOff>
      <xdr:row>81</xdr:row>
      <xdr:rowOff>104375</xdr:rowOff>
    </xdr:from>
    <xdr:to>
      <xdr:col>6</xdr:col>
      <xdr:colOff>361401</xdr:colOff>
      <xdr:row>88</xdr:row>
      <xdr:rowOff>135271</xdr:rowOff>
    </xdr:to>
    <xdr:pic>
      <xdr:nvPicPr>
        <xdr:cNvPr id="3" name="Imagen 2" descr="Resultado de imagen para FORMULA DE PUNTO DE EQUILIBRI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800" y="13620350"/>
          <a:ext cx="1512276" cy="117169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449325</xdr:colOff>
      <xdr:row>105</xdr:row>
      <xdr:rowOff>104375</xdr:rowOff>
    </xdr:from>
    <xdr:ext cx="1512276" cy="1171698"/>
    <xdr:pic>
      <xdr:nvPicPr>
        <xdr:cNvPr id="4" name="Imagen 3" descr="Resultado de imagen para FORMULA DE PUNTO DE EQUILIBRI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800" y="13620350"/>
          <a:ext cx="1512276" cy="117169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10</xdr:col>
      <xdr:colOff>490810</xdr:colOff>
      <xdr:row>5</xdr:row>
      <xdr:rowOff>137832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1444" y="0"/>
          <a:ext cx="1181739" cy="947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757057</xdr:colOff>
      <xdr:row>81</xdr:row>
      <xdr:rowOff>148339</xdr:rowOff>
    </xdr:from>
    <xdr:to>
      <xdr:col>2</xdr:col>
      <xdr:colOff>31691</xdr:colOff>
      <xdr:row>88</xdr:row>
      <xdr:rowOff>149927</xdr:rowOff>
    </xdr:to>
    <xdr:pic>
      <xdr:nvPicPr>
        <xdr:cNvPr id="3" name="Imagen 2" descr="Resultado de imagen para FORMULA DE PUNTO DE EQUILIBRI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788" y="13820377"/>
          <a:ext cx="1516672" cy="11665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0</xdr:rowOff>
    </xdr:from>
    <xdr:to>
      <xdr:col>15</xdr:col>
      <xdr:colOff>790575</xdr:colOff>
      <xdr:row>3</xdr:row>
      <xdr:rowOff>9525</xdr:rowOff>
    </xdr:to>
    <xdr:pic>
      <xdr:nvPicPr>
        <xdr:cNvPr id="2" name="1 Imagen" descr="IB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0"/>
          <a:ext cx="7905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795619</xdr:colOff>
      <xdr:row>0</xdr:row>
      <xdr:rowOff>0</xdr:rowOff>
    </xdr:from>
    <xdr:to>
      <xdr:col>11</xdr:col>
      <xdr:colOff>300958</xdr:colOff>
      <xdr:row>5</xdr:row>
      <xdr:rowOff>137832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1444" y="0"/>
          <a:ext cx="1181739" cy="947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449325</xdr:colOff>
      <xdr:row>81</xdr:row>
      <xdr:rowOff>104375</xdr:rowOff>
    </xdr:from>
    <xdr:to>
      <xdr:col>6</xdr:col>
      <xdr:colOff>361401</xdr:colOff>
      <xdr:row>88</xdr:row>
      <xdr:rowOff>135271</xdr:rowOff>
    </xdr:to>
    <xdr:pic>
      <xdr:nvPicPr>
        <xdr:cNvPr id="3" name="Imagen 2" descr="Resultado de imagen para FORMULA DE PUNTO DE EQUILIBRI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800" y="13848950"/>
          <a:ext cx="1512276" cy="117389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449325</xdr:colOff>
      <xdr:row>105</xdr:row>
      <xdr:rowOff>104375</xdr:rowOff>
    </xdr:from>
    <xdr:ext cx="1512276" cy="1171698"/>
    <xdr:pic>
      <xdr:nvPicPr>
        <xdr:cNvPr id="4" name="Imagen 3" descr="Resultado de imagen para FORMULA DE PUNTO DE EQUILIBRI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800" y="17820875"/>
          <a:ext cx="1512276" cy="117169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47625</xdr:rowOff>
    </xdr:from>
    <xdr:to>
      <xdr:col>12</xdr:col>
      <xdr:colOff>279690</xdr:colOff>
      <xdr:row>5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7625"/>
          <a:ext cx="96549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47625</xdr:rowOff>
    </xdr:from>
    <xdr:to>
      <xdr:col>12</xdr:col>
      <xdr:colOff>492992</xdr:colOff>
      <xdr:row>6</xdr:row>
      <xdr:rowOff>28575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7625"/>
          <a:ext cx="1178792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0</xdr:row>
      <xdr:rowOff>66675</xdr:rowOff>
    </xdr:from>
    <xdr:to>
      <xdr:col>16</xdr:col>
      <xdr:colOff>180975</xdr:colOff>
      <xdr:row>3</xdr:row>
      <xdr:rowOff>66675</xdr:rowOff>
    </xdr:to>
    <xdr:pic>
      <xdr:nvPicPr>
        <xdr:cNvPr id="2" name="1 Imagen" descr="IB2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66675"/>
          <a:ext cx="7905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47625</xdr:rowOff>
    </xdr:from>
    <xdr:to>
      <xdr:col>12</xdr:col>
      <xdr:colOff>279690</xdr:colOff>
      <xdr:row>5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7625"/>
          <a:ext cx="96549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47625</xdr:rowOff>
    </xdr:from>
    <xdr:to>
      <xdr:col>12</xdr:col>
      <xdr:colOff>492992</xdr:colOff>
      <xdr:row>6</xdr:row>
      <xdr:rowOff>28575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7625"/>
          <a:ext cx="1178792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PTTOS\PTTO%20%202019\PTTO%20ULTIMO%202019\Users\JSolares\AppData\Local\Microsoft\Windows\Temporary%20Internet%20Files\Content.Outlook\FW3SM5PD\PLANTILLA%20RL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Solares\AppData\Local\Microsoft\Windows\Temporary%20Internet%20Files\Content.Outlook\FW3SM5PD\PLANTILLA%20RL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PTTOS\PTTO%20%202019\PTTO%20ULTIMO%202019\Users\jquenallata\Desktop\New%20folder%20(3)\REGIONAL%20LA%20PAZ%20-%20ORURO\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quenallata\Desktop\New%20folder%20(3)\REGIONAL%20LA%20PAZ%20-%20ORURO\ba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PTTOS\PTTO%20%202019\PTTO%20ULTIMO%202019\Users\jquenallata\AppData\Local\Microsoft\Windows\Temporary%20Internet%20Files\Content.Outlook\1MGS1M6W\SEC-RSC%2020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quenallata\AppData\Local\Microsoft\Windows\Temporary%20Internet%20Files\Content.Outlook\1MGS1M6W\SEC-RSC%20201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ruquipa/Downloads/PRESUPUESTO%20PFGC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  <sheetName val="Hoja1"/>
    </sheetNames>
    <sheetDataSet>
      <sheetData sheetId="0" refreshError="1"/>
      <sheetData sheetId="1" refreshError="1"/>
      <sheetData sheetId="2">
        <row r="18">
          <cell r="F18">
            <v>0</v>
          </cell>
        </row>
      </sheetData>
      <sheetData sheetId="3">
        <row r="11">
          <cell r="F11">
            <v>0</v>
          </cell>
        </row>
      </sheetData>
      <sheetData sheetId="4">
        <row r="10">
          <cell r="E10">
            <v>0</v>
          </cell>
        </row>
      </sheetData>
      <sheetData sheetId="5">
        <row r="10">
          <cell r="E10">
            <v>0</v>
          </cell>
        </row>
      </sheetData>
      <sheetData sheetId="6" refreshError="1"/>
      <sheetData sheetId="7" refreshError="1"/>
      <sheetData sheetId="8">
        <row r="17">
          <cell r="B17" t="str">
            <v>Fortalecer la participación nacional,  regional e internacional, para dar a conocer  la posición de Bolivia en la elaboración de las normas.</v>
          </cell>
        </row>
        <row r="18">
          <cell r="B18" t="str">
            <v>Desarrollar normas técnicas de forma eficiente y eficaz.</v>
          </cell>
        </row>
        <row r="19">
          <cell r="B19" t="str">
            <v>Proporcionar a la sociedad Normas Técnicas Bolivianas consensuadas que permitan obtener productos y servicios de calidad, difundiéndolas y promoviendo su uso en un 30% de las empresas afiliadas a cámaras .</v>
          </cell>
        </row>
        <row r="20">
          <cell r="B20" t="str">
            <v>Promover el uso de normas técnicas</v>
          </cell>
        </row>
        <row r="21">
          <cell r="B21" t="str">
            <v>Implementar un sistema de accesibilidad de Normas por internet para mejorar la difusión y promoción</v>
          </cell>
        </row>
        <row r="22">
          <cell r="B22" t="str">
            <v>Realizar los procesos de certificación de sistemas y producto, OI y Laboratorio en base a los procedimientos establecidos de manera eficaz</v>
          </cell>
        </row>
        <row r="23">
          <cell r="B23" t="str">
            <v>Contar con auditores competentes para cubrir la demanda de las evaluaciones de la conformidad.</v>
          </cell>
        </row>
        <row r="24">
          <cell r="B24" t="str">
            <v>Brindar servicios  altamente satisfactorios al cliente</v>
          </cell>
        </row>
        <row r="25">
          <cell r="B25" t="str">
            <v>Eliminar los problemas de iliquidez que tiene actualmente la institucion</v>
          </cell>
        </row>
        <row r="26">
          <cell r="B26" t="str">
            <v>Mejorar los procesos incluyendo tecnologia</v>
          </cell>
        </row>
        <row r="27">
          <cell r="B27" t="str">
            <v>Mejorar la calidad de los cursos nacionales para incrementar el número de alumnos</v>
          </cell>
        </row>
        <row r="28">
          <cell r="B28" t="str">
            <v>Mejorar el plantel de docentes</v>
          </cell>
        </row>
        <row r="29">
          <cell r="B29" t="str">
            <v>Mejorar el servicio de capacitación</v>
          </cell>
        </row>
        <row r="32">
          <cell r="B32" t="str">
            <v xml:space="preserve">NO.1.1 Establecer una estrategia de fortalecimiento </v>
          </cell>
        </row>
        <row r="33">
          <cell r="B33" t="str">
            <v>NO.1.2 Establecimiento de una estrategia para definir los comites prioritarios (internacional y regional)</v>
          </cell>
        </row>
        <row r="34">
          <cell r="B34" t="str">
            <v>NO.1.3 Mejorar los mecanismos de identificación de los requerimientos institucionales</v>
          </cell>
        </row>
        <row r="35">
          <cell r="B35" t="str">
            <v>NO.1.4 Organizar reuniones con las diferentes partes interesadas</v>
          </cell>
        </row>
        <row r="36">
          <cell r="B36" t="str">
            <v>NO.1.5 Participación en reuniones</v>
          </cell>
        </row>
        <row r="37">
          <cell r="B37" t="str">
            <v>NO.1.6 Funcionamiento de comités espejo</v>
          </cell>
        </row>
        <row r="38">
          <cell r="B38" t="str">
            <v>NO.1.7 Generar foros de discusión</v>
          </cell>
        </row>
        <row r="39">
          <cell r="B39" t="str">
            <v>NO.1.8 Solicitar requerimientos a los sectores públicos y privados</v>
          </cell>
        </row>
        <row r="40">
          <cell r="B40" t="str">
            <v>NO.1.9 Retroalimentación interna</v>
          </cell>
        </row>
        <row r="41">
          <cell r="B41" t="str">
            <v xml:space="preserve">NO.1.10 Elaborar el PON </v>
          </cell>
        </row>
        <row r="42">
          <cell r="B42" t="str">
            <v>NO.1.11 Elaboración y aprobación de normas</v>
          </cell>
        </row>
        <row r="43">
          <cell r="B43" t="str">
            <v>NO.1.12 Formar unidades sectoriales</v>
          </cell>
        </row>
        <row r="44">
          <cell r="B44" t="str">
            <v>NO.1.13 Elaborar proyecto para Comites Virtuales (WEBEX)</v>
          </cell>
        </row>
        <row r="45">
          <cell r="B45" t="str">
            <v>NO.1.14 Elaborar y ejecutar un  programa de difusión de normas</v>
          </cell>
        </row>
        <row r="46">
          <cell r="B46" t="str">
            <v>NO.1.15 Mejorar la difusión de normas por medios electronico</v>
          </cell>
        </row>
        <row r="47">
          <cell r="B47" t="str">
            <v>NO.1.16 Elaborar proyecto de factibilidad para la compra o desarrollo del software de visualización de normas para venta en soporte digital o suscripción</v>
          </cell>
        </row>
        <row r="48">
          <cell r="B48" t="str">
            <v xml:space="preserve">NO.1.17 Implementar el proyecto de Normas por internet </v>
          </cell>
        </row>
        <row r="49">
          <cell r="B49" t="str">
            <v>EV.2.1 Elaborar los programas de auditoría, para TCP y TCS</v>
          </cell>
        </row>
        <row r="50">
          <cell r="B50" t="str">
            <v>EV.2.2 Aprobación del programa  TCP y TCS</v>
          </cell>
        </row>
        <row r="51">
          <cell r="B51" t="str">
            <v>EV.2.3 Ejecutar  el programa de auditoría de TCS</v>
          </cell>
        </row>
        <row r="52">
          <cell r="B52" t="str">
            <v>EV.2.4 Ejecutar  el programa de auditoría de TCP</v>
          </cell>
        </row>
        <row r="53">
          <cell r="B53" t="str">
            <v>EV.2.5 Atender las solicitudes requeridas para inspección</v>
          </cell>
        </row>
        <row r="54">
          <cell r="B54" t="str">
            <v>EV.2.6 Capacitación en la ISO 17065</v>
          </cell>
        </row>
        <row r="55">
          <cell r="B55" t="str">
            <v>EV.2.7 Capacitación en la ISO 9001:2015</v>
          </cell>
        </row>
        <row r="56">
          <cell r="B56" t="str">
            <v>EV.2.8 Atender las solicitudes requeridas para Ensayos</v>
          </cell>
        </row>
        <row r="57">
          <cell r="B57" t="str">
            <v>EV.2.9 Elaborar un programa de calificacion de auditores/inspectores</v>
          </cell>
        </row>
        <row r="58">
          <cell r="B58" t="str">
            <v>EV.2.10 Calificación de Auditores TCS</v>
          </cell>
        </row>
        <row r="59">
          <cell r="B59" t="str">
            <v>EV.2.11 Calificación de Expertos técnicos  TCS</v>
          </cell>
        </row>
        <row r="60">
          <cell r="B60" t="str">
            <v>EV.2.12 Calificación de Auditores TCP</v>
          </cell>
        </row>
        <row r="61">
          <cell r="B61" t="str">
            <v>EV.2.13 Calificación de Expertos tecnicos  TCP</v>
          </cell>
        </row>
        <row r="62">
          <cell r="B62" t="str">
            <v>EV.2.14 Calificación de Inspectores técnicos  en diferentes áreas OI</v>
          </cell>
        </row>
        <row r="63">
          <cell r="B63" t="str">
            <v>EV.2.15 Incrementar la satisfaccion del cliente de TCP</v>
          </cell>
        </row>
        <row r="64">
          <cell r="B64" t="str">
            <v>EV.2.16 Incrementar la satisfaccion del cliente de TCS</v>
          </cell>
        </row>
        <row r="65">
          <cell r="B65" t="str">
            <v>EV.2.17 Implementar mecanismos de medicion de satisfaccion del cliente para TLQ</v>
          </cell>
        </row>
        <row r="66">
          <cell r="B66" t="str">
            <v>EV.2.18 Implementar mecanismos de medicion de satisfaccion del cliente para OI</v>
          </cell>
        </row>
        <row r="67">
          <cell r="B67" t="str">
            <v>EV.2.19 Implementar nueva tecnologia para nuevo servicio de TLQ (microbiologia)</v>
          </cell>
        </row>
        <row r="68">
          <cell r="B68" t="str">
            <v>EV.2.20 Reducir el plazo entre el servicio realizado y la cancelacion correspondiente (para todos los servicios)</v>
          </cell>
        </row>
        <row r="69">
          <cell r="B69" t="str">
            <v>EV.2.21 Definir procesos diferenciados por pago a credito y al contado (para todos los servicios)</v>
          </cell>
        </row>
        <row r="70">
          <cell r="B70" t="str">
            <v>EV.2.22 Establecer convenios con clientes grandes</v>
          </cell>
        </row>
        <row r="71">
          <cell r="B71" t="str">
            <v>EV.2.23 Revision de los procesos</v>
          </cell>
        </row>
        <row r="72">
          <cell r="B72" t="str">
            <v>EV.2.24 Planteamiento de propuestas (proyectos)</v>
          </cell>
        </row>
        <row r="73">
          <cell r="B73" t="str">
            <v>CP.3.1 Desarrollar un Plan de capacitación Regional</v>
          </cell>
        </row>
        <row r="74">
          <cell r="B74" t="str">
            <v>CP.3.2 Actualización de programas de ESG</v>
          </cell>
        </row>
        <row r="75">
          <cell r="B75" t="str">
            <v>CP.3.3 Difundir los cursos de acuerdo al plan comercial</v>
          </cell>
        </row>
        <row r="76">
          <cell r="B76" t="str">
            <v>CP.3.4 Elaborar proyecto de acreditación para dar curso de auditor IRCA</v>
          </cell>
        </row>
        <row r="77">
          <cell r="B77" t="str">
            <v>CP.3.5 Conseguir la Resolución ministerial para  mayor aval de los  certificados</v>
          </cell>
        </row>
        <row r="78">
          <cell r="B78" t="str">
            <v>CP.3.6 Realizar sondeo de necesidades de capacitación</v>
          </cell>
        </row>
        <row r="79">
          <cell r="B79" t="str">
            <v>CP.3.7 Segmentar el mercado para dar cursos especializados</v>
          </cell>
        </row>
        <row r="80">
          <cell r="B80" t="str">
            <v>CP.3.8 Potenciar cursos  con el sector Público</v>
          </cell>
        </row>
        <row r="81">
          <cell r="B81" t="str">
            <v>CP.3.9 Calificación de docentes</v>
          </cell>
        </row>
        <row r="82">
          <cell r="B82" t="str">
            <v>CP.3.10 Capacitar personal técnico con la NSC para generar nuevos cursos</v>
          </cell>
        </row>
        <row r="83">
          <cell r="B83" t="str">
            <v>CP.3.11 Generar nuevos mecanismos de evaluación del docente</v>
          </cell>
        </row>
        <row r="84">
          <cell r="B84" t="str">
            <v>CP.3.12 Fidelización de docentes.</v>
          </cell>
        </row>
        <row r="85">
          <cell r="B85" t="str">
            <v>CP.3.13 Convocatoria a docentes externos</v>
          </cell>
        </row>
        <row r="86">
          <cell r="B86" t="str">
            <v>CP.3.14 Contratar al docente</v>
          </cell>
        </row>
        <row r="87">
          <cell r="B87" t="str">
            <v>CP.3.15 Promocionar el curso</v>
          </cell>
        </row>
        <row r="88">
          <cell r="B88" t="str">
            <v>CP.3.16 Inscripción de los alumnos</v>
          </cell>
        </row>
        <row r="89">
          <cell r="B89" t="str">
            <v>CP.3.17 Ejecución del curso</v>
          </cell>
        </row>
        <row r="90">
          <cell r="B90" t="str">
            <v>CP.3.18 Evaluación del curso</v>
          </cell>
        </row>
        <row r="91">
          <cell r="B91" t="str">
            <v>CP.3.19 Mejora Continua</v>
          </cell>
        </row>
        <row r="92">
          <cell r="B92" t="str">
            <v>CP.3.20 Otros</v>
          </cell>
        </row>
      </sheetData>
      <sheetData sheetId="9">
        <row r="4">
          <cell r="B4" t="str">
            <v>Freddy Rocha Orosco</v>
          </cell>
        </row>
        <row r="5">
          <cell r="B5" t="str">
            <v xml:space="preserve">Jose Larrea Laguna </v>
          </cell>
          <cell r="N5" t="str">
            <v>Almoadilla para pizarra</v>
          </cell>
          <cell r="T5" t="str">
            <v xml:space="preserve">LA PAZ - SANTA CRUZ - LA PAZ </v>
          </cell>
        </row>
        <row r="6">
          <cell r="B6" t="str">
            <v>Rocio Mallea Ortiz</v>
          </cell>
          <cell r="N6" t="str">
            <v xml:space="preserve">Archivador de Palanca </v>
          </cell>
          <cell r="T6" t="str">
            <v xml:space="preserve">LA PAZ - COCHABAMABA- LA PAZ </v>
          </cell>
        </row>
        <row r="7">
          <cell r="B7" t="str">
            <v>Maria Ichuta Triguero</v>
          </cell>
          <cell r="N7" t="str">
            <v>Archivador de Palanca medio oficio</v>
          </cell>
          <cell r="T7" t="str">
            <v xml:space="preserve">LA PAZ - SUCRE - LA PAZ </v>
          </cell>
        </row>
        <row r="8">
          <cell r="B8" t="str">
            <v>Maria Teresa Cuba</v>
          </cell>
          <cell r="N8" t="str">
            <v>Base metálico para exfoliador</v>
          </cell>
          <cell r="T8" t="str">
            <v xml:space="preserve">LA PAZ - TARIJA - LA PAZ </v>
          </cell>
        </row>
        <row r="9">
          <cell r="B9" t="str">
            <v xml:space="preserve">Acefalo Informatica </v>
          </cell>
          <cell r="N9" t="str">
            <v>Base de escritorio</v>
          </cell>
          <cell r="T9" t="str">
            <v xml:space="preserve">LA PAZ - COBIJA - LA PAZ </v>
          </cell>
        </row>
        <row r="10">
          <cell r="B10">
            <v>0</v>
          </cell>
          <cell r="N10" t="str">
            <v>Block de sabana rayado</v>
          </cell>
          <cell r="T10" t="str">
            <v xml:space="preserve">LA PAZ - ORURO - LA PAZ </v>
          </cell>
        </row>
        <row r="11">
          <cell r="N11" t="str">
            <v xml:space="preserve">Bolígrafos azules </v>
          </cell>
          <cell r="T11" t="str">
            <v xml:space="preserve">LA PAZ - POTOSI - LA PAZ </v>
          </cell>
        </row>
        <row r="12">
          <cell r="N12" t="str">
            <v xml:space="preserve">Bolígrafos negros </v>
          </cell>
        </row>
        <row r="13">
          <cell r="N13" t="str">
            <v xml:space="preserve">Bolígrafos rojos </v>
          </cell>
        </row>
        <row r="14">
          <cell r="N14" t="str">
            <v>Bolígrafo verde</v>
          </cell>
        </row>
        <row r="15">
          <cell r="N15" t="str">
            <v>Calculadora</v>
          </cell>
        </row>
        <row r="16">
          <cell r="N16" t="str">
            <v>Calculadora con winchadora</v>
          </cell>
        </row>
        <row r="17">
          <cell r="N17" t="str">
            <v xml:space="preserve">Canastillo </v>
          </cell>
        </row>
        <row r="18">
          <cell r="N18" t="str">
            <v xml:space="preserve">Carbónicos </v>
          </cell>
        </row>
        <row r="19">
          <cell r="N19" t="str">
            <v>Cartapacio A4</v>
          </cell>
        </row>
        <row r="20">
          <cell r="N20" t="str">
            <v>Casete p/grabadora 60 min</v>
          </cell>
          <cell r="T20" t="str">
            <v xml:space="preserve">HOTEL CASTELLON </v>
          </cell>
        </row>
        <row r="21">
          <cell r="N21" t="str">
            <v xml:space="preserve">CD's </v>
          </cell>
          <cell r="T21" t="str">
            <v>HOTEL ROYAL</v>
          </cell>
        </row>
        <row r="22">
          <cell r="N22" t="str">
            <v>Cinta aislante</v>
          </cell>
          <cell r="T22" t="str">
            <v>HOTEL REGINA</v>
          </cell>
        </row>
        <row r="23">
          <cell r="N23" t="str">
            <v xml:space="preserve">Cinta de Embalaje </v>
          </cell>
          <cell r="T23" t="str">
            <v xml:space="preserve">HOTEL KOLPING </v>
          </cell>
        </row>
        <row r="24">
          <cell r="N24" t="str">
            <v>Cinta masking</v>
          </cell>
          <cell r="T24" t="str">
            <v xml:space="preserve">HOTEL SUCRE </v>
          </cell>
        </row>
        <row r="25">
          <cell r="N25" t="str">
            <v xml:space="preserve">Cinta p/máquina de escribir </v>
          </cell>
          <cell r="T25" t="str">
            <v>HOTEL TUKUS</v>
          </cell>
        </row>
        <row r="26">
          <cell r="N26" t="str">
            <v>Cinta para impresora Epson LQ 570</v>
          </cell>
          <cell r="T26" t="str">
            <v xml:space="preserve">HOTEL TARIJA  </v>
          </cell>
        </row>
        <row r="27">
          <cell r="N27" t="str">
            <v>Clip 77 mm.</v>
          </cell>
        </row>
        <row r="28">
          <cell r="N28" t="str">
            <v>Clip Nª 111 (sujetador de papel)</v>
          </cell>
        </row>
        <row r="29">
          <cell r="N29" t="str">
            <v>Clips N°03</v>
          </cell>
        </row>
        <row r="30">
          <cell r="N30" t="str">
            <v>Clips N°08</v>
          </cell>
        </row>
        <row r="31">
          <cell r="N31" t="str">
            <v>Corrector líquido</v>
          </cell>
        </row>
        <row r="32">
          <cell r="N32" t="str">
            <v>Cuaderno empastado pequeño</v>
          </cell>
        </row>
        <row r="33">
          <cell r="N33" t="str">
            <v xml:space="preserve">Cuaderno espiral 200 hojas </v>
          </cell>
        </row>
        <row r="34">
          <cell r="N34" t="str">
            <v xml:space="preserve">Cuaderno espiral 100 hojas </v>
          </cell>
          <cell r="T34" t="str">
            <v>LA PAZ - SANTA CRUZ</v>
          </cell>
        </row>
        <row r="35">
          <cell r="N35" t="str">
            <v>Cuaderno espiral 100 hojas t/oficio</v>
          </cell>
          <cell r="T35" t="str">
            <v xml:space="preserve">LA PAZ - COCHABAMBA </v>
          </cell>
        </row>
        <row r="36">
          <cell r="N36" t="str">
            <v>Cuaderno espiral t/carta</v>
          </cell>
          <cell r="T36" t="str">
            <v xml:space="preserve">LA PAZ   - SUCRE </v>
          </cell>
        </row>
        <row r="37">
          <cell r="N37" t="str">
            <v xml:space="preserve">Disquetes </v>
          </cell>
          <cell r="T37" t="str">
            <v>LA PAZ - TARIJA</v>
          </cell>
        </row>
        <row r="38">
          <cell r="N38" t="str">
            <v>Diurex pequeños</v>
          </cell>
          <cell r="T38" t="str">
            <v xml:space="preserve">LA PAZ - POTOSI </v>
          </cell>
        </row>
        <row r="39">
          <cell r="N39" t="str">
            <v>DVD 4X 4,7 GB</v>
          </cell>
          <cell r="T39" t="str">
            <v xml:space="preserve">LA PAZ  - ORURO </v>
          </cell>
        </row>
        <row r="40">
          <cell r="N40" t="str">
            <v>Engrapadora</v>
          </cell>
          <cell r="T40">
            <v>0</v>
          </cell>
        </row>
        <row r="41">
          <cell r="N41" t="str">
            <v>Engrapadora grande semi-ind.</v>
          </cell>
        </row>
        <row r="42">
          <cell r="N42" t="str">
            <v xml:space="preserve"> Escuadras de 45 y 60 grados</v>
          </cell>
        </row>
        <row r="43">
          <cell r="N43" t="str">
            <v>Estilete</v>
          </cell>
        </row>
        <row r="44">
          <cell r="N44" t="str">
            <v>Esponja para humedecer dedos</v>
          </cell>
        </row>
        <row r="45">
          <cell r="N45" t="str">
            <v>Etiquetas Grandes 0.75*12.7cm.</v>
          </cell>
          <cell r="T45" t="str">
            <v>LA PAZ -  SANTA CRUZ - LA PAZ</v>
          </cell>
        </row>
        <row r="46">
          <cell r="N46" t="str">
            <v xml:space="preserve">Etiquetas pequeñas sin uso </v>
          </cell>
          <cell r="T46" t="str">
            <v xml:space="preserve">LA PAZ - COCHABAMBA - LA PAZ </v>
          </cell>
        </row>
        <row r="47">
          <cell r="N47" t="str">
            <v>Etiquetas medianas 3.6*10.2cm.</v>
          </cell>
          <cell r="T47" t="str">
            <v xml:space="preserve">LA PAZ - SUCRE - LA PAZ </v>
          </cell>
        </row>
        <row r="48">
          <cell r="N48" t="str">
            <v xml:space="preserve">Etiquetas verdes </v>
          </cell>
          <cell r="T48" t="str">
            <v xml:space="preserve">LA PAZ  - TARIJA - LA PAZ </v>
          </cell>
        </row>
        <row r="49">
          <cell r="N49" t="str">
            <v xml:space="preserve">Extraegrapas </v>
          </cell>
          <cell r="T49" t="str">
            <v xml:space="preserve">LA PAZ - COBIJA - LA PAZ </v>
          </cell>
        </row>
        <row r="50">
          <cell r="N50" t="str">
            <v>Fasteners</v>
          </cell>
          <cell r="T50" t="str">
            <v xml:space="preserve">LA PAZ - ORURO - LA PAZ </v>
          </cell>
        </row>
        <row r="51">
          <cell r="N51" t="str">
            <v xml:space="preserve">Folders </v>
          </cell>
          <cell r="T51">
            <v>0</v>
          </cell>
        </row>
        <row r="52">
          <cell r="N52" t="str">
            <v>Folders con barilla</v>
          </cell>
        </row>
        <row r="53">
          <cell r="N53" t="str">
            <v>Fundas transparentes</v>
          </cell>
        </row>
        <row r="54">
          <cell r="N54" t="str">
            <v>Fundas transparentes</v>
          </cell>
        </row>
        <row r="55">
          <cell r="N55" t="str">
            <v xml:space="preserve">Gomas de tinta </v>
          </cell>
        </row>
        <row r="56">
          <cell r="N56" t="str">
            <v>Grapas 23/8</v>
          </cell>
          <cell r="T56" t="str">
            <v xml:space="preserve">Cuotas ISO, Copant,Mercusor </v>
          </cell>
        </row>
        <row r="57">
          <cell r="N57" t="str">
            <v>Grapas 23/15</v>
          </cell>
        </row>
        <row r="58">
          <cell r="N58" t="str">
            <v>Grapas 23/13</v>
          </cell>
        </row>
        <row r="59">
          <cell r="N59" t="str">
            <v>Grapas 23/10</v>
          </cell>
        </row>
        <row r="60">
          <cell r="N60" t="str">
            <v>Grapas 24/6</v>
          </cell>
        </row>
        <row r="61">
          <cell r="N61" t="str">
            <v>Grapas 26/6</v>
          </cell>
        </row>
        <row r="62">
          <cell r="N62" t="str">
            <v>Hojas de colores</v>
          </cell>
        </row>
        <row r="63">
          <cell r="N63" t="str">
            <v>Hojas papel copia</v>
          </cell>
        </row>
        <row r="64">
          <cell r="N64" t="str">
            <v>Hojas papel Sábana</v>
          </cell>
        </row>
        <row r="65">
          <cell r="N65" t="str">
            <v>Hojas Tamaño A4</v>
          </cell>
        </row>
        <row r="66">
          <cell r="N66" t="str">
            <v xml:space="preserve">Hojas Tamaño carta </v>
          </cell>
        </row>
        <row r="67">
          <cell r="N67" t="str">
            <v xml:space="preserve">Hojas Tamaño oficio </v>
          </cell>
        </row>
        <row r="68">
          <cell r="N68" t="str">
            <v>Lapiz amarillo</v>
          </cell>
        </row>
        <row r="69">
          <cell r="N69" t="str">
            <v>Lapiz de colores</v>
          </cell>
        </row>
        <row r="70">
          <cell r="N70" t="str">
            <v xml:space="preserve">Lapíz Goma </v>
          </cell>
        </row>
        <row r="71">
          <cell r="N71" t="str">
            <v>Lápiz negro</v>
          </cell>
        </row>
        <row r="72">
          <cell r="N72" t="str">
            <v>Lápiz rojo</v>
          </cell>
        </row>
        <row r="73">
          <cell r="N73" t="str">
            <v>Libro de actas</v>
          </cell>
        </row>
        <row r="74">
          <cell r="N74" t="str">
            <v>Ligas</v>
          </cell>
        </row>
        <row r="75">
          <cell r="N75" t="str">
            <v>Marcador acrilico</v>
          </cell>
        </row>
        <row r="76">
          <cell r="N76" t="str">
            <v>Marcador para transparencias</v>
          </cell>
        </row>
        <row r="77">
          <cell r="N77" t="str">
            <v>Marcador permanente</v>
          </cell>
        </row>
        <row r="78">
          <cell r="N78" t="str">
            <v>Marcadores delgados negros - azul</v>
          </cell>
        </row>
        <row r="79">
          <cell r="N79" t="str">
            <v>Micropuntas Azul - Rojo - Negro</v>
          </cell>
        </row>
        <row r="80">
          <cell r="N80" t="str">
            <v>Minas para lapiz</v>
          </cell>
        </row>
        <row r="81">
          <cell r="N81" t="str">
            <v xml:space="preserve">Naylon para forrar </v>
          </cell>
        </row>
        <row r="82">
          <cell r="N82" t="str">
            <v>Organizador para escritorio</v>
          </cell>
        </row>
        <row r="83">
          <cell r="N83" t="str">
            <v>Papel kraft 125x81,5 cm.</v>
          </cell>
        </row>
        <row r="84">
          <cell r="N84" t="str">
            <v>Papel lustroso</v>
          </cell>
        </row>
        <row r="85">
          <cell r="N85" t="str">
            <v xml:space="preserve">Papel Madera </v>
          </cell>
        </row>
        <row r="86">
          <cell r="N86" t="str">
            <v>Papel para calculadora</v>
          </cell>
        </row>
        <row r="87">
          <cell r="N87" t="str">
            <v>Papel para Fax</v>
          </cell>
        </row>
        <row r="88">
          <cell r="N88" t="str">
            <v>Pegamento UHU</v>
          </cell>
        </row>
        <row r="89">
          <cell r="N89" t="str">
            <v>Pegamento Silicona líquida</v>
          </cell>
        </row>
        <row r="90">
          <cell r="N90" t="str">
            <v>Pegamento carpicola</v>
          </cell>
        </row>
        <row r="91">
          <cell r="N91" t="str">
            <v xml:space="preserve">Perforadora Grande </v>
          </cell>
        </row>
        <row r="92">
          <cell r="N92" t="str">
            <v>Pila alcalina AA 1,5 v</v>
          </cell>
        </row>
        <row r="93">
          <cell r="N93" t="str">
            <v>Pita P.N. algodón Bla. Ovillo</v>
          </cell>
        </row>
        <row r="94">
          <cell r="N94" t="str">
            <v>Porta Minas</v>
          </cell>
        </row>
        <row r="95">
          <cell r="N95" t="str">
            <v>Porta Clips</v>
          </cell>
        </row>
        <row r="96">
          <cell r="N96" t="str">
            <v>Porta Lapices</v>
          </cell>
        </row>
        <row r="97">
          <cell r="N97" t="str">
            <v>Porta Diurex</v>
          </cell>
        </row>
        <row r="98">
          <cell r="N98" t="str">
            <v>Post it de colores</v>
          </cell>
        </row>
        <row r="99">
          <cell r="N99" t="str">
            <v>Post-It</v>
          </cell>
        </row>
        <row r="100">
          <cell r="N100" t="str">
            <v>Post-it pequeño</v>
          </cell>
        </row>
        <row r="101">
          <cell r="N101" t="str">
            <v>Portadocumentos (Revisteros)</v>
          </cell>
        </row>
        <row r="102">
          <cell r="N102" t="str">
            <v>Portadocumentos (Arch.de folders)</v>
          </cell>
        </row>
        <row r="103">
          <cell r="N103" t="str">
            <v>Protector de pantalla (filtro) 14¨</v>
          </cell>
        </row>
        <row r="104">
          <cell r="N104" t="str">
            <v>Protector de pantalla (filtro) 17¨</v>
          </cell>
        </row>
        <row r="105">
          <cell r="N105" t="str">
            <v>Recargador de Catrigde BC-02</v>
          </cell>
        </row>
        <row r="106">
          <cell r="N106" t="str">
            <v xml:space="preserve">Reglas </v>
          </cell>
        </row>
        <row r="107">
          <cell r="N107" t="str">
            <v>Reglas metálica</v>
          </cell>
        </row>
        <row r="108">
          <cell r="N108" t="str">
            <v xml:space="preserve">Resaltadores </v>
          </cell>
        </row>
        <row r="109">
          <cell r="N109" t="str">
            <v xml:space="preserve">Separadores </v>
          </cell>
        </row>
        <row r="110">
          <cell r="N110" t="str">
            <v xml:space="preserve">Separadores 10 </v>
          </cell>
        </row>
        <row r="111">
          <cell r="N111" t="str">
            <v>Separadores Gaveteros</v>
          </cell>
        </row>
        <row r="112">
          <cell r="N112" t="str">
            <v xml:space="preserve">Sobre blanco t/oficio </v>
          </cell>
        </row>
        <row r="113">
          <cell r="N113" t="str">
            <v>Sobres manila tamaño extra oficio</v>
          </cell>
        </row>
        <row r="114">
          <cell r="N114" t="str">
            <v xml:space="preserve">Sobres manila tamaño medio oficio </v>
          </cell>
        </row>
        <row r="115">
          <cell r="N115" t="str">
            <v>Sobres manila tamaño oficio</v>
          </cell>
        </row>
        <row r="116">
          <cell r="N116" t="str">
            <v>Tablero de carton prensado</v>
          </cell>
        </row>
        <row r="117">
          <cell r="N117" t="str">
            <v>Tacos p/exfoliador</v>
          </cell>
        </row>
        <row r="118">
          <cell r="N118" t="str">
            <v xml:space="preserve">Tajador para escritorio </v>
          </cell>
        </row>
        <row r="119">
          <cell r="N119" t="str">
            <v xml:space="preserve">Tajadores metálicos </v>
          </cell>
        </row>
        <row r="120">
          <cell r="N120" t="str">
            <v xml:space="preserve">Tampo rojo y azul </v>
          </cell>
        </row>
        <row r="121">
          <cell r="N121" t="str">
            <v>Tarjetero</v>
          </cell>
        </row>
        <row r="122">
          <cell r="N122" t="str">
            <v>Tijeras</v>
          </cell>
        </row>
        <row r="123">
          <cell r="N123" t="str">
            <v xml:space="preserve">Tinta para tampo </v>
          </cell>
        </row>
        <row r="124">
          <cell r="N124" t="str">
            <v xml:space="preserve">Transparencias </v>
          </cell>
        </row>
        <row r="125">
          <cell r="N125" t="str">
            <v>Tonner Laser 4050 N - HP4127X</v>
          </cell>
        </row>
        <row r="126">
          <cell r="N126" t="str">
            <v>Tonner Laser  HP 1300 13A</v>
          </cell>
        </row>
        <row r="127">
          <cell r="N127" t="str">
            <v>Tonner Laser   HP 1015 12A</v>
          </cell>
        </row>
        <row r="128">
          <cell r="N128" t="str">
            <v>Tonner Laser   HP 1160 49A</v>
          </cell>
        </row>
        <row r="129">
          <cell r="N129" t="str">
            <v>Tonner Laser HP 35A</v>
          </cell>
        </row>
        <row r="130">
          <cell r="N130" t="str">
            <v>Tonner Laser HP 280A</v>
          </cell>
        </row>
        <row r="131">
          <cell r="N131" t="str">
            <v xml:space="preserve">Tonner para fotocopiadora </v>
          </cell>
        </row>
        <row r="132">
          <cell r="N132" t="str">
            <v xml:space="preserve">Transparencias </v>
          </cell>
        </row>
        <row r="133">
          <cell r="N133">
            <v>0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  <sheetName val="Hoja1"/>
    </sheetNames>
    <sheetDataSet>
      <sheetData sheetId="0" refreshError="1"/>
      <sheetData sheetId="1" refreshError="1"/>
      <sheetData sheetId="2">
        <row r="18">
          <cell r="F18">
            <v>0</v>
          </cell>
        </row>
      </sheetData>
      <sheetData sheetId="3">
        <row r="11">
          <cell r="F11">
            <v>0</v>
          </cell>
        </row>
      </sheetData>
      <sheetData sheetId="4">
        <row r="10">
          <cell r="E10">
            <v>0</v>
          </cell>
        </row>
      </sheetData>
      <sheetData sheetId="5">
        <row r="10">
          <cell r="E10">
            <v>0</v>
          </cell>
        </row>
      </sheetData>
      <sheetData sheetId="6" refreshError="1"/>
      <sheetData sheetId="7" refreshError="1"/>
      <sheetData sheetId="8">
        <row r="17">
          <cell r="B17" t="str">
            <v>Fortalecer la participación nacional,  regional e internacional, para dar a conocer  la posición de Bolivia en la elaboración de las normas.</v>
          </cell>
        </row>
        <row r="18">
          <cell r="B18" t="str">
            <v>Desarrollar normas técnicas de forma eficiente y eficaz.</v>
          </cell>
        </row>
        <row r="19">
          <cell r="B19" t="str">
            <v>Proporcionar a la sociedad Normas Técnicas Bolivianas consensuadas que permitan obtener productos y servicios de calidad, difundiéndolas y promoviendo su uso en un 30% de las empresas afiliadas a cámaras .</v>
          </cell>
        </row>
        <row r="20">
          <cell r="B20" t="str">
            <v>Promover el uso de normas técnicas</v>
          </cell>
        </row>
        <row r="21">
          <cell r="B21" t="str">
            <v>Implementar un sistema de accesibilidad de Normas por internet para mejorar la difusión y promoción</v>
          </cell>
        </row>
        <row r="22">
          <cell r="B22" t="str">
            <v>Realizar los procesos de certificación de sistemas y producto, OI y Laboratorio en base a los procedimientos establecidos de manera eficaz</v>
          </cell>
        </row>
        <row r="23">
          <cell r="B23" t="str">
            <v>Contar con auditores competentes para cubrir la demanda de las evaluaciones de la conformidad.</v>
          </cell>
        </row>
        <row r="24">
          <cell r="B24" t="str">
            <v>Brindar servicios  altamente satisfactorios al cliente</v>
          </cell>
        </row>
        <row r="25">
          <cell r="B25" t="str">
            <v>Eliminar los problemas de iliquidez que tiene actualmente la institucion</v>
          </cell>
        </row>
        <row r="26">
          <cell r="B26" t="str">
            <v>Mejorar los procesos incluyendo tecnologia</v>
          </cell>
        </row>
        <row r="27">
          <cell r="B27" t="str">
            <v>Mejorar la calidad de los cursos nacionales para incrementar el número de alumnos</v>
          </cell>
        </row>
        <row r="28">
          <cell r="B28" t="str">
            <v>Mejorar el plantel de docentes</v>
          </cell>
        </row>
        <row r="29">
          <cell r="B29" t="str">
            <v>Mejorar el servicio de capacitación</v>
          </cell>
        </row>
        <row r="32">
          <cell r="B32" t="str">
            <v xml:space="preserve">NO.1.1 Establecer una estrategia de fortalecimiento </v>
          </cell>
        </row>
        <row r="33">
          <cell r="B33" t="str">
            <v>NO.1.2 Establecimiento de una estrategia para definir los comites prioritarios (internacional y regional)</v>
          </cell>
        </row>
        <row r="34">
          <cell r="B34" t="str">
            <v>NO.1.3 Mejorar los mecanismos de identificación de los requerimientos institucionales</v>
          </cell>
        </row>
        <row r="35">
          <cell r="B35" t="str">
            <v>NO.1.4 Organizar reuniones con las diferentes partes interesadas</v>
          </cell>
        </row>
        <row r="36">
          <cell r="B36" t="str">
            <v>NO.1.5 Participación en reuniones</v>
          </cell>
        </row>
        <row r="37">
          <cell r="B37" t="str">
            <v>NO.1.6 Funcionamiento de comités espejo</v>
          </cell>
        </row>
        <row r="38">
          <cell r="B38" t="str">
            <v>NO.1.7 Generar foros de discusión</v>
          </cell>
        </row>
        <row r="39">
          <cell r="B39" t="str">
            <v>NO.1.8 Solicitar requerimientos a los sectores públicos y privados</v>
          </cell>
        </row>
        <row r="40">
          <cell r="B40" t="str">
            <v>NO.1.9 Retroalimentación interna</v>
          </cell>
        </row>
        <row r="41">
          <cell r="B41" t="str">
            <v xml:space="preserve">NO.1.10 Elaborar el PON </v>
          </cell>
        </row>
        <row r="42">
          <cell r="B42" t="str">
            <v>NO.1.11 Elaboración y aprobación de normas</v>
          </cell>
        </row>
        <row r="43">
          <cell r="B43" t="str">
            <v>NO.1.12 Formar unidades sectoriales</v>
          </cell>
        </row>
        <row r="44">
          <cell r="B44" t="str">
            <v>NO.1.13 Elaborar proyecto para Comites Virtuales (WEBEX)</v>
          </cell>
        </row>
        <row r="45">
          <cell r="B45" t="str">
            <v>NO.1.14 Elaborar y ejecutar un  programa de difusión de normas</v>
          </cell>
        </row>
        <row r="46">
          <cell r="B46" t="str">
            <v>NO.1.15 Mejorar la difusión de normas por medios electronico</v>
          </cell>
        </row>
        <row r="47">
          <cell r="B47" t="str">
            <v>NO.1.16 Elaborar proyecto de factibilidad para la compra o desarrollo del software de visualización de normas para venta en soporte digital o suscripción</v>
          </cell>
        </row>
        <row r="48">
          <cell r="B48" t="str">
            <v xml:space="preserve">NO.1.17 Implementar el proyecto de Normas por internet </v>
          </cell>
        </row>
        <row r="49">
          <cell r="B49" t="str">
            <v>EV.2.1 Elaborar los programas de auditoría, para TCP y TCS</v>
          </cell>
        </row>
        <row r="50">
          <cell r="B50" t="str">
            <v>EV.2.2 Aprobación del programa  TCP y TCS</v>
          </cell>
        </row>
        <row r="51">
          <cell r="B51" t="str">
            <v>EV.2.3 Ejecutar  el programa de auditoría de TCS</v>
          </cell>
        </row>
        <row r="52">
          <cell r="B52" t="str">
            <v>EV.2.4 Ejecutar  el programa de auditoría de TCP</v>
          </cell>
        </row>
        <row r="53">
          <cell r="B53" t="str">
            <v>EV.2.5 Atender las solicitudes requeridas para inspección</v>
          </cell>
        </row>
        <row r="54">
          <cell r="B54" t="str">
            <v>EV.2.6 Capacitación en la ISO 17065</v>
          </cell>
        </row>
        <row r="55">
          <cell r="B55" t="str">
            <v>EV.2.7 Capacitación en la ISO 9001:2015</v>
          </cell>
        </row>
        <row r="56">
          <cell r="B56" t="str">
            <v>EV.2.8 Atender las solicitudes requeridas para Ensayos</v>
          </cell>
        </row>
        <row r="57">
          <cell r="B57" t="str">
            <v>EV.2.9 Elaborar un programa de calificacion de auditores/inspectores</v>
          </cell>
        </row>
        <row r="58">
          <cell r="B58" t="str">
            <v>EV.2.10 Calificación de Auditores TCS</v>
          </cell>
        </row>
        <row r="59">
          <cell r="B59" t="str">
            <v>EV.2.11 Calificación de Expertos técnicos  TCS</v>
          </cell>
        </row>
        <row r="60">
          <cell r="B60" t="str">
            <v>EV.2.12 Calificación de Auditores TCP</v>
          </cell>
        </row>
        <row r="61">
          <cell r="B61" t="str">
            <v>EV.2.13 Calificación de Expertos tecnicos  TCP</v>
          </cell>
        </row>
        <row r="62">
          <cell r="B62" t="str">
            <v>EV.2.14 Calificación de Inspectores técnicos  en diferentes áreas OI</v>
          </cell>
        </row>
        <row r="63">
          <cell r="B63" t="str">
            <v>EV.2.15 Incrementar la satisfaccion del cliente de TCP</v>
          </cell>
        </row>
        <row r="64">
          <cell r="B64" t="str">
            <v>EV.2.16 Incrementar la satisfaccion del cliente de TCS</v>
          </cell>
        </row>
        <row r="65">
          <cell r="B65" t="str">
            <v>EV.2.17 Implementar mecanismos de medicion de satisfaccion del cliente para TLQ</v>
          </cell>
        </row>
        <row r="66">
          <cell r="B66" t="str">
            <v>EV.2.18 Implementar mecanismos de medicion de satisfaccion del cliente para OI</v>
          </cell>
        </row>
        <row r="67">
          <cell r="B67" t="str">
            <v>EV.2.19 Implementar nueva tecnologia para nuevo servicio de TLQ (microbiologia)</v>
          </cell>
        </row>
        <row r="68">
          <cell r="B68" t="str">
            <v>EV.2.20 Reducir el plazo entre el servicio realizado y la cancelacion correspondiente (para todos los servicios)</v>
          </cell>
        </row>
        <row r="69">
          <cell r="B69" t="str">
            <v>EV.2.21 Definir procesos diferenciados por pago a credito y al contado (para todos los servicios)</v>
          </cell>
        </row>
        <row r="70">
          <cell r="B70" t="str">
            <v>EV.2.22 Establecer convenios con clientes grandes</v>
          </cell>
        </row>
        <row r="71">
          <cell r="B71" t="str">
            <v>EV.2.23 Revision de los procesos</v>
          </cell>
        </row>
        <row r="72">
          <cell r="B72" t="str">
            <v>EV.2.24 Planteamiento de propuestas (proyectos)</v>
          </cell>
        </row>
        <row r="73">
          <cell r="B73" t="str">
            <v>CP.3.1 Desarrollar un Plan de capacitación Regional</v>
          </cell>
        </row>
        <row r="74">
          <cell r="B74" t="str">
            <v>CP.3.2 Actualización de programas de ESG</v>
          </cell>
        </row>
        <row r="75">
          <cell r="B75" t="str">
            <v>CP.3.3 Difundir los cursos de acuerdo al plan comercial</v>
          </cell>
        </row>
        <row r="76">
          <cell r="B76" t="str">
            <v>CP.3.4 Elaborar proyecto de acreditación para dar curso de auditor IRCA</v>
          </cell>
        </row>
        <row r="77">
          <cell r="B77" t="str">
            <v>CP.3.5 Conseguir la Resolución ministerial para  mayor aval de los  certificados</v>
          </cell>
        </row>
        <row r="78">
          <cell r="B78" t="str">
            <v>CP.3.6 Realizar sondeo de necesidades de capacitación</v>
          </cell>
        </row>
        <row r="79">
          <cell r="B79" t="str">
            <v>CP.3.7 Segmentar el mercado para dar cursos especializados</v>
          </cell>
        </row>
        <row r="80">
          <cell r="B80" t="str">
            <v>CP.3.8 Potenciar cursos  con el sector Público</v>
          </cell>
        </row>
        <row r="81">
          <cell r="B81" t="str">
            <v>CP.3.9 Calificación de docentes</v>
          </cell>
        </row>
        <row r="82">
          <cell r="B82" t="str">
            <v>CP.3.10 Capacitar personal técnico con la NSC para generar nuevos cursos</v>
          </cell>
        </row>
        <row r="83">
          <cell r="B83" t="str">
            <v>CP.3.11 Generar nuevos mecanismos de evaluación del docente</v>
          </cell>
        </row>
        <row r="84">
          <cell r="B84" t="str">
            <v>CP.3.12 Fidelización de docentes.</v>
          </cell>
        </row>
        <row r="85">
          <cell r="B85" t="str">
            <v>CP.3.13 Convocatoria a docentes externos</v>
          </cell>
        </row>
        <row r="86">
          <cell r="B86" t="str">
            <v>CP.3.14 Contratar al docente</v>
          </cell>
        </row>
        <row r="87">
          <cell r="B87" t="str">
            <v>CP.3.15 Promocionar el curso</v>
          </cell>
        </row>
        <row r="88">
          <cell r="B88" t="str">
            <v>CP.3.16 Inscripción de los alumnos</v>
          </cell>
        </row>
        <row r="89">
          <cell r="B89" t="str">
            <v>CP.3.17 Ejecución del curso</v>
          </cell>
        </row>
        <row r="90">
          <cell r="B90" t="str">
            <v>CP.3.18 Evaluación del curso</v>
          </cell>
        </row>
        <row r="91">
          <cell r="B91" t="str">
            <v>CP.3.19 Mejora Continua</v>
          </cell>
        </row>
        <row r="92">
          <cell r="B92" t="str">
            <v>CP.3.20 Otros</v>
          </cell>
        </row>
      </sheetData>
      <sheetData sheetId="9">
        <row r="4">
          <cell r="B4" t="str">
            <v>Freddy Rocha Orosco</v>
          </cell>
        </row>
        <row r="5">
          <cell r="B5" t="str">
            <v xml:space="preserve">Jose Larrea Laguna </v>
          </cell>
          <cell r="N5" t="str">
            <v>Almoadilla para pizarra</v>
          </cell>
          <cell r="T5" t="str">
            <v xml:space="preserve">LA PAZ - SANTA CRUZ - LA PAZ </v>
          </cell>
        </row>
        <row r="6">
          <cell r="B6" t="str">
            <v>Rocio Mallea Ortiz</v>
          </cell>
          <cell r="N6" t="str">
            <v xml:space="preserve">Archivador de Palanca </v>
          </cell>
          <cell r="T6" t="str">
            <v xml:space="preserve">LA PAZ - COCHABAMABA- LA PAZ </v>
          </cell>
        </row>
        <row r="7">
          <cell r="B7" t="str">
            <v>Maria Ichuta Triguero</v>
          </cell>
          <cell r="N7" t="str">
            <v>Archivador de Palanca medio oficio</v>
          </cell>
          <cell r="T7" t="str">
            <v xml:space="preserve">LA PAZ - SUCRE - LA PAZ </v>
          </cell>
        </row>
        <row r="8">
          <cell r="B8" t="str">
            <v>Maria Teresa Cuba</v>
          </cell>
          <cell r="N8" t="str">
            <v>Base metálico para exfoliador</v>
          </cell>
          <cell r="T8" t="str">
            <v xml:space="preserve">LA PAZ - TARIJA - LA PAZ </v>
          </cell>
        </row>
        <row r="9">
          <cell r="B9" t="str">
            <v xml:space="preserve">Acefalo Informatica </v>
          </cell>
          <cell r="N9" t="str">
            <v>Base de escritorio</v>
          </cell>
          <cell r="T9" t="str">
            <v xml:space="preserve">LA PAZ - COBIJA - LA PAZ </v>
          </cell>
        </row>
        <row r="10">
          <cell r="B10">
            <v>0</v>
          </cell>
          <cell r="N10" t="str">
            <v>Block de sabana rayado</v>
          </cell>
          <cell r="T10" t="str">
            <v xml:space="preserve">LA PAZ - ORURO - LA PAZ </v>
          </cell>
        </row>
        <row r="11">
          <cell r="N11" t="str">
            <v xml:space="preserve">Bolígrafos azules </v>
          </cell>
          <cell r="T11" t="str">
            <v xml:space="preserve">LA PAZ - POTOSI - LA PAZ </v>
          </cell>
        </row>
        <row r="12">
          <cell r="N12" t="str">
            <v xml:space="preserve">Bolígrafos negros </v>
          </cell>
        </row>
        <row r="13">
          <cell r="N13" t="str">
            <v xml:space="preserve">Bolígrafos rojos </v>
          </cell>
        </row>
        <row r="14">
          <cell r="N14" t="str">
            <v>Bolígrafo verde</v>
          </cell>
        </row>
        <row r="15">
          <cell r="N15" t="str">
            <v>Calculadora</v>
          </cell>
        </row>
        <row r="16">
          <cell r="N16" t="str">
            <v>Calculadora con winchadora</v>
          </cell>
        </row>
        <row r="17">
          <cell r="N17" t="str">
            <v xml:space="preserve">Canastillo </v>
          </cell>
        </row>
        <row r="18">
          <cell r="N18" t="str">
            <v xml:space="preserve">Carbónicos </v>
          </cell>
        </row>
        <row r="19">
          <cell r="N19" t="str">
            <v>Cartapacio A4</v>
          </cell>
        </row>
        <row r="20">
          <cell r="N20" t="str">
            <v>Casete p/grabadora 60 min</v>
          </cell>
          <cell r="T20" t="str">
            <v xml:space="preserve">HOTEL CASTELLON </v>
          </cell>
        </row>
        <row r="21">
          <cell r="N21" t="str">
            <v xml:space="preserve">CD's </v>
          </cell>
          <cell r="T21" t="str">
            <v>HOTEL ROYAL</v>
          </cell>
        </row>
        <row r="22">
          <cell r="N22" t="str">
            <v>Cinta aislante</v>
          </cell>
          <cell r="T22" t="str">
            <v>HOTEL REGINA</v>
          </cell>
        </row>
        <row r="23">
          <cell r="N23" t="str">
            <v xml:space="preserve">Cinta de Embalaje </v>
          </cell>
          <cell r="T23" t="str">
            <v xml:space="preserve">HOTEL KOLPING </v>
          </cell>
        </row>
        <row r="24">
          <cell r="N24" t="str">
            <v>Cinta masking</v>
          </cell>
          <cell r="T24" t="str">
            <v xml:space="preserve">HOTEL SUCRE </v>
          </cell>
        </row>
        <row r="25">
          <cell r="N25" t="str">
            <v xml:space="preserve">Cinta p/máquina de escribir </v>
          </cell>
          <cell r="T25" t="str">
            <v>HOTEL TUKUS</v>
          </cell>
        </row>
        <row r="26">
          <cell r="N26" t="str">
            <v>Cinta para impresora Epson LQ 570</v>
          </cell>
          <cell r="T26" t="str">
            <v xml:space="preserve">HOTEL TARIJA  </v>
          </cell>
        </row>
        <row r="27">
          <cell r="N27" t="str">
            <v>Clip 77 mm.</v>
          </cell>
        </row>
        <row r="28">
          <cell r="N28" t="str">
            <v>Clip Nª 111 (sujetador de papel)</v>
          </cell>
        </row>
        <row r="29">
          <cell r="N29" t="str">
            <v>Clips N°03</v>
          </cell>
        </row>
        <row r="30">
          <cell r="N30" t="str">
            <v>Clips N°08</v>
          </cell>
        </row>
        <row r="31">
          <cell r="N31" t="str">
            <v>Corrector líquido</v>
          </cell>
        </row>
        <row r="32">
          <cell r="N32" t="str">
            <v>Cuaderno empastado pequeño</v>
          </cell>
        </row>
        <row r="33">
          <cell r="N33" t="str">
            <v xml:space="preserve">Cuaderno espiral 200 hojas </v>
          </cell>
        </row>
        <row r="34">
          <cell r="N34" t="str">
            <v xml:space="preserve">Cuaderno espiral 100 hojas </v>
          </cell>
          <cell r="T34" t="str">
            <v>LA PAZ - SANTA CRUZ</v>
          </cell>
        </row>
        <row r="35">
          <cell r="N35" t="str">
            <v>Cuaderno espiral 100 hojas t/oficio</v>
          </cell>
          <cell r="T35" t="str">
            <v xml:space="preserve">LA PAZ - COCHABAMBA </v>
          </cell>
        </row>
        <row r="36">
          <cell r="N36" t="str">
            <v>Cuaderno espiral t/carta</v>
          </cell>
          <cell r="T36" t="str">
            <v xml:space="preserve">LA PAZ   - SUCRE </v>
          </cell>
        </row>
        <row r="37">
          <cell r="N37" t="str">
            <v xml:space="preserve">Disquetes </v>
          </cell>
          <cell r="T37" t="str">
            <v>LA PAZ - TARIJA</v>
          </cell>
        </row>
        <row r="38">
          <cell r="N38" t="str">
            <v>Diurex pequeños</v>
          </cell>
          <cell r="T38" t="str">
            <v xml:space="preserve">LA PAZ - POTOSI </v>
          </cell>
        </row>
        <row r="39">
          <cell r="N39" t="str">
            <v>DVD 4X 4,7 GB</v>
          </cell>
          <cell r="T39" t="str">
            <v xml:space="preserve">LA PAZ  - ORURO </v>
          </cell>
        </row>
        <row r="40">
          <cell r="N40" t="str">
            <v>Engrapadora</v>
          </cell>
          <cell r="T40">
            <v>0</v>
          </cell>
        </row>
        <row r="41">
          <cell r="N41" t="str">
            <v>Engrapadora grande semi-ind.</v>
          </cell>
        </row>
        <row r="42">
          <cell r="N42" t="str">
            <v xml:space="preserve"> Escuadras de 45 y 60 grados</v>
          </cell>
        </row>
        <row r="43">
          <cell r="N43" t="str">
            <v>Estilete</v>
          </cell>
        </row>
        <row r="44">
          <cell r="N44" t="str">
            <v>Esponja para humedecer dedos</v>
          </cell>
        </row>
        <row r="45">
          <cell r="N45" t="str">
            <v>Etiquetas Grandes 0.75*12.7cm.</v>
          </cell>
          <cell r="T45" t="str">
            <v>LA PAZ -  SANTA CRUZ - LA PAZ</v>
          </cell>
        </row>
        <row r="46">
          <cell r="N46" t="str">
            <v xml:space="preserve">Etiquetas pequeñas sin uso </v>
          </cell>
          <cell r="T46" t="str">
            <v xml:space="preserve">LA PAZ - COCHABAMBA - LA PAZ </v>
          </cell>
        </row>
        <row r="47">
          <cell r="N47" t="str">
            <v>Etiquetas medianas 3.6*10.2cm.</v>
          </cell>
          <cell r="T47" t="str">
            <v xml:space="preserve">LA PAZ - SUCRE - LA PAZ </v>
          </cell>
        </row>
        <row r="48">
          <cell r="N48" t="str">
            <v xml:space="preserve">Etiquetas verdes </v>
          </cell>
          <cell r="T48" t="str">
            <v xml:space="preserve">LA PAZ  - TARIJA - LA PAZ </v>
          </cell>
        </row>
        <row r="49">
          <cell r="N49" t="str">
            <v xml:space="preserve">Extraegrapas </v>
          </cell>
          <cell r="T49" t="str">
            <v xml:space="preserve">LA PAZ - COBIJA - LA PAZ </v>
          </cell>
        </row>
        <row r="50">
          <cell r="N50" t="str">
            <v>Fasteners</v>
          </cell>
          <cell r="T50" t="str">
            <v xml:space="preserve">LA PAZ - ORURO - LA PAZ </v>
          </cell>
        </row>
        <row r="51">
          <cell r="N51" t="str">
            <v xml:space="preserve">Folders </v>
          </cell>
          <cell r="T51">
            <v>0</v>
          </cell>
        </row>
        <row r="52">
          <cell r="N52" t="str">
            <v>Folders con barilla</v>
          </cell>
        </row>
        <row r="53">
          <cell r="N53" t="str">
            <v>Fundas transparentes</v>
          </cell>
        </row>
        <row r="54">
          <cell r="N54" t="str">
            <v>Fundas transparentes</v>
          </cell>
        </row>
        <row r="55">
          <cell r="N55" t="str">
            <v xml:space="preserve">Gomas de tinta </v>
          </cell>
        </row>
        <row r="56">
          <cell r="N56" t="str">
            <v>Grapas 23/8</v>
          </cell>
          <cell r="T56" t="str">
            <v xml:space="preserve">Cuotas ISO, Copant,Mercusor </v>
          </cell>
        </row>
        <row r="57">
          <cell r="N57" t="str">
            <v>Grapas 23/15</v>
          </cell>
        </row>
        <row r="58">
          <cell r="N58" t="str">
            <v>Grapas 23/13</v>
          </cell>
        </row>
        <row r="59">
          <cell r="N59" t="str">
            <v>Grapas 23/10</v>
          </cell>
        </row>
        <row r="60">
          <cell r="N60" t="str">
            <v>Grapas 24/6</v>
          </cell>
        </row>
        <row r="61">
          <cell r="N61" t="str">
            <v>Grapas 26/6</v>
          </cell>
        </row>
        <row r="62">
          <cell r="N62" t="str">
            <v>Hojas de colores</v>
          </cell>
        </row>
        <row r="63">
          <cell r="N63" t="str">
            <v>Hojas papel copia</v>
          </cell>
        </row>
        <row r="64">
          <cell r="N64" t="str">
            <v>Hojas papel Sábana</v>
          </cell>
        </row>
        <row r="65">
          <cell r="N65" t="str">
            <v>Hojas Tamaño A4</v>
          </cell>
        </row>
        <row r="66">
          <cell r="N66" t="str">
            <v xml:space="preserve">Hojas Tamaño carta </v>
          </cell>
        </row>
        <row r="67">
          <cell r="N67" t="str">
            <v xml:space="preserve">Hojas Tamaño oficio </v>
          </cell>
        </row>
        <row r="68">
          <cell r="N68" t="str">
            <v>Lapiz amarillo</v>
          </cell>
        </row>
        <row r="69">
          <cell r="N69" t="str">
            <v>Lapiz de colores</v>
          </cell>
        </row>
        <row r="70">
          <cell r="N70" t="str">
            <v xml:space="preserve">Lapíz Goma </v>
          </cell>
        </row>
        <row r="71">
          <cell r="N71" t="str">
            <v>Lápiz negro</v>
          </cell>
        </row>
        <row r="72">
          <cell r="N72" t="str">
            <v>Lápiz rojo</v>
          </cell>
        </row>
        <row r="73">
          <cell r="N73" t="str">
            <v>Libro de actas</v>
          </cell>
        </row>
        <row r="74">
          <cell r="N74" t="str">
            <v>Ligas</v>
          </cell>
        </row>
        <row r="75">
          <cell r="N75" t="str">
            <v>Marcador acrilico</v>
          </cell>
        </row>
        <row r="76">
          <cell r="N76" t="str">
            <v>Marcador para transparencias</v>
          </cell>
        </row>
        <row r="77">
          <cell r="N77" t="str">
            <v>Marcador permanente</v>
          </cell>
        </row>
        <row r="78">
          <cell r="N78" t="str">
            <v>Marcadores delgados negros - azul</v>
          </cell>
        </row>
        <row r="79">
          <cell r="N79" t="str">
            <v>Micropuntas Azul - Rojo - Negro</v>
          </cell>
        </row>
        <row r="80">
          <cell r="N80" t="str">
            <v>Minas para lapiz</v>
          </cell>
        </row>
        <row r="81">
          <cell r="N81" t="str">
            <v xml:space="preserve">Naylon para forrar </v>
          </cell>
        </row>
        <row r="82">
          <cell r="N82" t="str">
            <v>Organizador para escritorio</v>
          </cell>
        </row>
        <row r="83">
          <cell r="N83" t="str">
            <v>Papel kraft 125x81,5 cm.</v>
          </cell>
        </row>
        <row r="84">
          <cell r="N84" t="str">
            <v>Papel lustroso</v>
          </cell>
        </row>
        <row r="85">
          <cell r="N85" t="str">
            <v xml:space="preserve">Papel Madera </v>
          </cell>
        </row>
        <row r="86">
          <cell r="N86" t="str">
            <v>Papel para calculadora</v>
          </cell>
        </row>
        <row r="87">
          <cell r="N87" t="str">
            <v>Papel para Fax</v>
          </cell>
        </row>
        <row r="88">
          <cell r="N88" t="str">
            <v>Pegamento UHU</v>
          </cell>
        </row>
        <row r="89">
          <cell r="N89" t="str">
            <v>Pegamento Silicona líquida</v>
          </cell>
        </row>
        <row r="90">
          <cell r="N90" t="str">
            <v>Pegamento carpicola</v>
          </cell>
        </row>
        <row r="91">
          <cell r="N91" t="str">
            <v xml:space="preserve">Perforadora Grande </v>
          </cell>
        </row>
        <row r="92">
          <cell r="N92" t="str">
            <v>Pila alcalina AA 1,5 v</v>
          </cell>
        </row>
        <row r="93">
          <cell r="N93" t="str">
            <v>Pita P.N. algodón Bla. Ovillo</v>
          </cell>
        </row>
        <row r="94">
          <cell r="N94" t="str">
            <v>Porta Minas</v>
          </cell>
        </row>
        <row r="95">
          <cell r="N95" t="str">
            <v>Porta Clips</v>
          </cell>
        </row>
        <row r="96">
          <cell r="N96" t="str">
            <v>Porta Lapices</v>
          </cell>
        </row>
        <row r="97">
          <cell r="N97" t="str">
            <v>Porta Diurex</v>
          </cell>
        </row>
        <row r="98">
          <cell r="N98" t="str">
            <v>Post it de colores</v>
          </cell>
        </row>
        <row r="99">
          <cell r="N99" t="str">
            <v>Post-It</v>
          </cell>
        </row>
        <row r="100">
          <cell r="N100" t="str">
            <v>Post-it pequeño</v>
          </cell>
        </row>
        <row r="101">
          <cell r="N101" t="str">
            <v>Portadocumentos (Revisteros)</v>
          </cell>
        </row>
        <row r="102">
          <cell r="N102" t="str">
            <v>Portadocumentos (Arch.de folders)</v>
          </cell>
        </row>
        <row r="103">
          <cell r="N103" t="str">
            <v>Protector de pantalla (filtro) 14¨</v>
          </cell>
        </row>
        <row r="104">
          <cell r="N104" t="str">
            <v>Protector de pantalla (filtro) 17¨</v>
          </cell>
        </row>
        <row r="105">
          <cell r="N105" t="str">
            <v>Recargador de Catrigde BC-02</v>
          </cell>
        </row>
        <row r="106">
          <cell r="N106" t="str">
            <v xml:space="preserve">Reglas </v>
          </cell>
        </row>
        <row r="107">
          <cell r="N107" t="str">
            <v>Reglas metálica</v>
          </cell>
        </row>
        <row r="108">
          <cell r="N108" t="str">
            <v xml:space="preserve">Resaltadores </v>
          </cell>
        </row>
        <row r="109">
          <cell r="N109" t="str">
            <v xml:space="preserve">Separadores </v>
          </cell>
        </row>
        <row r="110">
          <cell r="N110" t="str">
            <v xml:space="preserve">Separadores 10 </v>
          </cell>
        </row>
        <row r="111">
          <cell r="N111" t="str">
            <v>Separadores Gaveteros</v>
          </cell>
        </row>
        <row r="112">
          <cell r="N112" t="str">
            <v xml:space="preserve">Sobre blanco t/oficio </v>
          </cell>
        </row>
        <row r="113">
          <cell r="N113" t="str">
            <v>Sobres manila tamaño extra oficio</v>
          </cell>
        </row>
        <row r="114">
          <cell r="N114" t="str">
            <v xml:space="preserve">Sobres manila tamaño medio oficio </v>
          </cell>
        </row>
        <row r="115">
          <cell r="N115" t="str">
            <v>Sobres manila tamaño oficio</v>
          </cell>
        </row>
        <row r="116">
          <cell r="N116" t="str">
            <v>Tablero de carton prensado</v>
          </cell>
        </row>
        <row r="117">
          <cell r="N117" t="str">
            <v>Tacos p/exfoliador</v>
          </cell>
        </row>
        <row r="118">
          <cell r="N118" t="str">
            <v xml:space="preserve">Tajador para escritorio </v>
          </cell>
        </row>
        <row r="119">
          <cell r="N119" t="str">
            <v xml:space="preserve">Tajadores metálicos </v>
          </cell>
        </row>
        <row r="120">
          <cell r="N120" t="str">
            <v xml:space="preserve">Tampo rojo y azul </v>
          </cell>
        </row>
        <row r="121">
          <cell r="N121" t="str">
            <v>Tarjetero</v>
          </cell>
        </row>
        <row r="122">
          <cell r="N122" t="str">
            <v>Tijeras</v>
          </cell>
        </row>
        <row r="123">
          <cell r="N123" t="str">
            <v xml:space="preserve">Tinta para tampo </v>
          </cell>
        </row>
        <row r="124">
          <cell r="N124" t="str">
            <v xml:space="preserve">Transparencias </v>
          </cell>
        </row>
        <row r="125">
          <cell r="N125" t="str">
            <v>Tonner Laser 4050 N - HP4127X</v>
          </cell>
        </row>
        <row r="126">
          <cell r="N126" t="str">
            <v>Tonner Laser  HP 1300 13A</v>
          </cell>
        </row>
        <row r="127">
          <cell r="N127" t="str">
            <v>Tonner Laser   HP 1015 12A</v>
          </cell>
        </row>
        <row r="128">
          <cell r="N128" t="str">
            <v>Tonner Laser   HP 1160 49A</v>
          </cell>
        </row>
        <row r="129">
          <cell r="N129" t="str">
            <v>Tonner Laser HP 35A</v>
          </cell>
        </row>
        <row r="130">
          <cell r="N130" t="str">
            <v>Tonner Laser HP 280A</v>
          </cell>
        </row>
        <row r="131">
          <cell r="N131" t="str">
            <v xml:space="preserve">Tonner para fotocopiadora </v>
          </cell>
        </row>
        <row r="132">
          <cell r="N132" t="str">
            <v xml:space="preserve">Transparencias </v>
          </cell>
        </row>
        <row r="133">
          <cell r="N133">
            <v>0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5">
          <cell r="B35" t="str">
            <v xml:space="preserve">NO.1.1 Establecer una estrategia de fortalecimiento </v>
          </cell>
        </row>
        <row r="36">
          <cell r="B36" t="str">
            <v>NO.1.2 Establecimiento de una estrategia para definir los comites prioritarios (internacional y regional)</v>
          </cell>
        </row>
        <row r="37">
          <cell r="B37" t="str">
            <v>NO.1.3 Mejorar los mecanismos de identificación de los requerimientos institucionales</v>
          </cell>
        </row>
        <row r="38">
          <cell r="B38" t="str">
            <v>NO.1.4 Organizar reuniones con las diferentes partes interesadas</v>
          </cell>
        </row>
        <row r="39">
          <cell r="B39" t="str">
            <v>NO.1.5 Participación en reuniones</v>
          </cell>
        </row>
        <row r="40">
          <cell r="B40" t="str">
            <v>NO.1.6 Funcionamiento de comités espejo</v>
          </cell>
        </row>
        <row r="41">
          <cell r="B41" t="str">
            <v>NO.1.7 Generar foros de discusión</v>
          </cell>
        </row>
        <row r="42">
          <cell r="B42" t="str">
            <v>NO.1.8 Solicitar requerimientos a los sectores públicos y privados</v>
          </cell>
        </row>
        <row r="43">
          <cell r="B43" t="str">
            <v>NO.1.9 Retroalimentación interna</v>
          </cell>
        </row>
        <row r="44">
          <cell r="B44" t="str">
            <v xml:space="preserve">NO.1.10 Elaborar el PON </v>
          </cell>
        </row>
        <row r="45">
          <cell r="B45" t="str">
            <v>NO.1.11 Elaboración y aprobación de normas</v>
          </cell>
        </row>
        <row r="46">
          <cell r="B46" t="str">
            <v>NO.1.12 Formar unidades sectoriales</v>
          </cell>
        </row>
        <row r="47">
          <cell r="B47" t="str">
            <v>NO.1.13 Elaborar proyecto para Comites Virtuales (WEBEX)</v>
          </cell>
        </row>
        <row r="48">
          <cell r="B48" t="str">
            <v>NO.1.14 Elaborar y ejecutar un  programa de difusión de normas</v>
          </cell>
        </row>
        <row r="49">
          <cell r="B49" t="str">
            <v>NO.1.15 Mejorar la difusión de normas por medios electronico</v>
          </cell>
        </row>
        <row r="50">
          <cell r="B50" t="str">
            <v>NO.1.16 Elaborar proyecto de factibilidad para la compra o desarrollo del software de visualización de normas para venta en soporte digital o suscripción</v>
          </cell>
        </row>
        <row r="51">
          <cell r="B51" t="str">
            <v xml:space="preserve">NO.1.17 Implementar el proyecto de Normas por internet </v>
          </cell>
        </row>
        <row r="52">
          <cell r="B52" t="str">
            <v>EV.2.1 Elaborar los programas de auditoría, para TCP y TCS</v>
          </cell>
        </row>
        <row r="53">
          <cell r="B53" t="str">
            <v>EV.2.2 Aprobación del programa  TCP y TCS</v>
          </cell>
        </row>
        <row r="54">
          <cell r="B54" t="str">
            <v>EV.2.3 Ejecutar  el programa de auditoría de TCS</v>
          </cell>
        </row>
        <row r="55">
          <cell r="B55" t="str">
            <v>EV.2.4 Ejecutar  el programa de auditoría de TCP</v>
          </cell>
        </row>
        <row r="56">
          <cell r="B56" t="str">
            <v>EV.2.5 Atender las solicitudes requeridas para inspección</v>
          </cell>
        </row>
        <row r="57">
          <cell r="B57" t="str">
            <v>EV.2.6 Capacitación en la ISO 17065</v>
          </cell>
        </row>
        <row r="58">
          <cell r="B58" t="str">
            <v>EV.2.7 Capacitación en la ISO 9001:2015</v>
          </cell>
        </row>
        <row r="59">
          <cell r="B59" t="str">
            <v>EV.2.8 Atender las solicitudes requeridas para Ensayos</v>
          </cell>
        </row>
        <row r="60">
          <cell r="B60" t="str">
            <v>EV.2.9 Elaborar un programa de calificacion de auditores/inspectores</v>
          </cell>
        </row>
        <row r="61">
          <cell r="B61" t="str">
            <v>EV.2.10 Calificación de Auditores TCS</v>
          </cell>
        </row>
        <row r="62">
          <cell r="B62" t="str">
            <v>EV.2.11 Calificación de Expertos técnicos  TCS</v>
          </cell>
        </row>
        <row r="63">
          <cell r="B63" t="str">
            <v>EV.2.12 Calificación de Auditores TCP</v>
          </cell>
        </row>
        <row r="64">
          <cell r="B64" t="str">
            <v>EV.2.13 Calificación de Expertos tecnicos  TCP</v>
          </cell>
        </row>
        <row r="65">
          <cell r="B65" t="str">
            <v>EV.2.14 Calificación de Inspectores técnicos  en diferentes áreas OI</v>
          </cell>
        </row>
        <row r="66">
          <cell r="B66" t="str">
            <v>EV.2.15 Incrementar la satisfaccion del cliente de TCP</v>
          </cell>
        </row>
        <row r="67">
          <cell r="B67" t="str">
            <v>EV.2.16 Incrementar la satisfaccion del cliente de TCS</v>
          </cell>
        </row>
        <row r="68">
          <cell r="B68" t="str">
            <v>EV.2.17 Implementar mecanismos de medicion de satisfaccion del cliente para TLQ</v>
          </cell>
        </row>
        <row r="69">
          <cell r="B69" t="str">
            <v>EV.2.18 Implementar mecanismos de medicion de satisfaccion del cliente para OI</v>
          </cell>
        </row>
        <row r="70">
          <cell r="B70" t="str">
            <v>EV.2.19 Implementar nueva tecnologia para nuevo servicio de TLQ (microbiologia)</v>
          </cell>
        </row>
        <row r="71">
          <cell r="B71" t="str">
            <v>EV.2.20 Reducir el plazo entre el servicio realizado y la cancelacion correspondiente (para todos los servicios)</v>
          </cell>
        </row>
        <row r="72">
          <cell r="B72" t="str">
            <v>EV.2.21 Definir procesos diferenciados por pago a credito y al contado (para todos los servicios)</v>
          </cell>
        </row>
        <row r="73">
          <cell r="B73" t="str">
            <v>EV.2.22 Establecer convenios con clientes grandes</v>
          </cell>
        </row>
        <row r="74">
          <cell r="B74" t="str">
            <v>EV.2.23 Revision de los procesos</v>
          </cell>
        </row>
        <row r="75">
          <cell r="B75" t="str">
            <v>EV.2.24 Planteamiento de propuestas (proyectos)</v>
          </cell>
        </row>
        <row r="76">
          <cell r="B76" t="str">
            <v>CP.3.1 Desarrollar un Plan de capacitación Regional</v>
          </cell>
        </row>
        <row r="77">
          <cell r="B77" t="str">
            <v>CP.3.2 Actualización de programas de ESG</v>
          </cell>
        </row>
        <row r="78">
          <cell r="B78" t="str">
            <v>CP.3.3 Difundir los cursos de acuerdo al plan comercial</v>
          </cell>
        </row>
        <row r="79">
          <cell r="B79" t="str">
            <v>CP.3.4 Elaborar proyecto de acreditación para dar curso de auditor IRCA</v>
          </cell>
        </row>
        <row r="80">
          <cell r="B80" t="str">
            <v>CP.3.5 Conseguir la Resolución ministerial para  mayor aval de los  certificados</v>
          </cell>
        </row>
        <row r="81">
          <cell r="B81" t="str">
            <v>CP.3.6 Realizar sondeo de necesidades de capacitación</v>
          </cell>
        </row>
        <row r="82">
          <cell r="B82" t="str">
            <v>CP.3.7 Segmentar el mercado para dar cursos especializados</v>
          </cell>
        </row>
        <row r="83">
          <cell r="B83" t="str">
            <v>CP.3.8 Potenciar cursos  con el sector Público</v>
          </cell>
        </row>
        <row r="84">
          <cell r="B84" t="str">
            <v>CP.3.9 Calificación de docentes</v>
          </cell>
        </row>
        <row r="85">
          <cell r="B85" t="str">
            <v>CP.3.10 Capacitar personal técnico con la NSC para generar nuevos cursos</v>
          </cell>
        </row>
        <row r="86">
          <cell r="B86" t="str">
            <v>CP.3.11 Generar nuevos mecanismos de evaluación del docente</v>
          </cell>
        </row>
        <row r="87">
          <cell r="B87" t="str">
            <v>CP.3.12 Fidelización de docentes.</v>
          </cell>
        </row>
        <row r="88">
          <cell r="B88" t="str">
            <v>CP.3.13 Convocatoria a docentes externos</v>
          </cell>
        </row>
        <row r="89">
          <cell r="B89" t="str">
            <v>CP.3.14 Contratar al docente</v>
          </cell>
        </row>
        <row r="90">
          <cell r="B90" t="str">
            <v>CP.3.15 Promocionar el curso</v>
          </cell>
        </row>
        <row r="91">
          <cell r="B91" t="str">
            <v>CP.3.16 Inscripción de los alumnos</v>
          </cell>
        </row>
        <row r="92">
          <cell r="B92" t="str">
            <v>CP.3.17 Ejecución del curso</v>
          </cell>
        </row>
        <row r="93">
          <cell r="B93" t="str">
            <v>CP.3.18 Evaluación del curso</v>
          </cell>
        </row>
        <row r="94">
          <cell r="B94" t="str">
            <v>CP.3.19 Mejora Continua</v>
          </cell>
        </row>
        <row r="95">
          <cell r="B95" t="str">
            <v>CP.3.20 Otros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5">
          <cell r="B35" t="str">
            <v xml:space="preserve">NO.1.1 Establecer una estrategia de fortalecimiento </v>
          </cell>
        </row>
        <row r="36">
          <cell r="B36" t="str">
            <v>NO.1.2 Establecimiento de una estrategia para definir los comites prioritarios (internacional y regional)</v>
          </cell>
        </row>
        <row r="37">
          <cell r="B37" t="str">
            <v>NO.1.3 Mejorar los mecanismos de identificación de los requerimientos institucionales</v>
          </cell>
        </row>
        <row r="38">
          <cell r="B38" t="str">
            <v>NO.1.4 Organizar reuniones con las diferentes partes interesadas</v>
          </cell>
        </row>
        <row r="39">
          <cell r="B39" t="str">
            <v>NO.1.5 Participación en reuniones</v>
          </cell>
        </row>
        <row r="40">
          <cell r="B40" t="str">
            <v>NO.1.6 Funcionamiento de comités espejo</v>
          </cell>
        </row>
        <row r="41">
          <cell r="B41" t="str">
            <v>NO.1.7 Generar foros de discusión</v>
          </cell>
        </row>
        <row r="42">
          <cell r="B42" t="str">
            <v>NO.1.8 Solicitar requerimientos a los sectores públicos y privados</v>
          </cell>
        </row>
        <row r="43">
          <cell r="B43" t="str">
            <v>NO.1.9 Retroalimentación interna</v>
          </cell>
        </row>
        <row r="44">
          <cell r="B44" t="str">
            <v xml:space="preserve">NO.1.10 Elaborar el PON </v>
          </cell>
        </row>
        <row r="45">
          <cell r="B45" t="str">
            <v>NO.1.11 Elaboración y aprobación de normas</v>
          </cell>
        </row>
        <row r="46">
          <cell r="B46" t="str">
            <v>NO.1.12 Formar unidades sectoriales</v>
          </cell>
        </row>
        <row r="47">
          <cell r="B47" t="str">
            <v>NO.1.13 Elaborar proyecto para Comites Virtuales (WEBEX)</v>
          </cell>
        </row>
        <row r="48">
          <cell r="B48" t="str">
            <v>NO.1.14 Elaborar y ejecutar un  programa de difusión de normas</v>
          </cell>
        </row>
        <row r="49">
          <cell r="B49" t="str">
            <v>NO.1.15 Mejorar la difusión de normas por medios electronico</v>
          </cell>
        </row>
        <row r="50">
          <cell r="B50" t="str">
            <v>NO.1.16 Elaborar proyecto de factibilidad para la compra o desarrollo del software de visualización de normas para venta en soporte digital o suscripción</v>
          </cell>
        </row>
        <row r="51">
          <cell r="B51" t="str">
            <v xml:space="preserve">NO.1.17 Implementar el proyecto de Normas por internet </v>
          </cell>
        </row>
        <row r="52">
          <cell r="B52" t="str">
            <v>EV.2.1 Elaborar los programas de auditoría, para TCP y TCS</v>
          </cell>
        </row>
        <row r="53">
          <cell r="B53" t="str">
            <v>EV.2.2 Aprobación del programa  TCP y TCS</v>
          </cell>
        </row>
        <row r="54">
          <cell r="B54" t="str">
            <v>EV.2.3 Ejecutar  el programa de auditoría de TCS</v>
          </cell>
        </row>
        <row r="55">
          <cell r="B55" t="str">
            <v>EV.2.4 Ejecutar  el programa de auditoría de TCP</v>
          </cell>
        </row>
        <row r="56">
          <cell r="B56" t="str">
            <v>EV.2.5 Atender las solicitudes requeridas para inspección</v>
          </cell>
        </row>
        <row r="57">
          <cell r="B57" t="str">
            <v>EV.2.6 Capacitación en la ISO 17065</v>
          </cell>
        </row>
        <row r="58">
          <cell r="B58" t="str">
            <v>EV.2.7 Capacitación en la ISO 9001:2015</v>
          </cell>
        </row>
        <row r="59">
          <cell r="B59" t="str">
            <v>EV.2.8 Atender las solicitudes requeridas para Ensayos</v>
          </cell>
        </row>
        <row r="60">
          <cell r="B60" t="str">
            <v>EV.2.9 Elaborar un programa de calificacion de auditores/inspectores</v>
          </cell>
        </row>
        <row r="61">
          <cell r="B61" t="str">
            <v>EV.2.10 Calificación de Auditores TCS</v>
          </cell>
        </row>
        <row r="62">
          <cell r="B62" t="str">
            <v>EV.2.11 Calificación de Expertos técnicos  TCS</v>
          </cell>
        </row>
        <row r="63">
          <cell r="B63" t="str">
            <v>EV.2.12 Calificación de Auditores TCP</v>
          </cell>
        </row>
        <row r="64">
          <cell r="B64" t="str">
            <v>EV.2.13 Calificación de Expertos tecnicos  TCP</v>
          </cell>
        </row>
        <row r="65">
          <cell r="B65" t="str">
            <v>EV.2.14 Calificación de Inspectores técnicos  en diferentes áreas OI</v>
          </cell>
        </row>
        <row r="66">
          <cell r="B66" t="str">
            <v>EV.2.15 Incrementar la satisfaccion del cliente de TCP</v>
          </cell>
        </row>
        <row r="67">
          <cell r="B67" t="str">
            <v>EV.2.16 Incrementar la satisfaccion del cliente de TCS</v>
          </cell>
        </row>
        <row r="68">
          <cell r="B68" t="str">
            <v>EV.2.17 Implementar mecanismos de medicion de satisfaccion del cliente para TLQ</v>
          </cell>
        </row>
        <row r="69">
          <cell r="B69" t="str">
            <v>EV.2.18 Implementar mecanismos de medicion de satisfaccion del cliente para OI</v>
          </cell>
        </row>
        <row r="70">
          <cell r="B70" t="str">
            <v>EV.2.19 Implementar nueva tecnologia para nuevo servicio de TLQ (microbiologia)</v>
          </cell>
        </row>
        <row r="71">
          <cell r="B71" t="str">
            <v>EV.2.20 Reducir el plazo entre el servicio realizado y la cancelacion correspondiente (para todos los servicios)</v>
          </cell>
        </row>
        <row r="72">
          <cell r="B72" t="str">
            <v>EV.2.21 Definir procesos diferenciados por pago a credito y al contado (para todos los servicios)</v>
          </cell>
        </row>
        <row r="73">
          <cell r="B73" t="str">
            <v>EV.2.22 Establecer convenios con clientes grandes</v>
          </cell>
        </row>
        <row r="74">
          <cell r="B74" t="str">
            <v>EV.2.23 Revision de los procesos</v>
          </cell>
        </row>
        <row r="75">
          <cell r="B75" t="str">
            <v>EV.2.24 Planteamiento de propuestas (proyectos)</v>
          </cell>
        </row>
        <row r="76">
          <cell r="B76" t="str">
            <v>CP.3.1 Desarrollar un Plan de capacitación Regional</v>
          </cell>
        </row>
        <row r="77">
          <cell r="B77" t="str">
            <v>CP.3.2 Actualización de programas de ESG</v>
          </cell>
        </row>
        <row r="78">
          <cell r="B78" t="str">
            <v>CP.3.3 Difundir los cursos de acuerdo al plan comercial</v>
          </cell>
        </row>
        <row r="79">
          <cell r="B79" t="str">
            <v>CP.3.4 Elaborar proyecto de acreditación para dar curso de auditor IRCA</v>
          </cell>
        </row>
        <row r="80">
          <cell r="B80" t="str">
            <v>CP.3.5 Conseguir la Resolución ministerial para  mayor aval de los  certificados</v>
          </cell>
        </row>
        <row r="81">
          <cell r="B81" t="str">
            <v>CP.3.6 Realizar sondeo de necesidades de capacitación</v>
          </cell>
        </row>
        <row r="82">
          <cell r="B82" t="str">
            <v>CP.3.7 Segmentar el mercado para dar cursos especializados</v>
          </cell>
        </row>
        <row r="83">
          <cell r="B83" t="str">
            <v>CP.3.8 Potenciar cursos  con el sector Público</v>
          </cell>
        </row>
        <row r="84">
          <cell r="B84" t="str">
            <v>CP.3.9 Calificación de docentes</v>
          </cell>
        </row>
        <row r="85">
          <cell r="B85" t="str">
            <v>CP.3.10 Capacitar personal técnico con la NSC para generar nuevos cursos</v>
          </cell>
        </row>
        <row r="86">
          <cell r="B86" t="str">
            <v>CP.3.11 Generar nuevos mecanismos de evaluación del docente</v>
          </cell>
        </row>
        <row r="87">
          <cell r="B87" t="str">
            <v>CP.3.12 Fidelización de docentes.</v>
          </cell>
        </row>
        <row r="88">
          <cell r="B88" t="str">
            <v>CP.3.13 Convocatoria a docentes externos</v>
          </cell>
        </row>
        <row r="89">
          <cell r="B89" t="str">
            <v>CP.3.14 Contratar al docente</v>
          </cell>
        </row>
        <row r="90">
          <cell r="B90" t="str">
            <v>CP.3.15 Promocionar el curso</v>
          </cell>
        </row>
        <row r="91">
          <cell r="B91" t="str">
            <v>CP.3.16 Inscripción de los alumnos</v>
          </cell>
        </row>
        <row r="92">
          <cell r="B92" t="str">
            <v>CP.3.17 Ejecución del curso</v>
          </cell>
        </row>
        <row r="93">
          <cell r="B93" t="str">
            <v>CP.3.18 Evaluación del curso</v>
          </cell>
        </row>
        <row r="94">
          <cell r="B94" t="str">
            <v>CP.3.19 Mejora Continua</v>
          </cell>
        </row>
        <row r="95">
          <cell r="B95" t="str">
            <v>CP.3.20 Otros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 xml:space="preserve">Acefalo Comercial </v>
          </cell>
        </row>
        <row r="6">
          <cell r="B6" t="str">
            <v>Patricia Verónica Duran Facusse</v>
          </cell>
        </row>
        <row r="7">
          <cell r="B7" t="str">
            <v>Delcy Gabriela Nogales</v>
          </cell>
        </row>
        <row r="8">
          <cell r="B8" t="str">
            <v>Tatiana Zenteno Soliz</v>
          </cell>
        </row>
        <row r="9">
          <cell r="B9" t="str">
            <v xml:space="preserve">Acefalo Porfesional </v>
          </cell>
        </row>
        <row r="10">
          <cell r="B10" t="str">
            <v>Janeth Cayo Ayarde</v>
          </cell>
        </row>
        <row r="14">
          <cell r="B14" t="str">
            <v>XXXXXX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01"/>
      <sheetName val="Actividades 02"/>
      <sheetName val="rrhh 03"/>
      <sheetName val="materiales 04"/>
      <sheetName val="Pasajes y Viaticos 05"/>
      <sheetName val="Servicios 06"/>
      <sheetName val="PTTO 07"/>
      <sheetName val="Seguim Ejec 08"/>
      <sheetName val="PLAN ESTRAT 2015-2020 09"/>
      <sheetName val="PARAMETROS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 xml:space="preserve">Acefalo Comercial </v>
          </cell>
        </row>
        <row r="6">
          <cell r="B6" t="str">
            <v>Patricia Verónica Duran Facusse</v>
          </cell>
        </row>
        <row r="7">
          <cell r="B7" t="str">
            <v>Delcy Gabriela Nogales</v>
          </cell>
        </row>
        <row r="8">
          <cell r="B8" t="str">
            <v>Tatiana Zenteno Soliz</v>
          </cell>
        </row>
        <row r="9">
          <cell r="B9" t="str">
            <v xml:space="preserve">Acefalo Porfesional </v>
          </cell>
        </row>
        <row r="10">
          <cell r="B10" t="str">
            <v>Janeth Cayo Ayarde</v>
          </cell>
        </row>
        <row r="14">
          <cell r="B14" t="str">
            <v>XXXXXX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.1 (3)"/>
      <sheetName val="MOD.1 (2)"/>
      <sheetName val="SEC -RLP  (3)"/>
      <sheetName val="Hoja1"/>
      <sheetName val="MOD.1"/>
      <sheetName val="MOD.2"/>
      <sheetName val="MOD.3"/>
      <sheetName val="MOD.4"/>
      <sheetName val="MOD.5"/>
      <sheetName val="MOD.6"/>
      <sheetName val="RESUMEN"/>
    </sheetNames>
    <sheetDataSet>
      <sheetData sheetId="0"/>
      <sheetData sheetId="1"/>
      <sheetData sheetId="2">
        <row r="66">
          <cell r="P66">
            <v>1399.6383333333333</v>
          </cell>
        </row>
        <row r="69">
          <cell r="P69">
            <v>1203.2166666666667</v>
          </cell>
        </row>
        <row r="70">
          <cell r="P70">
            <v>1580.7441666666666</v>
          </cell>
        </row>
        <row r="72">
          <cell r="P72">
            <v>479.16666666666669</v>
          </cell>
        </row>
        <row r="76">
          <cell r="P76">
            <v>833.33333333333337</v>
          </cell>
        </row>
        <row r="77">
          <cell r="P77">
            <v>3636.2549999999997</v>
          </cell>
        </row>
        <row r="81">
          <cell r="P81">
            <v>873.5625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  <pageSetUpPr fitToPage="1"/>
  </sheetPr>
  <dimension ref="A1:P86"/>
  <sheetViews>
    <sheetView topLeftCell="A20" zoomScaleNormal="100" workbookViewId="0">
      <selection activeCell="B37" sqref="B37:C39"/>
    </sheetView>
  </sheetViews>
  <sheetFormatPr baseColWidth="10" defaultColWidth="11.42578125" defaultRowHeight="12.75" x14ac:dyDescent="0.2"/>
  <cols>
    <col min="1" max="1" width="4.5703125" style="1" bestFit="1" customWidth="1"/>
    <col min="2" max="2" width="30.85546875" style="1" bestFit="1" customWidth="1"/>
    <col min="3" max="3" width="22.5703125" style="1" customWidth="1"/>
    <col min="4" max="4" width="17.140625" style="1" bestFit="1" customWidth="1"/>
    <col min="5" max="5" width="13.7109375" style="1" customWidth="1"/>
    <col min="6" max="6" width="15.7109375" style="1" bestFit="1" customWidth="1"/>
    <col min="7" max="7" width="16.7109375" style="1" bestFit="1" customWidth="1"/>
    <col min="8" max="11" width="14.140625" style="1" customWidth="1"/>
    <col min="12" max="12" width="10.28515625" style="1" bestFit="1" customWidth="1"/>
    <col min="13" max="13" width="11.42578125" style="1" customWidth="1"/>
    <col min="14" max="14" width="19.28515625" style="1" customWidth="1"/>
    <col min="15" max="16384" width="11.42578125" style="1"/>
  </cols>
  <sheetData>
    <row r="1" spans="1:16" ht="12.75" customHeight="1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</row>
    <row r="2" spans="1:16" ht="12.75" customHeight="1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</row>
    <row r="3" spans="1:16" ht="12.75" customHeight="1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</row>
    <row r="4" spans="1:16" ht="12.75" customHeight="1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</row>
    <row r="5" spans="1:16" ht="12.75" customHeight="1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</row>
    <row r="6" spans="1:16" ht="12.75" customHeight="1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M6" s="2"/>
      <c r="N6" s="2"/>
      <c r="O6" s="2"/>
      <c r="P6" s="2"/>
    </row>
    <row r="7" spans="1:16" x14ac:dyDescent="0.2">
      <c r="D7" s="375" t="s">
        <v>26</v>
      </c>
      <c r="E7" s="375" t="s">
        <v>27</v>
      </c>
      <c r="F7" s="375" t="s">
        <v>53</v>
      </c>
      <c r="N7" s="16" t="s">
        <v>28</v>
      </c>
      <c r="O7" s="17"/>
      <c r="P7" s="2"/>
    </row>
    <row r="8" spans="1:16" x14ac:dyDescent="0.2">
      <c r="B8" s="376" t="s">
        <v>29</v>
      </c>
      <c r="C8" s="353" t="s">
        <v>30</v>
      </c>
      <c r="D8" s="371"/>
      <c r="E8" s="371">
        <v>2</v>
      </c>
      <c r="F8" s="371">
        <v>0.5</v>
      </c>
      <c r="G8" s="508">
        <f>+F8/$F$11</f>
        <v>0.2</v>
      </c>
      <c r="N8" s="16"/>
      <c r="O8" s="17"/>
      <c r="P8" s="2"/>
    </row>
    <row r="9" spans="1:16" x14ac:dyDescent="0.2">
      <c r="B9" s="1031" t="s">
        <v>5</v>
      </c>
      <c r="C9" s="354" t="s">
        <v>32</v>
      </c>
      <c r="D9" s="371">
        <f>3*12</f>
        <v>36</v>
      </c>
      <c r="E9" s="372">
        <f>+D9/12</f>
        <v>3</v>
      </c>
      <c r="F9" s="373">
        <v>1</v>
      </c>
      <c r="G9" s="508">
        <f>+F9/$F$11</f>
        <v>0.4</v>
      </c>
      <c r="N9" s="16" t="s">
        <v>33</v>
      </c>
      <c r="O9" s="17"/>
      <c r="P9" s="2"/>
    </row>
    <row r="10" spans="1:16" x14ac:dyDescent="0.2">
      <c r="B10" s="1031"/>
      <c r="C10" s="354" t="s">
        <v>34</v>
      </c>
      <c r="D10" s="370">
        <f>(2+2+2+6+4+1+2)*3</f>
        <v>57</v>
      </c>
      <c r="E10" s="372">
        <f>+D10/12</f>
        <v>4.75</v>
      </c>
      <c r="F10" s="373">
        <v>1</v>
      </c>
      <c r="G10" s="508">
        <f>+F10/$F$11</f>
        <v>0.4</v>
      </c>
      <c r="N10" s="16"/>
      <c r="O10" s="17"/>
      <c r="P10" s="2"/>
    </row>
    <row r="11" spans="1:16" s="30" customFormat="1" ht="13.5" thickBot="1" x14ac:dyDescent="0.25">
      <c r="A11" s="27"/>
      <c r="B11" s="31"/>
      <c r="D11" s="374">
        <f>SUM(D8:D10)</f>
        <v>93</v>
      </c>
      <c r="E11" s="374">
        <f t="shared" ref="E11" si="0">SUM(E8:E10)</f>
        <v>9.75</v>
      </c>
      <c r="F11" s="374">
        <f>SUM(F8:F10)</f>
        <v>2.5</v>
      </c>
      <c r="G11" s="507">
        <f t="shared" ref="G11" si="1">+F11/$F$11</f>
        <v>1</v>
      </c>
      <c r="N11" s="33"/>
      <c r="O11" s="33"/>
      <c r="P11" s="33"/>
    </row>
    <row r="12" spans="1:16" s="30" customFormat="1" ht="13.5" thickTop="1" x14ac:dyDescent="0.2">
      <c r="A12" s="27"/>
      <c r="B12" s="28"/>
      <c r="C12" s="29"/>
      <c r="E12" s="30">
        <f>+E11*10</f>
        <v>97.5</v>
      </c>
      <c r="F12" s="31"/>
      <c r="G12" s="31"/>
      <c r="I12" s="366"/>
      <c r="J12" s="366"/>
      <c r="K12" s="367"/>
      <c r="M12" s="33"/>
      <c r="N12" s="33"/>
      <c r="O12" s="33"/>
      <c r="P12" s="33"/>
    </row>
    <row r="13" spans="1:16" ht="15" customHeight="1" x14ac:dyDescent="0.2">
      <c r="A13" s="424"/>
      <c r="B13" s="1024" t="s">
        <v>36</v>
      </c>
      <c r="C13" s="1024"/>
      <c r="D13" s="1024"/>
      <c r="E13" s="1024"/>
      <c r="F13" s="1024"/>
      <c r="G13" s="1024"/>
      <c r="H13" s="1024"/>
      <c r="I13" s="1024"/>
      <c r="J13" s="1024"/>
      <c r="K13" s="1024"/>
      <c r="M13" s="2"/>
      <c r="N13" s="2"/>
      <c r="O13" s="2"/>
      <c r="P13" s="2"/>
    </row>
    <row r="14" spans="1:16" ht="13.5" thickBot="1" x14ac:dyDescent="0.25">
      <c r="B14" s="15"/>
      <c r="J14" s="37"/>
      <c r="M14" s="2"/>
      <c r="N14" s="2"/>
      <c r="O14" s="2"/>
      <c r="P14" s="2"/>
    </row>
    <row r="15" spans="1:16" s="38" customFormat="1" ht="27" customHeight="1" x14ac:dyDescent="0.2">
      <c r="B15" s="1032" t="s">
        <v>40</v>
      </c>
      <c r="C15" s="1033"/>
      <c r="D15" s="1036" t="s">
        <v>42</v>
      </c>
      <c r="E15" s="1033" t="s">
        <v>43</v>
      </c>
      <c r="F15" s="533" t="s">
        <v>418</v>
      </c>
      <c r="G15" s="1022" t="s">
        <v>428</v>
      </c>
      <c r="H15" s="1038" t="s">
        <v>46</v>
      </c>
      <c r="I15" s="1039"/>
      <c r="J15" s="1040" t="s">
        <v>47</v>
      </c>
      <c r="K15" s="1041"/>
    </row>
    <row r="16" spans="1:16" x14ac:dyDescent="0.2">
      <c r="B16" s="1034"/>
      <c r="C16" s="1035"/>
      <c r="D16" s="1037"/>
      <c r="E16" s="1035"/>
      <c r="F16" s="534" t="s">
        <v>48</v>
      </c>
      <c r="G16" s="1023"/>
      <c r="H16" s="519" t="s">
        <v>49</v>
      </c>
      <c r="I16" s="520" t="s">
        <v>48</v>
      </c>
      <c r="J16" s="519" t="s">
        <v>49</v>
      </c>
      <c r="K16" s="518" t="s">
        <v>48</v>
      </c>
    </row>
    <row r="17" spans="2:12" ht="13.5" thickBot="1" x14ac:dyDescent="0.25">
      <c r="B17" s="1025" t="s">
        <v>50</v>
      </c>
      <c r="C17" s="1026"/>
      <c r="D17" s="522"/>
      <c r="E17" s="47"/>
      <c r="F17" s="535"/>
      <c r="G17" s="47"/>
      <c r="H17" s="521"/>
      <c r="I17" s="522"/>
      <c r="J17" s="45"/>
      <c r="K17" s="47"/>
    </row>
    <row r="18" spans="2:12" s="31" customFormat="1" ht="18" customHeight="1" thickBot="1" x14ac:dyDescent="0.25">
      <c r="B18" s="1027" t="s">
        <v>51</v>
      </c>
      <c r="C18" s="1028"/>
      <c r="D18" s="546" t="e">
        <f>SUM(D19:D20)</f>
        <v>#REF!</v>
      </c>
      <c r="E18" s="416"/>
      <c r="F18" s="536" t="e">
        <f>+F19+F20</f>
        <v>#REF!</v>
      </c>
      <c r="G18" s="416"/>
      <c r="H18" s="417"/>
      <c r="I18" s="423" t="e">
        <f>SUM(I19:I20)</f>
        <v>#REF!</v>
      </c>
      <c r="J18" s="417"/>
      <c r="K18" s="416" t="e">
        <f>SUM(K19:K20)</f>
        <v>#REF!</v>
      </c>
    </row>
    <row r="19" spans="2:12" x14ac:dyDescent="0.2">
      <c r="B19" s="1029" t="s">
        <v>52</v>
      </c>
      <c r="C19" s="1030"/>
      <c r="D19" s="418" t="e">
        <f>+#REF!</f>
        <v>#REF!</v>
      </c>
      <c r="E19" s="350" t="s">
        <v>27</v>
      </c>
      <c r="F19" s="537" t="e">
        <f>+(D19/4)/$F$11</f>
        <v>#REF!</v>
      </c>
      <c r="G19" s="57" t="s">
        <v>53</v>
      </c>
      <c r="H19" s="59" t="s">
        <v>54</v>
      </c>
      <c r="I19" s="60" t="e">
        <f>IF($H19="S",F19,0)</f>
        <v>#REF!</v>
      </c>
      <c r="J19" s="59" t="s">
        <v>54</v>
      </c>
      <c r="K19" s="62" t="e">
        <f>IF($J19="S",F19,0)</f>
        <v>#REF!</v>
      </c>
      <c r="L19" s="148"/>
    </row>
    <row r="20" spans="2:12" ht="13.5" thickBot="1" x14ac:dyDescent="0.25">
      <c r="B20" s="1042" t="s">
        <v>55</v>
      </c>
      <c r="C20" s="1043"/>
      <c r="D20" s="419">
        <v>2535</v>
      </c>
      <c r="E20" s="351" t="s">
        <v>378</v>
      </c>
      <c r="F20" s="538">
        <f>+D20</f>
        <v>2535</v>
      </c>
      <c r="G20" s="351" t="s">
        <v>378</v>
      </c>
      <c r="H20" s="68" t="s">
        <v>54</v>
      </c>
      <c r="I20" s="60">
        <f>IF($H20="S",F20,0)</f>
        <v>2535</v>
      </c>
      <c r="J20" s="355" t="s">
        <v>54</v>
      </c>
      <c r="K20" s="70">
        <f>IF($J20="S",F20,0)</f>
        <v>2535</v>
      </c>
    </row>
    <row r="21" spans="2:12" s="31" customFormat="1" ht="18" customHeight="1" thickBot="1" x14ac:dyDescent="0.25">
      <c r="B21" s="1044" t="s">
        <v>58</v>
      </c>
      <c r="C21" s="1045"/>
      <c r="D21" s="546" t="e">
        <f>SUM(D22:D39)</f>
        <v>#REF!</v>
      </c>
      <c r="E21" s="416"/>
      <c r="F21" s="536" t="e">
        <f>SUM(F22:F39)</f>
        <v>#REF!</v>
      </c>
      <c r="G21" s="416"/>
      <c r="H21" s="417"/>
      <c r="I21" s="423" t="e">
        <f>SUM(I22:I39)</f>
        <v>#REF!</v>
      </c>
      <c r="J21" s="417"/>
      <c r="K21" s="416" t="e">
        <f>SUM(K22:K39)</f>
        <v>#REF!</v>
      </c>
    </row>
    <row r="22" spans="2:12" x14ac:dyDescent="0.2">
      <c r="B22" s="1050" t="e">
        <f>+#REF!</f>
        <v>#REF!</v>
      </c>
      <c r="C22" s="1051"/>
      <c r="D22" s="418" t="e">
        <f>+#REF!</f>
        <v>#REF!</v>
      </c>
      <c r="E22" s="350" t="s">
        <v>27</v>
      </c>
      <c r="F22" s="537" t="e">
        <f>+(D22/4)/$F$11</f>
        <v>#REF!</v>
      </c>
      <c r="G22" s="57" t="s">
        <v>53</v>
      </c>
      <c r="H22" s="59" t="s">
        <v>54</v>
      </c>
      <c r="I22" s="60" t="e">
        <f>IF($H22="S",F22,0)</f>
        <v>#REF!</v>
      </c>
      <c r="J22" s="78" t="s">
        <v>54</v>
      </c>
      <c r="K22" s="62" t="e">
        <f t="shared" ref="K22:K39" si="2">IF($J22="S",F22,0)</f>
        <v>#REF!</v>
      </c>
    </row>
    <row r="23" spans="2:12" x14ac:dyDescent="0.2">
      <c r="B23" s="986" t="e">
        <f>+#REF!</f>
        <v>#REF!</v>
      </c>
      <c r="C23" s="987"/>
      <c r="D23" s="418" t="e">
        <f>+#REF!</f>
        <v>#REF!</v>
      </c>
      <c r="E23" s="74" t="s">
        <v>56</v>
      </c>
      <c r="F23" s="537" t="e">
        <f t="shared" ref="F23:F39" si="3">+(D23/4)/$F$11</f>
        <v>#REF!</v>
      </c>
      <c r="G23" s="74" t="s">
        <v>56</v>
      </c>
      <c r="H23" s="358" t="s">
        <v>54</v>
      </c>
      <c r="I23" s="60" t="e">
        <f>IF($H23="S",F23,0)</f>
        <v>#REF!</v>
      </c>
      <c r="J23" s="78" t="s">
        <v>54</v>
      </c>
      <c r="K23" s="79" t="e">
        <f t="shared" si="2"/>
        <v>#REF!</v>
      </c>
    </row>
    <row r="24" spans="2:12" x14ac:dyDescent="0.2">
      <c r="B24" s="986" t="e">
        <f>+#REF!</f>
        <v>#REF!</v>
      </c>
      <c r="C24" s="987"/>
      <c r="D24" s="418" t="e">
        <f>+#REF!</f>
        <v>#REF!</v>
      </c>
      <c r="E24" s="352" t="s">
        <v>27</v>
      </c>
      <c r="F24" s="537" t="e">
        <f t="shared" si="3"/>
        <v>#REF!</v>
      </c>
      <c r="G24" s="57" t="s">
        <v>53</v>
      </c>
      <c r="H24" s="78" t="s">
        <v>54</v>
      </c>
      <c r="I24" s="60" t="e">
        <f t="shared" ref="I24:I39" si="4">IF($H24="S",F24,0)</f>
        <v>#REF!</v>
      </c>
      <c r="J24" s="78" t="s">
        <v>54</v>
      </c>
      <c r="K24" s="82" t="e">
        <f t="shared" si="2"/>
        <v>#REF!</v>
      </c>
    </row>
    <row r="25" spans="2:12" x14ac:dyDescent="0.2">
      <c r="B25" s="986" t="e">
        <f>+#REF!</f>
        <v>#REF!</v>
      </c>
      <c r="C25" s="987"/>
      <c r="D25" s="418" t="e">
        <f>+#REF!</f>
        <v>#REF!</v>
      </c>
      <c r="E25" s="352" t="s">
        <v>27</v>
      </c>
      <c r="F25" s="537" t="e">
        <f t="shared" si="3"/>
        <v>#REF!</v>
      </c>
      <c r="G25" s="57" t="s">
        <v>53</v>
      </c>
      <c r="H25" s="78" t="s">
        <v>54</v>
      </c>
      <c r="I25" s="60" t="e">
        <f t="shared" si="4"/>
        <v>#REF!</v>
      </c>
      <c r="J25" s="78" t="s">
        <v>54</v>
      </c>
      <c r="K25" s="82" t="e">
        <f t="shared" si="2"/>
        <v>#REF!</v>
      </c>
    </row>
    <row r="26" spans="2:12" x14ac:dyDescent="0.2">
      <c r="B26" s="986" t="e">
        <f>+#REF!</f>
        <v>#REF!</v>
      </c>
      <c r="C26" s="987"/>
      <c r="D26" s="418" t="e">
        <f>+#REF!</f>
        <v>#REF!</v>
      </c>
      <c r="E26" s="352" t="s">
        <v>27</v>
      </c>
      <c r="F26" s="537" t="e">
        <f t="shared" si="3"/>
        <v>#REF!</v>
      </c>
      <c r="G26" s="57" t="s">
        <v>53</v>
      </c>
      <c r="H26" s="78" t="s">
        <v>54</v>
      </c>
      <c r="I26" s="60" t="e">
        <f t="shared" si="4"/>
        <v>#REF!</v>
      </c>
      <c r="J26" s="78" t="s">
        <v>54</v>
      </c>
      <c r="K26" s="82" t="e">
        <f t="shared" si="2"/>
        <v>#REF!</v>
      </c>
    </row>
    <row r="27" spans="2:12" x14ac:dyDescent="0.2">
      <c r="B27" s="986" t="e">
        <f>+#REF!</f>
        <v>#REF!</v>
      </c>
      <c r="C27" s="987"/>
      <c r="D27" s="418" t="e">
        <f>+#REF!</f>
        <v>#REF!</v>
      </c>
      <c r="E27" s="352" t="s">
        <v>27</v>
      </c>
      <c r="F27" s="537" t="e">
        <f t="shared" si="3"/>
        <v>#REF!</v>
      </c>
      <c r="G27" s="57" t="s">
        <v>53</v>
      </c>
      <c r="H27" s="78" t="s">
        <v>54</v>
      </c>
      <c r="I27" s="60" t="e">
        <f t="shared" si="4"/>
        <v>#REF!</v>
      </c>
      <c r="J27" s="78" t="s">
        <v>54</v>
      </c>
      <c r="K27" s="82" t="e">
        <f t="shared" si="2"/>
        <v>#REF!</v>
      </c>
    </row>
    <row r="28" spans="2:12" x14ac:dyDescent="0.2">
      <c r="B28" s="1013" t="e">
        <f>+#REF!</f>
        <v>#REF!</v>
      </c>
      <c r="C28" s="1014"/>
      <c r="D28" s="509" t="e">
        <f>+#REF!</f>
        <v>#REF!</v>
      </c>
      <c r="E28" s="510" t="s">
        <v>27</v>
      </c>
      <c r="F28" s="539" t="e">
        <f t="shared" si="3"/>
        <v>#REF!</v>
      </c>
      <c r="G28" s="511" t="s">
        <v>53</v>
      </c>
      <c r="H28" s="512" t="s">
        <v>57</v>
      </c>
      <c r="I28" s="513">
        <f t="shared" si="4"/>
        <v>0</v>
      </c>
      <c r="J28" s="514" t="s">
        <v>54</v>
      </c>
      <c r="K28" s="515" t="e">
        <f t="shared" si="2"/>
        <v>#REF!</v>
      </c>
    </row>
    <row r="29" spans="2:12" x14ac:dyDescent="0.2">
      <c r="B29" s="986" t="e">
        <f>+#REF!</f>
        <v>#REF!</v>
      </c>
      <c r="C29" s="987"/>
      <c r="D29" s="418" t="e">
        <f>+#REF!</f>
        <v>#REF!</v>
      </c>
      <c r="E29" s="352" t="s">
        <v>27</v>
      </c>
      <c r="F29" s="537" t="e">
        <f t="shared" si="3"/>
        <v>#REF!</v>
      </c>
      <c r="G29" s="57" t="s">
        <v>53</v>
      </c>
      <c r="H29" s="78" t="s">
        <v>54</v>
      </c>
      <c r="I29" s="60" t="e">
        <f t="shared" si="4"/>
        <v>#REF!</v>
      </c>
      <c r="J29" s="78" t="s">
        <v>54</v>
      </c>
      <c r="K29" s="82" t="e">
        <f t="shared" si="2"/>
        <v>#REF!</v>
      </c>
    </row>
    <row r="30" spans="2:12" x14ac:dyDescent="0.2">
      <c r="B30" s="1013" t="e">
        <f>+#REF!</f>
        <v>#REF!</v>
      </c>
      <c r="C30" s="1014"/>
      <c r="D30" s="509" t="e">
        <f>+#REF!</f>
        <v>#REF!</v>
      </c>
      <c r="E30" s="510" t="s">
        <v>27</v>
      </c>
      <c r="F30" s="539" t="e">
        <f t="shared" si="3"/>
        <v>#REF!</v>
      </c>
      <c r="G30" s="511" t="s">
        <v>53</v>
      </c>
      <c r="H30" s="512" t="s">
        <v>57</v>
      </c>
      <c r="I30" s="513">
        <f t="shared" si="4"/>
        <v>0</v>
      </c>
      <c r="J30" s="512" t="s">
        <v>57</v>
      </c>
      <c r="K30" s="515">
        <f t="shared" si="2"/>
        <v>0</v>
      </c>
    </row>
    <row r="31" spans="2:12" x14ac:dyDescent="0.2">
      <c r="B31" s="986" t="e">
        <f>+#REF!</f>
        <v>#REF!</v>
      </c>
      <c r="C31" s="987"/>
      <c r="D31" s="418" t="e">
        <f>+#REF!</f>
        <v>#REF!</v>
      </c>
      <c r="E31" s="352" t="s">
        <v>27</v>
      </c>
      <c r="F31" s="537" t="e">
        <f t="shared" si="3"/>
        <v>#REF!</v>
      </c>
      <c r="G31" s="57" t="s">
        <v>53</v>
      </c>
      <c r="H31" s="78" t="s">
        <v>54</v>
      </c>
      <c r="I31" s="60" t="e">
        <f t="shared" si="4"/>
        <v>#REF!</v>
      </c>
      <c r="J31" s="78" t="s">
        <v>54</v>
      </c>
      <c r="K31" s="82" t="e">
        <f t="shared" si="2"/>
        <v>#REF!</v>
      </c>
    </row>
    <row r="32" spans="2:12" x14ac:dyDescent="0.2">
      <c r="B32" s="986" t="e">
        <f>+#REF!</f>
        <v>#REF!</v>
      </c>
      <c r="C32" s="987"/>
      <c r="D32" s="418" t="e">
        <f>+#REF!</f>
        <v>#REF!</v>
      </c>
      <c r="E32" s="352" t="s">
        <v>27</v>
      </c>
      <c r="F32" s="537" t="e">
        <f t="shared" si="3"/>
        <v>#REF!</v>
      </c>
      <c r="G32" s="57" t="s">
        <v>53</v>
      </c>
      <c r="H32" s="78" t="s">
        <v>54</v>
      </c>
      <c r="I32" s="60" t="e">
        <f t="shared" si="4"/>
        <v>#REF!</v>
      </c>
      <c r="J32" s="78" t="s">
        <v>54</v>
      </c>
      <c r="K32" s="82" t="e">
        <f t="shared" si="2"/>
        <v>#REF!</v>
      </c>
    </row>
    <row r="33" spans="2:11" x14ac:dyDescent="0.2">
      <c r="B33" s="986" t="e">
        <f>+#REF!</f>
        <v>#REF!</v>
      </c>
      <c r="C33" s="987"/>
      <c r="D33" s="418" t="e">
        <f>+#REF!</f>
        <v>#REF!</v>
      </c>
      <c r="E33" s="352" t="s">
        <v>27</v>
      </c>
      <c r="F33" s="537" t="e">
        <f t="shared" si="3"/>
        <v>#REF!</v>
      </c>
      <c r="G33" s="57" t="s">
        <v>53</v>
      </c>
      <c r="H33" s="78" t="s">
        <v>54</v>
      </c>
      <c r="I33" s="60" t="e">
        <f t="shared" si="4"/>
        <v>#REF!</v>
      </c>
      <c r="J33" s="78" t="s">
        <v>54</v>
      </c>
      <c r="K33" s="82" t="e">
        <f t="shared" si="2"/>
        <v>#REF!</v>
      </c>
    </row>
    <row r="34" spans="2:11" x14ac:dyDescent="0.2">
      <c r="B34" s="986" t="e">
        <f>+#REF!</f>
        <v>#REF!</v>
      </c>
      <c r="C34" s="987"/>
      <c r="D34" s="418" t="e">
        <f>+#REF!</f>
        <v>#REF!</v>
      </c>
      <c r="E34" s="352" t="s">
        <v>27</v>
      </c>
      <c r="F34" s="537" t="e">
        <f t="shared" si="3"/>
        <v>#REF!</v>
      </c>
      <c r="G34" s="57" t="s">
        <v>53</v>
      </c>
      <c r="H34" s="78" t="s">
        <v>54</v>
      </c>
      <c r="I34" s="60" t="e">
        <f t="shared" si="4"/>
        <v>#REF!</v>
      </c>
      <c r="J34" s="78" t="s">
        <v>54</v>
      </c>
      <c r="K34" s="82" t="e">
        <f t="shared" si="2"/>
        <v>#REF!</v>
      </c>
    </row>
    <row r="35" spans="2:11" x14ac:dyDescent="0.2">
      <c r="B35" s="986" t="e">
        <f>+#REF!</f>
        <v>#REF!</v>
      </c>
      <c r="C35" s="987"/>
      <c r="D35" s="418" t="e">
        <f>+#REF!</f>
        <v>#REF!</v>
      </c>
      <c r="E35" s="352" t="s">
        <v>27</v>
      </c>
      <c r="F35" s="537" t="e">
        <f t="shared" si="3"/>
        <v>#REF!</v>
      </c>
      <c r="G35" s="57" t="s">
        <v>53</v>
      </c>
      <c r="H35" s="78" t="s">
        <v>54</v>
      </c>
      <c r="I35" s="60" t="e">
        <f t="shared" si="4"/>
        <v>#REF!</v>
      </c>
      <c r="J35" s="78" t="s">
        <v>54</v>
      </c>
      <c r="K35" s="82" t="e">
        <f t="shared" si="2"/>
        <v>#REF!</v>
      </c>
    </row>
    <row r="36" spans="2:11" x14ac:dyDescent="0.2">
      <c r="B36" s="986" t="e">
        <f>+#REF!</f>
        <v>#REF!</v>
      </c>
      <c r="C36" s="987"/>
      <c r="D36" s="418" t="e">
        <f>+#REF!</f>
        <v>#REF!</v>
      </c>
      <c r="E36" s="352" t="s">
        <v>27</v>
      </c>
      <c r="F36" s="537" t="e">
        <f t="shared" si="3"/>
        <v>#REF!</v>
      </c>
      <c r="G36" s="57" t="s">
        <v>53</v>
      </c>
      <c r="H36" s="78" t="s">
        <v>54</v>
      </c>
      <c r="I36" s="60" t="e">
        <f t="shared" si="4"/>
        <v>#REF!</v>
      </c>
      <c r="J36" s="78" t="s">
        <v>54</v>
      </c>
      <c r="K36" s="82" t="e">
        <f t="shared" si="2"/>
        <v>#REF!</v>
      </c>
    </row>
    <row r="37" spans="2:11" x14ac:dyDescent="0.2">
      <c r="B37" s="1054" t="s">
        <v>65</v>
      </c>
      <c r="C37" s="1055"/>
      <c r="D37" s="516">
        <v>1500</v>
      </c>
      <c r="E37" s="517" t="s">
        <v>53</v>
      </c>
      <c r="F37" s="539">
        <f t="shared" si="3"/>
        <v>150</v>
      </c>
      <c r="G37" s="511" t="s">
        <v>53</v>
      </c>
      <c r="H37" s="512" t="s">
        <v>57</v>
      </c>
      <c r="I37" s="513">
        <f t="shared" si="4"/>
        <v>0</v>
      </c>
      <c r="J37" s="78" t="s">
        <v>54</v>
      </c>
      <c r="K37" s="82">
        <f t="shared" si="2"/>
        <v>150</v>
      </c>
    </row>
    <row r="38" spans="2:11" x14ac:dyDescent="0.2">
      <c r="B38" s="1006" t="s">
        <v>67</v>
      </c>
      <c r="C38" s="1007"/>
      <c r="D38" s="516">
        <f>143.68+275.86</f>
        <v>419.54</v>
      </c>
      <c r="E38" s="510" t="s">
        <v>379</v>
      </c>
      <c r="F38" s="539">
        <f t="shared" si="3"/>
        <v>41.954000000000001</v>
      </c>
      <c r="G38" s="511" t="s">
        <v>53</v>
      </c>
      <c r="H38" s="512" t="s">
        <v>57</v>
      </c>
      <c r="I38" s="513">
        <f t="shared" si="4"/>
        <v>0</v>
      </c>
      <c r="J38" s="78" t="s">
        <v>54</v>
      </c>
      <c r="K38" s="82">
        <f t="shared" si="2"/>
        <v>41.954000000000001</v>
      </c>
    </row>
    <row r="39" spans="2:11" ht="13.5" thickBot="1" x14ac:dyDescent="0.25">
      <c r="B39" s="1057" t="s">
        <v>68</v>
      </c>
      <c r="C39" s="1058"/>
      <c r="D39" s="516">
        <f>50*6.96</f>
        <v>348</v>
      </c>
      <c r="E39" s="517" t="s">
        <v>53</v>
      </c>
      <c r="F39" s="539">
        <f t="shared" si="3"/>
        <v>34.799999999999997</v>
      </c>
      <c r="G39" s="511" t="s">
        <v>53</v>
      </c>
      <c r="H39" s="512" t="s">
        <v>57</v>
      </c>
      <c r="I39" s="513">
        <f t="shared" si="4"/>
        <v>0</v>
      </c>
      <c r="J39" s="78" t="s">
        <v>54</v>
      </c>
      <c r="K39" s="82">
        <f t="shared" si="2"/>
        <v>34.799999999999997</v>
      </c>
    </row>
    <row r="40" spans="2:11" ht="13.5" thickBot="1" x14ac:dyDescent="0.25">
      <c r="B40" s="1004" t="s">
        <v>76</v>
      </c>
      <c r="C40" s="1059"/>
      <c r="D40" s="99" t="e">
        <f>+D21+D18</f>
        <v>#REF!</v>
      </c>
      <c r="E40" s="88"/>
      <c r="F40" s="99" t="e">
        <f>+F18+F21</f>
        <v>#REF!</v>
      </c>
      <c r="G40" s="88"/>
      <c r="H40" s="87"/>
      <c r="I40" s="87" t="e">
        <f>+I18+I21</f>
        <v>#REF!</v>
      </c>
      <c r="J40" s="87"/>
      <c r="K40" s="89" t="e">
        <f>+K18+K21</f>
        <v>#REF!</v>
      </c>
    </row>
    <row r="41" spans="2:11" x14ac:dyDescent="0.2">
      <c r="B41" s="1017" t="e">
        <f>+#REF!</f>
        <v>#REF!</v>
      </c>
      <c r="C41" s="1018"/>
      <c r="D41" s="565">
        <v>29642.660434279063</v>
      </c>
      <c r="E41" s="398"/>
      <c r="F41" s="566">
        <f>+(D41/4)/$F$11</f>
        <v>2964.2660434279064</v>
      </c>
      <c r="G41" s="560" t="s">
        <v>53</v>
      </c>
      <c r="H41" s="59" t="s">
        <v>54</v>
      </c>
      <c r="I41" s="567">
        <f>+F41</f>
        <v>2964.2660434279064</v>
      </c>
      <c r="J41" s="59" t="s">
        <v>54</v>
      </c>
      <c r="K41" s="568">
        <f>+F41</f>
        <v>2964.2660434279064</v>
      </c>
    </row>
    <row r="42" spans="2:11" ht="13.5" thickBot="1" x14ac:dyDescent="0.25">
      <c r="B42" s="1048" t="e">
        <f>+#REF!</f>
        <v>#REF!</v>
      </c>
      <c r="C42" s="1049"/>
      <c r="D42" s="561">
        <v>40447.929133333331</v>
      </c>
      <c r="E42" s="95"/>
      <c r="F42" s="562">
        <f>+(D42/4)/$F$11</f>
        <v>4044.7929133333332</v>
      </c>
      <c r="G42" s="563" t="s">
        <v>53</v>
      </c>
      <c r="H42" s="68" t="s">
        <v>54</v>
      </c>
      <c r="I42" s="141">
        <f>+F42</f>
        <v>4044.7929133333332</v>
      </c>
      <c r="J42" s="68" t="s">
        <v>54</v>
      </c>
      <c r="K42" s="564">
        <f>+F42</f>
        <v>4044.7929133333332</v>
      </c>
    </row>
    <row r="43" spans="2:11" ht="13.5" thickBot="1" x14ac:dyDescent="0.25">
      <c r="B43" s="1004" t="s">
        <v>425</v>
      </c>
      <c r="C43" s="1059"/>
      <c r="D43" s="569" t="e">
        <f>SUM(D40:D42)</f>
        <v>#REF!</v>
      </c>
      <c r="E43" s="570"/>
      <c r="F43" s="569" t="e">
        <f>+F40+F41+F42</f>
        <v>#REF!</v>
      </c>
      <c r="G43" s="88"/>
      <c r="H43" s="87"/>
      <c r="I43" s="99" t="e">
        <f>SUM(I40:I41)</f>
        <v>#REF!</v>
      </c>
      <c r="J43" s="98"/>
      <c r="K43" s="88" t="e">
        <f>SUM(K40:K41)</f>
        <v>#REF!</v>
      </c>
    </row>
    <row r="44" spans="2:11" ht="13.5" thickBot="1" x14ac:dyDescent="0.25">
      <c r="B44" s="996" t="s">
        <v>81</v>
      </c>
      <c r="C44" s="1056"/>
      <c r="D44" s="395"/>
      <c r="E44" s="392"/>
      <c r="F44" s="395"/>
      <c r="G44" s="392"/>
      <c r="H44" s="391"/>
      <c r="I44" s="395"/>
      <c r="J44" s="391"/>
      <c r="K44" s="392"/>
    </row>
    <row r="45" spans="2:11" ht="13.5" thickBot="1" x14ac:dyDescent="0.25">
      <c r="B45" s="1008" t="s">
        <v>82</v>
      </c>
      <c r="C45" s="1009"/>
      <c r="D45" s="547"/>
      <c r="E45" s="399"/>
      <c r="F45" s="401"/>
      <c r="G45" s="399"/>
      <c r="H45" s="400"/>
      <c r="I45" s="401">
        <f>SUM(I46:I57)</f>
        <v>37.5</v>
      </c>
      <c r="J45" s="400"/>
      <c r="K45" s="399">
        <f>SUM(K46:K57)</f>
        <v>57.5</v>
      </c>
    </row>
    <row r="46" spans="2:11" x14ac:dyDescent="0.2">
      <c r="B46" s="1010" t="s">
        <v>83</v>
      </c>
      <c r="C46" s="1011"/>
      <c r="D46" s="548"/>
      <c r="E46" s="396"/>
      <c r="F46" s="540">
        <v>2.5</v>
      </c>
      <c r="G46" s="57" t="s">
        <v>43</v>
      </c>
      <c r="H46" s="59" t="s">
        <v>54</v>
      </c>
      <c r="I46" s="60">
        <f>IF($H46="S",F46,0)</f>
        <v>2.5</v>
      </c>
      <c r="J46" s="59" t="s">
        <v>54</v>
      </c>
      <c r="K46" s="62">
        <f>IF($J46="S",F46,0)</f>
        <v>2.5</v>
      </c>
    </row>
    <row r="47" spans="2:11" x14ac:dyDescent="0.2">
      <c r="B47" s="1006" t="s">
        <v>84</v>
      </c>
      <c r="C47" s="1012"/>
      <c r="D47" s="549"/>
      <c r="E47" s="390"/>
      <c r="F47" s="541">
        <v>18</v>
      </c>
      <c r="G47" s="74" t="s">
        <v>85</v>
      </c>
      <c r="H47" s="112" t="s">
        <v>57</v>
      </c>
      <c r="I47" s="81">
        <f t="shared" ref="I47:I57" si="5">IF($H47="S",F47,0)</f>
        <v>0</v>
      </c>
      <c r="J47" s="78" t="s">
        <v>54</v>
      </c>
      <c r="K47" s="82">
        <f t="shared" ref="K47:K57" si="6">IF($J47="S",F47,0)</f>
        <v>18</v>
      </c>
    </row>
    <row r="48" spans="2:11" x14ac:dyDescent="0.2">
      <c r="B48" s="1006" t="s">
        <v>86</v>
      </c>
      <c r="C48" s="1012"/>
      <c r="D48" s="549"/>
      <c r="E48" s="390"/>
      <c r="F48" s="541">
        <v>3</v>
      </c>
      <c r="G48" s="74" t="s">
        <v>43</v>
      </c>
      <c r="H48" s="112" t="s">
        <v>54</v>
      </c>
      <c r="I48" s="81">
        <f t="shared" si="5"/>
        <v>3</v>
      </c>
      <c r="J48" s="78" t="s">
        <v>54</v>
      </c>
      <c r="K48" s="82">
        <f t="shared" si="6"/>
        <v>3</v>
      </c>
    </row>
    <row r="49" spans="1:11" x14ac:dyDescent="0.2">
      <c r="B49" s="1006" t="s">
        <v>87</v>
      </c>
      <c r="C49" s="1012"/>
      <c r="D49" s="549"/>
      <c r="E49" s="390"/>
      <c r="F49" s="541">
        <v>2</v>
      </c>
      <c r="G49" s="74" t="s">
        <v>43</v>
      </c>
      <c r="H49" s="112" t="s">
        <v>57</v>
      </c>
      <c r="I49" s="81">
        <f t="shared" si="5"/>
        <v>0</v>
      </c>
      <c r="J49" s="78" t="s">
        <v>54</v>
      </c>
      <c r="K49" s="82">
        <f t="shared" si="6"/>
        <v>2</v>
      </c>
    </row>
    <row r="50" spans="1:11" x14ac:dyDescent="0.2">
      <c r="B50" s="1006" t="s">
        <v>88</v>
      </c>
      <c r="C50" s="1012"/>
      <c r="D50" s="549"/>
      <c r="E50" s="390"/>
      <c r="F50" s="541">
        <v>5</v>
      </c>
      <c r="G50" s="74" t="s">
        <v>43</v>
      </c>
      <c r="H50" s="112" t="s">
        <v>54</v>
      </c>
      <c r="I50" s="81">
        <f t="shared" si="5"/>
        <v>5</v>
      </c>
      <c r="J50" s="78" t="s">
        <v>54</v>
      </c>
      <c r="K50" s="82">
        <f t="shared" si="6"/>
        <v>5</v>
      </c>
    </row>
    <row r="51" spans="1:11" x14ac:dyDescent="0.2">
      <c r="B51" s="1006" t="s">
        <v>89</v>
      </c>
      <c r="C51" s="1007"/>
      <c r="D51" s="549"/>
      <c r="E51" s="390"/>
      <c r="F51" s="541">
        <v>3</v>
      </c>
      <c r="G51" s="74" t="s">
        <v>43</v>
      </c>
      <c r="H51" s="112" t="s">
        <v>54</v>
      </c>
      <c r="I51" s="81">
        <f t="shared" si="5"/>
        <v>3</v>
      </c>
      <c r="J51" s="78" t="s">
        <v>54</v>
      </c>
      <c r="K51" s="82">
        <f t="shared" si="6"/>
        <v>3</v>
      </c>
    </row>
    <row r="52" spans="1:11" x14ac:dyDescent="0.2">
      <c r="B52" s="1006" t="s">
        <v>90</v>
      </c>
      <c r="C52" s="1007"/>
      <c r="D52" s="549"/>
      <c r="E52" s="390"/>
      <c r="F52" s="541">
        <v>3</v>
      </c>
      <c r="G52" s="74" t="s">
        <v>43</v>
      </c>
      <c r="H52" s="112" t="s">
        <v>54</v>
      </c>
      <c r="I52" s="81">
        <f t="shared" si="5"/>
        <v>3</v>
      </c>
      <c r="J52" s="78" t="s">
        <v>54</v>
      </c>
      <c r="K52" s="82">
        <f t="shared" si="6"/>
        <v>3</v>
      </c>
    </row>
    <row r="53" spans="1:11" x14ac:dyDescent="0.2">
      <c r="B53" s="1013" t="s">
        <v>324</v>
      </c>
      <c r="C53" s="1014"/>
      <c r="D53" s="549"/>
      <c r="E53" s="390"/>
      <c r="F53" s="541">
        <f>0.2*20</f>
        <v>4</v>
      </c>
      <c r="G53" s="74" t="s">
        <v>43</v>
      </c>
      <c r="H53" s="112" t="s">
        <v>54</v>
      </c>
      <c r="I53" s="81">
        <f t="shared" si="5"/>
        <v>4</v>
      </c>
      <c r="J53" s="78" t="s">
        <v>54</v>
      </c>
      <c r="K53" s="82">
        <f t="shared" si="6"/>
        <v>4</v>
      </c>
    </row>
    <row r="54" spans="1:11" x14ac:dyDescent="0.2">
      <c r="B54" s="1015" t="s">
        <v>92</v>
      </c>
      <c r="C54" s="1016"/>
      <c r="D54" s="549"/>
      <c r="E54" s="390"/>
      <c r="F54" s="542">
        <v>10</v>
      </c>
      <c r="G54" s="74" t="s">
        <v>43</v>
      </c>
      <c r="H54" s="78" t="s">
        <v>54</v>
      </c>
      <c r="I54" s="81">
        <f t="shared" si="5"/>
        <v>10</v>
      </c>
      <c r="J54" s="78" t="s">
        <v>54</v>
      </c>
      <c r="K54" s="82">
        <f t="shared" si="6"/>
        <v>10</v>
      </c>
    </row>
    <row r="55" spans="1:11" x14ac:dyDescent="0.2">
      <c r="B55" s="1006" t="s">
        <v>93</v>
      </c>
      <c r="C55" s="1007"/>
      <c r="D55" s="549"/>
      <c r="E55" s="390"/>
      <c r="F55" s="543">
        <v>0</v>
      </c>
      <c r="G55" s="74" t="s">
        <v>43</v>
      </c>
      <c r="H55" s="78" t="s">
        <v>54</v>
      </c>
      <c r="I55" s="81">
        <f t="shared" si="5"/>
        <v>0</v>
      </c>
      <c r="J55" s="78" t="s">
        <v>54</v>
      </c>
      <c r="K55" s="82">
        <f t="shared" si="6"/>
        <v>0</v>
      </c>
    </row>
    <row r="56" spans="1:11" x14ac:dyDescent="0.2">
      <c r="B56" s="986" t="s">
        <v>94</v>
      </c>
      <c r="C56" s="987"/>
      <c r="D56" s="549"/>
      <c r="E56" s="390"/>
      <c r="F56" s="541">
        <v>7</v>
      </c>
      <c r="G56" s="74" t="s">
        <v>43</v>
      </c>
      <c r="H56" s="78" t="s">
        <v>54</v>
      </c>
      <c r="I56" s="81">
        <f t="shared" si="5"/>
        <v>7</v>
      </c>
      <c r="J56" s="78" t="s">
        <v>54</v>
      </c>
      <c r="K56" s="82">
        <f t="shared" si="6"/>
        <v>7</v>
      </c>
    </row>
    <row r="57" spans="1:11" ht="13.5" thickBot="1" x14ac:dyDescent="0.25">
      <c r="B57" s="988" t="s">
        <v>95</v>
      </c>
      <c r="C57" s="989"/>
      <c r="D57" s="550"/>
      <c r="E57" s="394"/>
      <c r="F57" s="543">
        <v>0</v>
      </c>
      <c r="G57" s="352"/>
      <c r="H57" s="112" t="s">
        <v>57</v>
      </c>
      <c r="I57" s="81">
        <f t="shared" si="5"/>
        <v>0</v>
      </c>
      <c r="J57" s="78" t="s">
        <v>54</v>
      </c>
      <c r="K57" s="82">
        <f t="shared" si="6"/>
        <v>0</v>
      </c>
    </row>
    <row r="58" spans="1:11" s="27" customFormat="1" x14ac:dyDescent="0.2">
      <c r="B58" s="990" t="s">
        <v>96</v>
      </c>
      <c r="C58" s="991"/>
      <c r="D58" s="551"/>
      <c r="E58" s="393"/>
      <c r="F58" s="544"/>
      <c r="G58" s="115"/>
      <c r="H58" s="118"/>
      <c r="I58" s="117">
        <f>+I45</f>
        <v>37.5</v>
      </c>
      <c r="J58" s="114"/>
      <c r="K58" s="453">
        <f>+K45</f>
        <v>57.5</v>
      </c>
    </row>
    <row r="59" spans="1:11" s="27" customFormat="1" ht="13.5" thickBot="1" x14ac:dyDescent="0.25">
      <c r="B59" s="992" t="s">
        <v>45</v>
      </c>
      <c r="C59" s="993"/>
      <c r="D59" s="545"/>
      <c r="E59" s="455"/>
      <c r="F59" s="545"/>
      <c r="G59" s="454"/>
      <c r="H59" s="454"/>
      <c r="I59" s="454" t="e">
        <f>+I58+I43</f>
        <v>#REF!</v>
      </c>
      <c r="J59" s="454"/>
      <c r="K59" s="455" t="e">
        <f>+K58+K43</f>
        <v>#REF!</v>
      </c>
    </row>
    <row r="60" spans="1:11" s="37" customFormat="1" ht="13.5" thickBot="1" x14ac:dyDescent="0.25">
      <c r="A60" s="128"/>
      <c r="D60" s="83"/>
      <c r="E60" s="83"/>
      <c r="G60" s="83"/>
      <c r="H60" s="134"/>
      <c r="I60" s="135"/>
      <c r="J60" s="136"/>
    </row>
    <row r="61" spans="1:11" s="37" customFormat="1" ht="13.5" hidden="1" thickBot="1" x14ac:dyDescent="0.25">
      <c r="A61" s="128"/>
      <c r="B61" s="994" t="s">
        <v>99</v>
      </c>
      <c r="C61" s="995"/>
      <c r="D61" s="138"/>
      <c r="H61" s="134"/>
      <c r="I61" s="135"/>
      <c r="J61" s="136"/>
    </row>
    <row r="62" spans="1:11" s="37" customFormat="1" ht="13.5" hidden="1" thickBot="1" x14ac:dyDescent="0.25">
      <c r="A62" s="128"/>
      <c r="H62" s="1"/>
      <c r="I62" s="1"/>
      <c r="J62" s="1"/>
      <c r="K62" s="1"/>
    </row>
    <row r="63" spans="1:11" s="37" customFormat="1" ht="30.75" customHeight="1" thickBot="1" x14ac:dyDescent="0.25">
      <c r="A63" s="128"/>
      <c r="D63" s="139" t="s">
        <v>382</v>
      </c>
      <c r="E63" s="139" t="s">
        <v>47</v>
      </c>
      <c r="I63" s="1"/>
      <c r="J63" s="1"/>
      <c r="K63" s="1"/>
    </row>
    <row r="64" spans="1:11" s="37" customFormat="1" ht="13.5" thickBot="1" x14ac:dyDescent="0.25">
      <c r="A64" s="128"/>
      <c r="B64" s="1004" t="s">
        <v>80</v>
      </c>
      <c r="C64" s="1005"/>
      <c r="D64" s="24" t="e">
        <f>+(I43)</f>
        <v>#REF!</v>
      </c>
      <c r="E64" s="24" t="e">
        <f>+K43</f>
        <v>#REF!</v>
      </c>
      <c r="J64" s="148"/>
      <c r="K64" s="1"/>
    </row>
    <row r="65" spans="1:11" s="144" customFormat="1" ht="13.5" hidden="1" thickBot="1" x14ac:dyDescent="0.25">
      <c r="A65" s="140"/>
      <c r="B65" s="996" t="s">
        <v>426</v>
      </c>
      <c r="C65" s="997"/>
      <c r="D65" s="141">
        <f>+I58</f>
        <v>37.5</v>
      </c>
      <c r="E65" s="141">
        <f>+K58</f>
        <v>57.5</v>
      </c>
      <c r="J65" s="148"/>
      <c r="K65" s="1"/>
    </row>
    <row r="66" spans="1:11" s="37" customFormat="1" ht="13.5" thickBot="1" x14ac:dyDescent="0.25">
      <c r="B66" s="996" t="s">
        <v>427</v>
      </c>
      <c r="C66" s="997"/>
      <c r="D66" s="141">
        <f>+D65*D71</f>
        <v>787.5</v>
      </c>
      <c r="E66" s="141">
        <f>+E65*E71</f>
        <v>1380</v>
      </c>
      <c r="J66" s="148"/>
      <c r="K66" s="1"/>
    </row>
    <row r="67" spans="1:11" ht="13.5" thickBot="1" x14ac:dyDescent="0.25">
      <c r="B67" s="998" t="s">
        <v>45</v>
      </c>
      <c r="C67" s="999"/>
      <c r="D67" s="145" t="e">
        <f>+D64+D66</f>
        <v>#REF!</v>
      </c>
      <c r="E67" s="145" t="e">
        <f>+E64+E66</f>
        <v>#REF!</v>
      </c>
      <c r="J67" s="148"/>
    </row>
    <row r="68" spans="1:11" x14ac:dyDescent="0.2">
      <c r="B68" s="1000" t="s">
        <v>103</v>
      </c>
      <c r="C68" s="1001"/>
      <c r="D68" s="148"/>
      <c r="E68" s="148"/>
      <c r="J68" s="356"/>
    </row>
    <row r="69" spans="1:11" ht="13.5" thickBot="1" x14ac:dyDescent="0.25">
      <c r="B69" s="1002" t="s">
        <v>106</v>
      </c>
      <c r="C69" s="151" t="s">
        <v>108</v>
      </c>
      <c r="D69" s="152">
        <v>580</v>
      </c>
      <c r="E69" s="152">
        <v>580</v>
      </c>
      <c r="G69" s="153"/>
    </row>
    <row r="70" spans="1:11" ht="13.5" hidden="1" thickBot="1" x14ac:dyDescent="0.25">
      <c r="B70" s="1003"/>
      <c r="C70" s="151" t="s">
        <v>108</v>
      </c>
      <c r="D70" s="556">
        <v>600</v>
      </c>
      <c r="E70" s="556">
        <v>600</v>
      </c>
      <c r="G70" s="154"/>
    </row>
    <row r="71" spans="1:11" ht="13.5" thickBot="1" x14ac:dyDescent="0.25">
      <c r="B71" s="559" t="s">
        <v>110</v>
      </c>
      <c r="C71" s="558" t="s">
        <v>111</v>
      </c>
      <c r="D71" s="557">
        <v>21</v>
      </c>
      <c r="E71" s="557">
        <v>24</v>
      </c>
      <c r="G71" s="158"/>
    </row>
    <row r="72" spans="1:11" hidden="1" x14ac:dyDescent="0.2">
      <c r="D72" s="156" t="s">
        <v>112</v>
      </c>
      <c r="E72" s="359" t="e">
        <f>+D67/D70</f>
        <v>#REF!</v>
      </c>
      <c r="F72" s="154"/>
      <c r="H72" s="15"/>
    </row>
    <row r="73" spans="1:11" x14ac:dyDescent="0.2">
      <c r="D73" s="571" t="e">
        <f>+D67/D69</f>
        <v>#REF!</v>
      </c>
      <c r="E73" s="572" t="e">
        <f>+E67/E69</f>
        <v>#REF!</v>
      </c>
      <c r="H73" s="356"/>
    </row>
    <row r="74" spans="1:11" ht="13.5" thickBot="1" x14ac:dyDescent="0.25">
      <c r="E74" s="356"/>
      <c r="F74" s="360"/>
      <c r="H74" s="356"/>
    </row>
    <row r="75" spans="1:11" ht="14.25" thickTop="1" thickBot="1" x14ac:dyDescent="0.25">
      <c r="A75" s="37"/>
      <c r="B75" s="523"/>
      <c r="C75" s="1052" t="s">
        <v>100</v>
      </c>
      <c r="D75" s="1053"/>
      <c r="E75" s="1046" t="s">
        <v>47</v>
      </c>
      <c r="F75" s="1047"/>
      <c r="H75" s="356"/>
    </row>
    <row r="76" spans="1:11" ht="13.5" thickTop="1" x14ac:dyDescent="0.2">
      <c r="A76" s="37"/>
      <c r="B76" s="553" t="s">
        <v>424</v>
      </c>
      <c r="C76" s="524">
        <f>+D71*D69</f>
        <v>12180</v>
      </c>
      <c r="D76" s="525">
        <v>1</v>
      </c>
      <c r="E76" s="524">
        <f>+E71*E69</f>
        <v>13920</v>
      </c>
      <c r="F76" s="525">
        <v>1</v>
      </c>
      <c r="H76" s="356"/>
    </row>
    <row r="77" spans="1:11" x14ac:dyDescent="0.2">
      <c r="A77" s="37"/>
      <c r="B77" s="554" t="s">
        <v>421</v>
      </c>
      <c r="C77" s="524">
        <f>+D66</f>
        <v>787.5</v>
      </c>
      <c r="D77" s="525">
        <f>+C77/$C$76</f>
        <v>6.4655172413793108E-2</v>
      </c>
      <c r="E77" s="524">
        <f>+E66</f>
        <v>1380</v>
      </c>
      <c r="F77" s="525">
        <f>+E77/$E$76</f>
        <v>9.9137931034482762E-2</v>
      </c>
      <c r="H77" s="356"/>
    </row>
    <row r="78" spans="1:11" x14ac:dyDescent="0.2">
      <c r="A78" s="37"/>
      <c r="B78" s="554" t="s">
        <v>422</v>
      </c>
      <c r="C78" s="524" t="e">
        <f>+D64*0.87</f>
        <v>#REF!</v>
      </c>
      <c r="D78" s="525" t="e">
        <f>+C78/$C$76</f>
        <v>#REF!</v>
      </c>
      <c r="E78" s="524" t="e">
        <f>+E64*0.87</f>
        <v>#REF!</v>
      </c>
      <c r="F78" s="525" t="e">
        <f>+E78/$E$76</f>
        <v>#REF!</v>
      </c>
      <c r="H78" s="356"/>
    </row>
    <row r="79" spans="1:11" x14ac:dyDescent="0.2">
      <c r="A79" s="37"/>
      <c r="B79" s="554" t="s">
        <v>423</v>
      </c>
      <c r="C79" s="524" t="e">
        <f>+C76-C77-C78</f>
        <v>#REF!</v>
      </c>
      <c r="D79" s="525"/>
      <c r="E79" s="524" t="e">
        <f>+E76-E77-E78</f>
        <v>#REF!</v>
      </c>
      <c r="F79" s="525"/>
      <c r="H79" s="356"/>
    </row>
    <row r="80" spans="1:11" x14ac:dyDescent="0.2">
      <c r="A80" s="37"/>
      <c r="B80" s="554" t="s">
        <v>419</v>
      </c>
      <c r="C80" s="524" t="e">
        <f>+D67*13%</f>
        <v>#REF!</v>
      </c>
      <c r="D80" s="525" t="e">
        <f>+C80/$C$76</f>
        <v>#REF!</v>
      </c>
      <c r="E80" s="524" t="e">
        <f>+E67*13%</f>
        <v>#REF!</v>
      </c>
      <c r="F80" s="525" t="e">
        <f>+E80/$E$76</f>
        <v>#REF!</v>
      </c>
      <c r="H80" s="356"/>
    </row>
    <row r="81" spans="1:8" x14ac:dyDescent="0.2">
      <c r="A81" s="37"/>
      <c r="B81" s="554" t="s">
        <v>420</v>
      </c>
      <c r="C81" s="552">
        <f>+(C76/0.87)*0.03</f>
        <v>420</v>
      </c>
      <c r="D81" s="525">
        <f>+C81/$C$76</f>
        <v>3.4482758620689655E-2</v>
      </c>
      <c r="E81" s="121" t="e">
        <f>#REF!/4/F11</f>
        <v>#REF!</v>
      </c>
      <c r="F81" s="525" t="e">
        <f>+E81/$E$76</f>
        <v>#REF!</v>
      </c>
      <c r="H81" s="356"/>
    </row>
    <row r="82" spans="1:8" x14ac:dyDescent="0.2">
      <c r="A82" s="37"/>
      <c r="B82" s="554" t="s">
        <v>193</v>
      </c>
      <c r="C82" s="524" t="e">
        <f>+C79-C80-C81</f>
        <v>#REF!</v>
      </c>
      <c r="D82" s="525" t="e">
        <f>+C82/$C$76</f>
        <v>#REF!</v>
      </c>
      <c r="E82" s="524" t="e">
        <f>+E79-E80-E81</f>
        <v>#REF!</v>
      </c>
      <c r="F82" s="525" t="e">
        <f>+E82/$E$76</f>
        <v>#REF!</v>
      </c>
      <c r="H82" s="356"/>
    </row>
    <row r="83" spans="1:8" ht="13.5" thickBot="1" x14ac:dyDescent="0.25">
      <c r="A83" s="37"/>
      <c r="B83" s="555"/>
      <c r="C83" s="526"/>
      <c r="D83" s="527"/>
      <c r="E83" s="526"/>
      <c r="F83" s="527"/>
      <c r="H83" s="356"/>
    </row>
    <row r="84" spans="1:8" ht="13.5" thickTop="1" x14ac:dyDescent="0.2">
      <c r="E84" s="356"/>
      <c r="F84" s="360"/>
      <c r="H84" s="356"/>
    </row>
    <row r="85" spans="1:8" x14ac:dyDescent="0.2">
      <c r="E85" s="356"/>
      <c r="F85" s="360"/>
      <c r="H85" s="356"/>
    </row>
    <row r="86" spans="1:8" x14ac:dyDescent="0.2">
      <c r="E86" s="356"/>
      <c r="F86" s="360"/>
      <c r="H86" s="356"/>
    </row>
  </sheetData>
  <sheetProtection selectLockedCells="1"/>
  <mergeCells count="63">
    <mergeCell ref="E75:F75"/>
    <mergeCell ref="B66:C66"/>
    <mergeCell ref="B42:C42"/>
    <mergeCell ref="B22:C22"/>
    <mergeCell ref="B23:C23"/>
    <mergeCell ref="B24:C24"/>
    <mergeCell ref="B25:C25"/>
    <mergeCell ref="C75:D75"/>
    <mergeCell ref="B26:C26"/>
    <mergeCell ref="B37:C37"/>
    <mergeCell ref="B27:C27"/>
    <mergeCell ref="B28:C28"/>
    <mergeCell ref="B44:C44"/>
    <mergeCell ref="B39:C39"/>
    <mergeCell ref="B40:C40"/>
    <mergeCell ref="B43:C43"/>
    <mergeCell ref="E15:E16"/>
    <mergeCell ref="H15:I15"/>
    <mergeCell ref="J15:K15"/>
    <mergeCell ref="B20:C20"/>
    <mergeCell ref="B21:C21"/>
    <mergeCell ref="B1:K2"/>
    <mergeCell ref="B3:K4"/>
    <mergeCell ref="B5:K6"/>
    <mergeCell ref="G15:G16"/>
    <mergeCell ref="B33:C33"/>
    <mergeCell ref="B29:C29"/>
    <mergeCell ref="B30:C30"/>
    <mergeCell ref="B31:C31"/>
    <mergeCell ref="B32:C32"/>
    <mergeCell ref="B13:K13"/>
    <mergeCell ref="B17:C17"/>
    <mergeCell ref="B18:C18"/>
    <mergeCell ref="B19:C19"/>
    <mergeCell ref="B9:B10"/>
    <mergeCell ref="B15:C16"/>
    <mergeCell ref="D15:D16"/>
    <mergeCell ref="B34:C34"/>
    <mergeCell ref="B35:C35"/>
    <mergeCell ref="B36:C36"/>
    <mergeCell ref="B41:C41"/>
    <mergeCell ref="B38:C38"/>
    <mergeCell ref="B55:C55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65:C65"/>
    <mergeCell ref="B67:C67"/>
    <mergeCell ref="B68:C68"/>
    <mergeCell ref="B69:B70"/>
    <mergeCell ref="B64:C64"/>
    <mergeCell ref="B56:C56"/>
    <mergeCell ref="B57:C57"/>
    <mergeCell ref="B58:C58"/>
    <mergeCell ref="B59:C59"/>
    <mergeCell ref="B61:C61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C00"/>
  </sheetPr>
  <dimension ref="A1:O97"/>
  <sheetViews>
    <sheetView topLeftCell="A46" workbookViewId="0">
      <selection activeCell="O81" sqref="O81"/>
    </sheetView>
  </sheetViews>
  <sheetFormatPr baseColWidth="10" defaultColWidth="10" defaultRowHeight="15" x14ac:dyDescent="0.25"/>
  <cols>
    <col min="1" max="1" width="9.7109375" style="284" bestFit="1" customWidth="1"/>
    <col min="2" max="2" width="40.140625" style="283" bestFit="1" customWidth="1"/>
    <col min="3" max="4" width="9.85546875" style="284" hidden="1" customWidth="1"/>
    <col min="5" max="7" width="9.85546875" style="285" hidden="1" customWidth="1"/>
    <col min="8" max="8" width="10.85546875" style="285" hidden="1" customWidth="1"/>
    <col min="9" max="11" width="10.140625" style="285" hidden="1" customWidth="1"/>
    <col min="12" max="13" width="10.85546875" style="285" hidden="1" customWidth="1"/>
    <col min="14" max="14" width="9.85546875" style="284" hidden="1" customWidth="1"/>
    <col min="15" max="15" width="12.28515625" style="286" customWidth="1"/>
    <col min="16" max="255" width="10" style="284"/>
    <col min="256" max="256" width="9.7109375" style="284" bestFit="1" customWidth="1"/>
    <col min="257" max="257" width="40.140625" style="284" bestFit="1" customWidth="1"/>
    <col min="258" max="258" width="11.7109375" style="284" customWidth="1"/>
    <col min="259" max="269" width="9.85546875" style="284" customWidth="1"/>
    <col min="270" max="270" width="10.5703125" style="284" bestFit="1" customWidth="1"/>
    <col min="271" max="511" width="10" style="284"/>
    <col min="512" max="512" width="9.7109375" style="284" bestFit="1" customWidth="1"/>
    <col min="513" max="513" width="40.140625" style="284" bestFit="1" customWidth="1"/>
    <col min="514" max="514" width="11.7109375" style="284" customWidth="1"/>
    <col min="515" max="525" width="9.85546875" style="284" customWidth="1"/>
    <col min="526" max="526" width="10.5703125" style="284" bestFit="1" customWidth="1"/>
    <col min="527" max="767" width="10" style="284"/>
    <col min="768" max="768" width="9.7109375" style="284" bestFit="1" customWidth="1"/>
    <col min="769" max="769" width="40.140625" style="284" bestFit="1" customWidth="1"/>
    <col min="770" max="770" width="11.7109375" style="284" customWidth="1"/>
    <col min="771" max="781" width="9.85546875" style="284" customWidth="1"/>
    <col min="782" max="782" width="10.5703125" style="284" bestFit="1" customWidth="1"/>
    <col min="783" max="1023" width="10" style="284"/>
    <col min="1024" max="1024" width="9.7109375" style="284" bestFit="1" customWidth="1"/>
    <col min="1025" max="1025" width="40.140625" style="284" bestFit="1" customWidth="1"/>
    <col min="1026" max="1026" width="11.7109375" style="284" customWidth="1"/>
    <col min="1027" max="1037" width="9.85546875" style="284" customWidth="1"/>
    <col min="1038" max="1038" width="10.5703125" style="284" bestFit="1" customWidth="1"/>
    <col min="1039" max="1279" width="10" style="284"/>
    <col min="1280" max="1280" width="9.7109375" style="284" bestFit="1" customWidth="1"/>
    <col min="1281" max="1281" width="40.140625" style="284" bestFit="1" customWidth="1"/>
    <col min="1282" max="1282" width="11.7109375" style="284" customWidth="1"/>
    <col min="1283" max="1293" width="9.85546875" style="284" customWidth="1"/>
    <col min="1294" max="1294" width="10.5703125" style="284" bestFit="1" customWidth="1"/>
    <col min="1295" max="1535" width="10" style="284"/>
    <col min="1536" max="1536" width="9.7109375" style="284" bestFit="1" customWidth="1"/>
    <col min="1537" max="1537" width="40.140625" style="284" bestFit="1" customWidth="1"/>
    <col min="1538" max="1538" width="11.7109375" style="284" customWidth="1"/>
    <col min="1539" max="1549" width="9.85546875" style="284" customWidth="1"/>
    <col min="1550" max="1550" width="10.5703125" style="284" bestFit="1" customWidth="1"/>
    <col min="1551" max="1791" width="10" style="284"/>
    <col min="1792" max="1792" width="9.7109375" style="284" bestFit="1" customWidth="1"/>
    <col min="1793" max="1793" width="40.140625" style="284" bestFit="1" customWidth="1"/>
    <col min="1794" max="1794" width="11.7109375" style="284" customWidth="1"/>
    <col min="1795" max="1805" width="9.85546875" style="284" customWidth="1"/>
    <col min="1806" max="1806" width="10.5703125" style="284" bestFit="1" customWidth="1"/>
    <col min="1807" max="2047" width="10" style="284"/>
    <col min="2048" max="2048" width="9.7109375" style="284" bestFit="1" customWidth="1"/>
    <col min="2049" max="2049" width="40.140625" style="284" bestFit="1" customWidth="1"/>
    <col min="2050" max="2050" width="11.7109375" style="284" customWidth="1"/>
    <col min="2051" max="2061" width="9.85546875" style="284" customWidth="1"/>
    <col min="2062" max="2062" width="10.5703125" style="284" bestFit="1" customWidth="1"/>
    <col min="2063" max="2303" width="10" style="284"/>
    <col min="2304" max="2304" width="9.7109375" style="284" bestFit="1" customWidth="1"/>
    <col min="2305" max="2305" width="40.140625" style="284" bestFit="1" customWidth="1"/>
    <col min="2306" max="2306" width="11.7109375" style="284" customWidth="1"/>
    <col min="2307" max="2317" width="9.85546875" style="284" customWidth="1"/>
    <col min="2318" max="2318" width="10.5703125" style="284" bestFit="1" customWidth="1"/>
    <col min="2319" max="2559" width="10" style="284"/>
    <col min="2560" max="2560" width="9.7109375" style="284" bestFit="1" customWidth="1"/>
    <col min="2561" max="2561" width="40.140625" style="284" bestFit="1" customWidth="1"/>
    <col min="2562" max="2562" width="11.7109375" style="284" customWidth="1"/>
    <col min="2563" max="2573" width="9.85546875" style="284" customWidth="1"/>
    <col min="2574" max="2574" width="10.5703125" style="284" bestFit="1" customWidth="1"/>
    <col min="2575" max="2815" width="10" style="284"/>
    <col min="2816" max="2816" width="9.7109375" style="284" bestFit="1" customWidth="1"/>
    <col min="2817" max="2817" width="40.140625" style="284" bestFit="1" customWidth="1"/>
    <col min="2818" max="2818" width="11.7109375" style="284" customWidth="1"/>
    <col min="2819" max="2829" width="9.85546875" style="284" customWidth="1"/>
    <col min="2830" max="2830" width="10.5703125" style="284" bestFit="1" customWidth="1"/>
    <col min="2831" max="3071" width="10" style="284"/>
    <col min="3072" max="3072" width="9.7109375" style="284" bestFit="1" customWidth="1"/>
    <col min="3073" max="3073" width="40.140625" style="284" bestFit="1" customWidth="1"/>
    <col min="3074" max="3074" width="11.7109375" style="284" customWidth="1"/>
    <col min="3075" max="3085" width="9.85546875" style="284" customWidth="1"/>
    <col min="3086" max="3086" width="10.5703125" style="284" bestFit="1" customWidth="1"/>
    <col min="3087" max="3327" width="10" style="284"/>
    <col min="3328" max="3328" width="9.7109375" style="284" bestFit="1" customWidth="1"/>
    <col min="3329" max="3329" width="40.140625" style="284" bestFit="1" customWidth="1"/>
    <col min="3330" max="3330" width="11.7109375" style="284" customWidth="1"/>
    <col min="3331" max="3341" width="9.85546875" style="284" customWidth="1"/>
    <col min="3342" max="3342" width="10.5703125" style="284" bestFit="1" customWidth="1"/>
    <col min="3343" max="3583" width="10" style="284"/>
    <col min="3584" max="3584" width="9.7109375" style="284" bestFit="1" customWidth="1"/>
    <col min="3585" max="3585" width="40.140625" style="284" bestFit="1" customWidth="1"/>
    <col min="3586" max="3586" width="11.7109375" style="284" customWidth="1"/>
    <col min="3587" max="3597" width="9.85546875" style="284" customWidth="1"/>
    <col min="3598" max="3598" width="10.5703125" style="284" bestFit="1" customWidth="1"/>
    <col min="3599" max="3839" width="10" style="284"/>
    <col min="3840" max="3840" width="9.7109375" style="284" bestFit="1" customWidth="1"/>
    <col min="3841" max="3841" width="40.140625" style="284" bestFit="1" customWidth="1"/>
    <col min="3842" max="3842" width="11.7109375" style="284" customWidth="1"/>
    <col min="3843" max="3853" width="9.85546875" style="284" customWidth="1"/>
    <col min="3854" max="3854" width="10.5703125" style="284" bestFit="1" customWidth="1"/>
    <col min="3855" max="4095" width="10" style="284"/>
    <col min="4096" max="4096" width="9.7109375" style="284" bestFit="1" customWidth="1"/>
    <col min="4097" max="4097" width="40.140625" style="284" bestFit="1" customWidth="1"/>
    <col min="4098" max="4098" width="11.7109375" style="284" customWidth="1"/>
    <col min="4099" max="4109" width="9.85546875" style="284" customWidth="1"/>
    <col min="4110" max="4110" width="10.5703125" style="284" bestFit="1" customWidth="1"/>
    <col min="4111" max="4351" width="10" style="284"/>
    <col min="4352" max="4352" width="9.7109375" style="284" bestFit="1" customWidth="1"/>
    <col min="4353" max="4353" width="40.140625" style="284" bestFit="1" customWidth="1"/>
    <col min="4354" max="4354" width="11.7109375" style="284" customWidth="1"/>
    <col min="4355" max="4365" width="9.85546875" style="284" customWidth="1"/>
    <col min="4366" max="4366" width="10.5703125" style="284" bestFit="1" customWidth="1"/>
    <col min="4367" max="4607" width="10" style="284"/>
    <col min="4608" max="4608" width="9.7109375" style="284" bestFit="1" customWidth="1"/>
    <col min="4609" max="4609" width="40.140625" style="284" bestFit="1" customWidth="1"/>
    <col min="4610" max="4610" width="11.7109375" style="284" customWidth="1"/>
    <col min="4611" max="4621" width="9.85546875" style="284" customWidth="1"/>
    <col min="4622" max="4622" width="10.5703125" style="284" bestFit="1" customWidth="1"/>
    <col min="4623" max="4863" width="10" style="284"/>
    <col min="4864" max="4864" width="9.7109375" style="284" bestFit="1" customWidth="1"/>
    <col min="4865" max="4865" width="40.140625" style="284" bestFit="1" customWidth="1"/>
    <col min="4866" max="4866" width="11.7109375" style="284" customWidth="1"/>
    <col min="4867" max="4877" width="9.85546875" style="284" customWidth="1"/>
    <col min="4878" max="4878" width="10.5703125" style="284" bestFit="1" customWidth="1"/>
    <col min="4879" max="5119" width="10" style="284"/>
    <col min="5120" max="5120" width="9.7109375" style="284" bestFit="1" customWidth="1"/>
    <col min="5121" max="5121" width="40.140625" style="284" bestFit="1" customWidth="1"/>
    <col min="5122" max="5122" width="11.7109375" style="284" customWidth="1"/>
    <col min="5123" max="5133" width="9.85546875" style="284" customWidth="1"/>
    <col min="5134" max="5134" width="10.5703125" style="284" bestFit="1" customWidth="1"/>
    <col min="5135" max="5375" width="10" style="284"/>
    <col min="5376" max="5376" width="9.7109375" style="284" bestFit="1" customWidth="1"/>
    <col min="5377" max="5377" width="40.140625" style="284" bestFit="1" customWidth="1"/>
    <col min="5378" max="5378" width="11.7109375" style="284" customWidth="1"/>
    <col min="5379" max="5389" width="9.85546875" style="284" customWidth="1"/>
    <col min="5390" max="5390" width="10.5703125" style="284" bestFit="1" customWidth="1"/>
    <col min="5391" max="5631" width="10" style="284"/>
    <col min="5632" max="5632" width="9.7109375" style="284" bestFit="1" customWidth="1"/>
    <col min="5633" max="5633" width="40.140625" style="284" bestFit="1" customWidth="1"/>
    <col min="5634" max="5634" width="11.7109375" style="284" customWidth="1"/>
    <col min="5635" max="5645" width="9.85546875" style="284" customWidth="1"/>
    <col min="5646" max="5646" width="10.5703125" style="284" bestFit="1" customWidth="1"/>
    <col min="5647" max="5887" width="10" style="284"/>
    <col min="5888" max="5888" width="9.7109375" style="284" bestFit="1" customWidth="1"/>
    <col min="5889" max="5889" width="40.140625" style="284" bestFit="1" customWidth="1"/>
    <col min="5890" max="5890" width="11.7109375" style="284" customWidth="1"/>
    <col min="5891" max="5901" width="9.85546875" style="284" customWidth="1"/>
    <col min="5902" max="5902" width="10.5703125" style="284" bestFit="1" customWidth="1"/>
    <col min="5903" max="6143" width="10" style="284"/>
    <col min="6144" max="6144" width="9.7109375" style="284" bestFit="1" customWidth="1"/>
    <col min="6145" max="6145" width="40.140625" style="284" bestFit="1" customWidth="1"/>
    <col min="6146" max="6146" width="11.7109375" style="284" customWidth="1"/>
    <col min="6147" max="6157" width="9.85546875" style="284" customWidth="1"/>
    <col min="6158" max="6158" width="10.5703125" style="284" bestFit="1" customWidth="1"/>
    <col min="6159" max="6399" width="10" style="284"/>
    <col min="6400" max="6400" width="9.7109375" style="284" bestFit="1" customWidth="1"/>
    <col min="6401" max="6401" width="40.140625" style="284" bestFit="1" customWidth="1"/>
    <col min="6402" max="6402" width="11.7109375" style="284" customWidth="1"/>
    <col min="6403" max="6413" width="9.85546875" style="284" customWidth="1"/>
    <col min="6414" max="6414" width="10.5703125" style="284" bestFit="1" customWidth="1"/>
    <col min="6415" max="6655" width="10" style="284"/>
    <col min="6656" max="6656" width="9.7109375" style="284" bestFit="1" customWidth="1"/>
    <col min="6657" max="6657" width="40.140625" style="284" bestFit="1" customWidth="1"/>
    <col min="6658" max="6658" width="11.7109375" style="284" customWidth="1"/>
    <col min="6659" max="6669" width="9.85546875" style="284" customWidth="1"/>
    <col min="6670" max="6670" width="10.5703125" style="284" bestFit="1" customWidth="1"/>
    <col min="6671" max="6911" width="10" style="284"/>
    <col min="6912" max="6912" width="9.7109375" style="284" bestFit="1" customWidth="1"/>
    <col min="6913" max="6913" width="40.140625" style="284" bestFit="1" customWidth="1"/>
    <col min="6914" max="6914" width="11.7109375" style="284" customWidth="1"/>
    <col min="6915" max="6925" width="9.85546875" style="284" customWidth="1"/>
    <col min="6926" max="6926" width="10.5703125" style="284" bestFit="1" customWidth="1"/>
    <col min="6927" max="7167" width="10" style="284"/>
    <col min="7168" max="7168" width="9.7109375" style="284" bestFit="1" customWidth="1"/>
    <col min="7169" max="7169" width="40.140625" style="284" bestFit="1" customWidth="1"/>
    <col min="7170" max="7170" width="11.7109375" style="284" customWidth="1"/>
    <col min="7171" max="7181" width="9.85546875" style="284" customWidth="1"/>
    <col min="7182" max="7182" width="10.5703125" style="284" bestFit="1" customWidth="1"/>
    <col min="7183" max="7423" width="10" style="284"/>
    <col min="7424" max="7424" width="9.7109375" style="284" bestFit="1" customWidth="1"/>
    <col min="7425" max="7425" width="40.140625" style="284" bestFit="1" customWidth="1"/>
    <col min="7426" max="7426" width="11.7109375" style="284" customWidth="1"/>
    <col min="7427" max="7437" width="9.85546875" style="284" customWidth="1"/>
    <col min="7438" max="7438" width="10.5703125" style="284" bestFit="1" customWidth="1"/>
    <col min="7439" max="7679" width="10" style="284"/>
    <col min="7680" max="7680" width="9.7109375" style="284" bestFit="1" customWidth="1"/>
    <col min="7681" max="7681" width="40.140625" style="284" bestFit="1" customWidth="1"/>
    <col min="7682" max="7682" width="11.7109375" style="284" customWidth="1"/>
    <col min="7683" max="7693" width="9.85546875" style="284" customWidth="1"/>
    <col min="7694" max="7694" width="10.5703125" style="284" bestFit="1" customWidth="1"/>
    <col min="7695" max="7935" width="10" style="284"/>
    <col min="7936" max="7936" width="9.7109375" style="284" bestFit="1" customWidth="1"/>
    <col min="7937" max="7937" width="40.140625" style="284" bestFit="1" customWidth="1"/>
    <col min="7938" max="7938" width="11.7109375" style="284" customWidth="1"/>
    <col min="7939" max="7949" width="9.85546875" style="284" customWidth="1"/>
    <col min="7950" max="7950" width="10.5703125" style="284" bestFit="1" customWidth="1"/>
    <col min="7951" max="8191" width="10" style="284"/>
    <col min="8192" max="8192" width="9.7109375" style="284" bestFit="1" customWidth="1"/>
    <col min="8193" max="8193" width="40.140625" style="284" bestFit="1" customWidth="1"/>
    <col min="8194" max="8194" width="11.7109375" style="284" customWidth="1"/>
    <col min="8195" max="8205" width="9.85546875" style="284" customWidth="1"/>
    <col min="8206" max="8206" width="10.5703125" style="284" bestFit="1" customWidth="1"/>
    <col min="8207" max="8447" width="10" style="284"/>
    <col min="8448" max="8448" width="9.7109375" style="284" bestFit="1" customWidth="1"/>
    <col min="8449" max="8449" width="40.140625" style="284" bestFit="1" customWidth="1"/>
    <col min="8450" max="8450" width="11.7109375" style="284" customWidth="1"/>
    <col min="8451" max="8461" width="9.85546875" style="284" customWidth="1"/>
    <col min="8462" max="8462" width="10.5703125" style="284" bestFit="1" customWidth="1"/>
    <col min="8463" max="8703" width="10" style="284"/>
    <col min="8704" max="8704" width="9.7109375" style="284" bestFit="1" customWidth="1"/>
    <col min="8705" max="8705" width="40.140625" style="284" bestFit="1" customWidth="1"/>
    <col min="8706" max="8706" width="11.7109375" style="284" customWidth="1"/>
    <col min="8707" max="8717" width="9.85546875" style="284" customWidth="1"/>
    <col min="8718" max="8718" width="10.5703125" style="284" bestFit="1" customWidth="1"/>
    <col min="8719" max="8959" width="10" style="284"/>
    <col min="8960" max="8960" width="9.7109375" style="284" bestFit="1" customWidth="1"/>
    <col min="8961" max="8961" width="40.140625" style="284" bestFit="1" customWidth="1"/>
    <col min="8962" max="8962" width="11.7109375" style="284" customWidth="1"/>
    <col min="8963" max="8973" width="9.85546875" style="284" customWidth="1"/>
    <col min="8974" max="8974" width="10.5703125" style="284" bestFit="1" customWidth="1"/>
    <col min="8975" max="9215" width="10" style="284"/>
    <col min="9216" max="9216" width="9.7109375" style="284" bestFit="1" customWidth="1"/>
    <col min="9217" max="9217" width="40.140625" style="284" bestFit="1" customWidth="1"/>
    <col min="9218" max="9218" width="11.7109375" style="284" customWidth="1"/>
    <col min="9219" max="9229" width="9.85546875" style="284" customWidth="1"/>
    <col min="9230" max="9230" width="10.5703125" style="284" bestFit="1" customWidth="1"/>
    <col min="9231" max="9471" width="10" style="284"/>
    <col min="9472" max="9472" width="9.7109375" style="284" bestFit="1" customWidth="1"/>
    <col min="9473" max="9473" width="40.140625" style="284" bestFit="1" customWidth="1"/>
    <col min="9474" max="9474" width="11.7109375" style="284" customWidth="1"/>
    <col min="9475" max="9485" width="9.85546875" style="284" customWidth="1"/>
    <col min="9486" max="9486" width="10.5703125" style="284" bestFit="1" customWidth="1"/>
    <col min="9487" max="9727" width="10" style="284"/>
    <col min="9728" max="9728" width="9.7109375" style="284" bestFit="1" customWidth="1"/>
    <col min="9729" max="9729" width="40.140625" style="284" bestFit="1" customWidth="1"/>
    <col min="9730" max="9730" width="11.7109375" style="284" customWidth="1"/>
    <col min="9731" max="9741" width="9.85546875" style="284" customWidth="1"/>
    <col min="9742" max="9742" width="10.5703125" style="284" bestFit="1" customWidth="1"/>
    <col min="9743" max="9983" width="10" style="284"/>
    <col min="9984" max="9984" width="9.7109375" style="284" bestFit="1" customWidth="1"/>
    <col min="9985" max="9985" width="40.140625" style="284" bestFit="1" customWidth="1"/>
    <col min="9986" max="9986" width="11.7109375" style="284" customWidth="1"/>
    <col min="9987" max="9997" width="9.85546875" style="284" customWidth="1"/>
    <col min="9998" max="9998" width="10.5703125" style="284" bestFit="1" customWidth="1"/>
    <col min="9999" max="10239" width="10" style="284"/>
    <col min="10240" max="10240" width="9.7109375" style="284" bestFit="1" customWidth="1"/>
    <col min="10241" max="10241" width="40.140625" style="284" bestFit="1" customWidth="1"/>
    <col min="10242" max="10242" width="11.7109375" style="284" customWidth="1"/>
    <col min="10243" max="10253" width="9.85546875" style="284" customWidth="1"/>
    <col min="10254" max="10254" width="10.5703125" style="284" bestFit="1" customWidth="1"/>
    <col min="10255" max="10495" width="10" style="284"/>
    <col min="10496" max="10496" width="9.7109375" style="284" bestFit="1" customWidth="1"/>
    <col min="10497" max="10497" width="40.140625" style="284" bestFit="1" customWidth="1"/>
    <col min="10498" max="10498" width="11.7109375" style="284" customWidth="1"/>
    <col min="10499" max="10509" width="9.85546875" style="284" customWidth="1"/>
    <col min="10510" max="10510" width="10.5703125" style="284" bestFit="1" customWidth="1"/>
    <col min="10511" max="10751" width="10" style="284"/>
    <col min="10752" max="10752" width="9.7109375" style="284" bestFit="1" customWidth="1"/>
    <col min="10753" max="10753" width="40.140625" style="284" bestFit="1" customWidth="1"/>
    <col min="10754" max="10754" width="11.7109375" style="284" customWidth="1"/>
    <col min="10755" max="10765" width="9.85546875" style="284" customWidth="1"/>
    <col min="10766" max="10766" width="10.5703125" style="284" bestFit="1" customWidth="1"/>
    <col min="10767" max="11007" width="10" style="284"/>
    <col min="11008" max="11008" width="9.7109375" style="284" bestFit="1" customWidth="1"/>
    <col min="11009" max="11009" width="40.140625" style="284" bestFit="1" customWidth="1"/>
    <col min="11010" max="11010" width="11.7109375" style="284" customWidth="1"/>
    <col min="11011" max="11021" width="9.85546875" style="284" customWidth="1"/>
    <col min="11022" max="11022" width="10.5703125" style="284" bestFit="1" customWidth="1"/>
    <col min="11023" max="11263" width="10" style="284"/>
    <col min="11264" max="11264" width="9.7109375" style="284" bestFit="1" customWidth="1"/>
    <col min="11265" max="11265" width="40.140625" style="284" bestFit="1" customWidth="1"/>
    <col min="11266" max="11266" width="11.7109375" style="284" customWidth="1"/>
    <col min="11267" max="11277" width="9.85546875" style="284" customWidth="1"/>
    <col min="11278" max="11278" width="10.5703125" style="284" bestFit="1" customWidth="1"/>
    <col min="11279" max="11519" width="10" style="284"/>
    <col min="11520" max="11520" width="9.7109375" style="284" bestFit="1" customWidth="1"/>
    <col min="11521" max="11521" width="40.140625" style="284" bestFit="1" customWidth="1"/>
    <col min="11522" max="11522" width="11.7109375" style="284" customWidth="1"/>
    <col min="11523" max="11533" width="9.85546875" style="284" customWidth="1"/>
    <col min="11534" max="11534" width="10.5703125" style="284" bestFit="1" customWidth="1"/>
    <col min="11535" max="11775" width="10" style="284"/>
    <col min="11776" max="11776" width="9.7109375" style="284" bestFit="1" customWidth="1"/>
    <col min="11777" max="11777" width="40.140625" style="284" bestFit="1" customWidth="1"/>
    <col min="11778" max="11778" width="11.7109375" style="284" customWidth="1"/>
    <col min="11779" max="11789" width="9.85546875" style="284" customWidth="1"/>
    <col min="11790" max="11790" width="10.5703125" style="284" bestFit="1" customWidth="1"/>
    <col min="11791" max="12031" width="10" style="284"/>
    <col min="12032" max="12032" width="9.7109375" style="284" bestFit="1" customWidth="1"/>
    <col min="12033" max="12033" width="40.140625" style="284" bestFit="1" customWidth="1"/>
    <col min="12034" max="12034" width="11.7109375" style="284" customWidth="1"/>
    <col min="12035" max="12045" width="9.85546875" style="284" customWidth="1"/>
    <col min="12046" max="12046" width="10.5703125" style="284" bestFit="1" customWidth="1"/>
    <col min="12047" max="12287" width="10" style="284"/>
    <col min="12288" max="12288" width="9.7109375" style="284" bestFit="1" customWidth="1"/>
    <col min="12289" max="12289" width="40.140625" style="284" bestFit="1" customWidth="1"/>
    <col min="12290" max="12290" width="11.7109375" style="284" customWidth="1"/>
    <col min="12291" max="12301" width="9.85546875" style="284" customWidth="1"/>
    <col min="12302" max="12302" width="10.5703125" style="284" bestFit="1" customWidth="1"/>
    <col min="12303" max="12543" width="10" style="284"/>
    <col min="12544" max="12544" width="9.7109375" style="284" bestFit="1" customWidth="1"/>
    <col min="12545" max="12545" width="40.140625" style="284" bestFit="1" customWidth="1"/>
    <col min="12546" max="12546" width="11.7109375" style="284" customWidth="1"/>
    <col min="12547" max="12557" width="9.85546875" style="284" customWidth="1"/>
    <col min="12558" max="12558" width="10.5703125" style="284" bestFit="1" customWidth="1"/>
    <col min="12559" max="12799" width="10" style="284"/>
    <col min="12800" max="12800" width="9.7109375" style="284" bestFit="1" customWidth="1"/>
    <col min="12801" max="12801" width="40.140625" style="284" bestFit="1" customWidth="1"/>
    <col min="12802" max="12802" width="11.7109375" style="284" customWidth="1"/>
    <col min="12803" max="12813" width="9.85546875" style="284" customWidth="1"/>
    <col min="12814" max="12814" width="10.5703125" style="284" bestFit="1" customWidth="1"/>
    <col min="12815" max="13055" width="10" style="284"/>
    <col min="13056" max="13056" width="9.7109375" style="284" bestFit="1" customWidth="1"/>
    <col min="13057" max="13057" width="40.140625" style="284" bestFit="1" customWidth="1"/>
    <col min="13058" max="13058" width="11.7109375" style="284" customWidth="1"/>
    <col min="13059" max="13069" width="9.85546875" style="284" customWidth="1"/>
    <col min="13070" max="13070" width="10.5703125" style="284" bestFit="1" customWidth="1"/>
    <col min="13071" max="13311" width="10" style="284"/>
    <col min="13312" max="13312" width="9.7109375" style="284" bestFit="1" customWidth="1"/>
    <col min="13313" max="13313" width="40.140625" style="284" bestFit="1" customWidth="1"/>
    <col min="13314" max="13314" width="11.7109375" style="284" customWidth="1"/>
    <col min="13315" max="13325" width="9.85546875" style="284" customWidth="1"/>
    <col min="13326" max="13326" width="10.5703125" style="284" bestFit="1" customWidth="1"/>
    <col min="13327" max="13567" width="10" style="284"/>
    <col min="13568" max="13568" width="9.7109375" style="284" bestFit="1" customWidth="1"/>
    <col min="13569" max="13569" width="40.140625" style="284" bestFit="1" customWidth="1"/>
    <col min="13570" max="13570" width="11.7109375" style="284" customWidth="1"/>
    <col min="13571" max="13581" width="9.85546875" style="284" customWidth="1"/>
    <col min="13582" max="13582" width="10.5703125" style="284" bestFit="1" customWidth="1"/>
    <col min="13583" max="13823" width="10" style="284"/>
    <col min="13824" max="13824" width="9.7109375" style="284" bestFit="1" customWidth="1"/>
    <col min="13825" max="13825" width="40.140625" style="284" bestFit="1" customWidth="1"/>
    <col min="13826" max="13826" width="11.7109375" style="284" customWidth="1"/>
    <col min="13827" max="13837" width="9.85546875" style="284" customWidth="1"/>
    <col min="13838" max="13838" width="10.5703125" style="284" bestFit="1" customWidth="1"/>
    <col min="13839" max="14079" width="10" style="284"/>
    <col min="14080" max="14080" width="9.7109375" style="284" bestFit="1" customWidth="1"/>
    <col min="14081" max="14081" width="40.140625" style="284" bestFit="1" customWidth="1"/>
    <col min="14082" max="14082" width="11.7109375" style="284" customWidth="1"/>
    <col min="14083" max="14093" width="9.85546875" style="284" customWidth="1"/>
    <col min="14094" max="14094" width="10.5703125" style="284" bestFit="1" customWidth="1"/>
    <col min="14095" max="14335" width="10" style="284"/>
    <col min="14336" max="14336" width="9.7109375" style="284" bestFit="1" customWidth="1"/>
    <col min="14337" max="14337" width="40.140625" style="284" bestFit="1" customWidth="1"/>
    <col min="14338" max="14338" width="11.7109375" style="284" customWidth="1"/>
    <col min="14339" max="14349" width="9.85546875" style="284" customWidth="1"/>
    <col min="14350" max="14350" width="10.5703125" style="284" bestFit="1" customWidth="1"/>
    <col min="14351" max="14591" width="10" style="284"/>
    <col min="14592" max="14592" width="9.7109375" style="284" bestFit="1" customWidth="1"/>
    <col min="14593" max="14593" width="40.140625" style="284" bestFit="1" customWidth="1"/>
    <col min="14594" max="14594" width="11.7109375" style="284" customWidth="1"/>
    <col min="14595" max="14605" width="9.85546875" style="284" customWidth="1"/>
    <col min="14606" max="14606" width="10.5703125" style="284" bestFit="1" customWidth="1"/>
    <col min="14607" max="14847" width="10" style="284"/>
    <col min="14848" max="14848" width="9.7109375" style="284" bestFit="1" customWidth="1"/>
    <col min="14849" max="14849" width="40.140625" style="284" bestFit="1" customWidth="1"/>
    <col min="14850" max="14850" width="11.7109375" style="284" customWidth="1"/>
    <col min="14851" max="14861" width="9.85546875" style="284" customWidth="1"/>
    <col min="14862" max="14862" width="10.5703125" style="284" bestFit="1" customWidth="1"/>
    <col min="14863" max="15103" width="10" style="284"/>
    <col min="15104" max="15104" width="9.7109375" style="284" bestFit="1" customWidth="1"/>
    <col min="15105" max="15105" width="40.140625" style="284" bestFit="1" customWidth="1"/>
    <col min="15106" max="15106" width="11.7109375" style="284" customWidth="1"/>
    <col min="15107" max="15117" width="9.85546875" style="284" customWidth="1"/>
    <col min="15118" max="15118" width="10.5703125" style="284" bestFit="1" customWidth="1"/>
    <col min="15119" max="15359" width="10" style="284"/>
    <col min="15360" max="15360" width="9.7109375" style="284" bestFit="1" customWidth="1"/>
    <col min="15361" max="15361" width="40.140625" style="284" bestFit="1" customWidth="1"/>
    <col min="15362" max="15362" width="11.7109375" style="284" customWidth="1"/>
    <col min="15363" max="15373" width="9.85546875" style="284" customWidth="1"/>
    <col min="15374" max="15374" width="10.5703125" style="284" bestFit="1" customWidth="1"/>
    <col min="15375" max="15615" width="10" style="284"/>
    <col min="15616" max="15616" width="9.7109375" style="284" bestFit="1" customWidth="1"/>
    <col min="15617" max="15617" width="40.140625" style="284" bestFit="1" customWidth="1"/>
    <col min="15618" max="15618" width="11.7109375" style="284" customWidth="1"/>
    <col min="15619" max="15629" width="9.85546875" style="284" customWidth="1"/>
    <col min="15630" max="15630" width="10.5703125" style="284" bestFit="1" customWidth="1"/>
    <col min="15631" max="15871" width="10" style="284"/>
    <col min="15872" max="15872" width="9.7109375" style="284" bestFit="1" customWidth="1"/>
    <col min="15873" max="15873" width="40.140625" style="284" bestFit="1" customWidth="1"/>
    <col min="15874" max="15874" width="11.7109375" style="284" customWidth="1"/>
    <col min="15875" max="15885" width="9.85546875" style="284" customWidth="1"/>
    <col min="15886" max="15886" width="10.5703125" style="284" bestFit="1" customWidth="1"/>
    <col min="15887" max="16127" width="10" style="284"/>
    <col min="16128" max="16128" width="9.7109375" style="284" bestFit="1" customWidth="1"/>
    <col min="16129" max="16129" width="40.140625" style="284" bestFit="1" customWidth="1"/>
    <col min="16130" max="16130" width="11.7109375" style="284" customWidth="1"/>
    <col min="16131" max="16141" width="9.85546875" style="284" customWidth="1"/>
    <col min="16142" max="16142" width="10.5703125" style="284" bestFit="1" customWidth="1"/>
    <col min="16143" max="16384" width="10" style="284"/>
  </cols>
  <sheetData>
    <row r="1" spans="1:15" s="280" customFormat="1" ht="30" customHeight="1" x14ac:dyDescent="0.2">
      <c r="B1" s="1198" t="s">
        <v>208</v>
      </c>
      <c r="C1" s="1199"/>
      <c r="D1" s="1199"/>
      <c r="E1" s="1199"/>
      <c r="F1" s="1199"/>
      <c r="G1" s="1199"/>
      <c r="H1" s="1199"/>
      <c r="I1" s="1199"/>
      <c r="J1" s="1199"/>
      <c r="K1" s="1199"/>
      <c r="L1" s="1199"/>
      <c r="M1" s="1199"/>
      <c r="N1" s="1199"/>
      <c r="O1" s="377"/>
    </row>
    <row r="2" spans="1:15" s="280" customFormat="1" ht="30" customHeight="1" x14ac:dyDescent="0.2">
      <c r="A2" s="281"/>
      <c r="B2" s="1201"/>
      <c r="C2" s="1202"/>
      <c r="D2" s="1202"/>
      <c r="E2" s="1202"/>
      <c r="F2" s="1202"/>
      <c r="G2" s="1202"/>
      <c r="H2" s="1202"/>
      <c r="I2" s="1202"/>
      <c r="J2" s="1202"/>
      <c r="K2" s="1202"/>
      <c r="L2" s="1202"/>
      <c r="M2" s="1202"/>
      <c r="N2" s="1202"/>
      <c r="O2" s="377"/>
    </row>
    <row r="3" spans="1:15" x14ac:dyDescent="0.25">
      <c r="A3" s="282"/>
    </row>
    <row r="4" spans="1:15" x14ac:dyDescent="0.25">
      <c r="A4" s="287"/>
      <c r="B4" s="287"/>
      <c r="C4" s="287"/>
      <c r="D4" s="287"/>
      <c r="E4" s="288"/>
      <c r="F4" s="288"/>
      <c r="G4" s="288"/>
      <c r="H4" s="288"/>
      <c r="I4" s="288"/>
      <c r="J4" s="288"/>
      <c r="K4" s="288"/>
      <c r="L4" s="288"/>
      <c r="M4" s="288"/>
    </row>
    <row r="5" spans="1:15" x14ac:dyDescent="0.25">
      <c r="A5" s="282"/>
      <c r="N5" s="388">
        <v>2018</v>
      </c>
    </row>
    <row r="6" spans="1:15" x14ac:dyDescent="0.25">
      <c r="A6" s="282" t="s">
        <v>209</v>
      </c>
      <c r="B6" s="289"/>
      <c r="N6" s="389"/>
    </row>
    <row r="8" spans="1:15" ht="12.75" customHeight="1" x14ac:dyDescent="0.25">
      <c r="A8" s="1164" t="s">
        <v>210</v>
      </c>
      <c r="B8" s="1165"/>
      <c r="C8" s="1168" t="s">
        <v>516</v>
      </c>
      <c r="D8" s="1168" t="s">
        <v>212</v>
      </c>
      <c r="E8" s="1168" t="s">
        <v>213</v>
      </c>
      <c r="F8" s="1168" t="s">
        <v>214</v>
      </c>
      <c r="G8" s="1168" t="s">
        <v>215</v>
      </c>
      <c r="H8" s="1168" t="s">
        <v>216</v>
      </c>
      <c r="I8" s="1168" t="s">
        <v>517</v>
      </c>
      <c r="J8" s="1168" t="s">
        <v>218</v>
      </c>
      <c r="K8" s="1168" t="s">
        <v>518</v>
      </c>
      <c r="L8" s="1150" t="s">
        <v>519</v>
      </c>
      <c r="M8" s="1150" t="s">
        <v>520</v>
      </c>
      <c r="N8" s="1150" t="s">
        <v>222</v>
      </c>
      <c r="O8" s="1150" t="s">
        <v>377</v>
      </c>
    </row>
    <row r="9" spans="1:15" x14ac:dyDescent="0.25">
      <c r="A9" s="1166"/>
      <c r="B9" s="1167"/>
      <c r="C9" s="1169"/>
      <c r="D9" s="1169"/>
      <c r="E9" s="1169"/>
      <c r="F9" s="1169"/>
      <c r="G9" s="1169"/>
      <c r="H9" s="1169"/>
      <c r="I9" s="1169"/>
      <c r="J9" s="1169"/>
      <c r="K9" s="1169"/>
      <c r="L9" s="1197"/>
      <c r="M9" s="1197"/>
      <c r="N9" s="1197"/>
      <c r="O9" s="1197"/>
    </row>
    <row r="10" spans="1:15" s="294" customFormat="1" ht="13.5" customHeight="1" x14ac:dyDescent="0.2">
      <c r="A10" s="719" t="s">
        <v>223</v>
      </c>
      <c r="B10" s="720" t="s">
        <v>224</v>
      </c>
      <c r="C10" s="721">
        <f>C11+C24+C27</f>
        <v>16531.740000000002</v>
      </c>
      <c r="D10" s="721">
        <f t="shared" ref="D10:N10" si="0">D11+D24+D27</f>
        <v>31123.73</v>
      </c>
      <c r="E10" s="721">
        <f t="shared" si="0"/>
        <v>14918.29</v>
      </c>
      <c r="F10" s="721">
        <f t="shared" si="0"/>
        <v>64790.64</v>
      </c>
      <c r="G10" s="721">
        <f t="shared" si="0"/>
        <v>95747.5</v>
      </c>
      <c r="H10" s="721">
        <f t="shared" si="0"/>
        <v>105995.58</v>
      </c>
      <c r="I10" s="721">
        <f t="shared" si="0"/>
        <v>19121.73</v>
      </c>
      <c r="J10" s="721">
        <f t="shared" si="0"/>
        <v>36694.51</v>
      </c>
      <c r="K10" s="721">
        <f t="shared" si="0"/>
        <v>113405.19</v>
      </c>
      <c r="L10" s="721">
        <f t="shared" si="0"/>
        <v>193688.45</v>
      </c>
      <c r="M10" s="721">
        <f t="shared" si="0"/>
        <v>134792.93</v>
      </c>
      <c r="N10" s="721">
        <f t="shared" si="0"/>
        <v>109032.22</v>
      </c>
      <c r="O10" s="721">
        <f t="shared" ref="O10:O41" si="1">+AVERAGE(C10:K10)</f>
        <v>55369.878888888888</v>
      </c>
    </row>
    <row r="11" spans="1:15" s="294" customFormat="1" ht="13.5" customHeight="1" x14ac:dyDescent="0.2">
      <c r="A11" s="725" t="s">
        <v>225</v>
      </c>
      <c r="B11" s="726" t="s">
        <v>226</v>
      </c>
      <c r="C11" s="727">
        <f>C12+C17+C20+C22</f>
        <v>16531.740000000002</v>
      </c>
      <c r="D11" s="727">
        <f t="shared" ref="D11:N11" si="2">D12+D17+D20+D22</f>
        <v>31123.73</v>
      </c>
      <c r="E11" s="727">
        <f t="shared" si="2"/>
        <v>11873.76</v>
      </c>
      <c r="F11" s="727">
        <f t="shared" si="2"/>
        <v>64790.64</v>
      </c>
      <c r="G11" s="727">
        <f t="shared" si="2"/>
        <v>95747.5</v>
      </c>
      <c r="H11" s="727">
        <f t="shared" si="2"/>
        <v>105995.58</v>
      </c>
      <c r="I11" s="727">
        <f t="shared" si="2"/>
        <v>19121.73</v>
      </c>
      <c r="J11" s="727">
        <f t="shared" si="2"/>
        <v>36694.51</v>
      </c>
      <c r="K11" s="727">
        <f t="shared" si="2"/>
        <v>113405.19</v>
      </c>
      <c r="L11" s="727">
        <f t="shared" si="2"/>
        <v>193688.45</v>
      </c>
      <c r="M11" s="727">
        <f t="shared" si="2"/>
        <v>134792.93</v>
      </c>
      <c r="N11" s="727">
        <f t="shared" si="2"/>
        <v>109032.22</v>
      </c>
      <c r="O11" s="727">
        <f t="shared" si="1"/>
        <v>55031.597777777781</v>
      </c>
    </row>
    <row r="12" spans="1:15" s="294" customFormat="1" ht="13.5" customHeight="1" x14ac:dyDescent="0.2">
      <c r="A12" s="731" t="s">
        <v>227</v>
      </c>
      <c r="B12" s="732" t="s">
        <v>228</v>
      </c>
      <c r="C12" s="733">
        <f>C13+C14+C15+C16</f>
        <v>16531.740000000002</v>
      </c>
      <c r="D12" s="733">
        <f t="shared" ref="D12:N12" si="3">D13+D14+D15+D16</f>
        <v>31123.73</v>
      </c>
      <c r="E12" s="733">
        <f t="shared" si="3"/>
        <v>11873.76</v>
      </c>
      <c r="F12" s="733">
        <f t="shared" si="3"/>
        <v>64790.64</v>
      </c>
      <c r="G12" s="733">
        <f t="shared" si="3"/>
        <v>95747.5</v>
      </c>
      <c r="H12" s="733">
        <f t="shared" si="3"/>
        <v>105995.58</v>
      </c>
      <c r="I12" s="733">
        <f t="shared" si="3"/>
        <v>19121.73</v>
      </c>
      <c r="J12" s="733">
        <f t="shared" si="3"/>
        <v>36694.51</v>
      </c>
      <c r="K12" s="733">
        <f t="shared" si="3"/>
        <v>113405.19</v>
      </c>
      <c r="L12" s="733">
        <f t="shared" si="3"/>
        <v>193688.45</v>
      </c>
      <c r="M12" s="733">
        <f t="shared" si="3"/>
        <v>134792.93</v>
      </c>
      <c r="N12" s="733">
        <f t="shared" si="3"/>
        <v>109032.22</v>
      </c>
      <c r="O12" s="733">
        <f t="shared" si="1"/>
        <v>55031.597777777781</v>
      </c>
    </row>
    <row r="13" spans="1:15" s="309" customFormat="1" ht="13.5" customHeight="1" x14ac:dyDescent="0.2">
      <c r="A13" s="735" t="s">
        <v>229</v>
      </c>
      <c r="B13" s="736" t="s">
        <v>230</v>
      </c>
      <c r="C13" s="737">
        <v>0</v>
      </c>
      <c r="D13" s="737">
        <v>0</v>
      </c>
      <c r="E13" s="737">
        <v>0</v>
      </c>
      <c r="F13" s="737">
        <v>0</v>
      </c>
      <c r="G13" s="737">
        <v>0</v>
      </c>
      <c r="H13" s="737">
        <v>0</v>
      </c>
      <c r="I13" s="737">
        <v>0</v>
      </c>
      <c r="J13" s="737">
        <v>0</v>
      </c>
      <c r="K13" s="737">
        <v>0</v>
      </c>
      <c r="L13" s="737">
        <v>0</v>
      </c>
      <c r="M13" s="737">
        <v>0</v>
      </c>
      <c r="N13" s="737">
        <v>0</v>
      </c>
      <c r="O13" s="737">
        <f t="shared" si="1"/>
        <v>0</v>
      </c>
    </row>
    <row r="14" spans="1:15" s="309" customFormat="1" ht="13.5" customHeight="1" x14ac:dyDescent="0.2">
      <c r="A14" s="735" t="s">
        <v>231</v>
      </c>
      <c r="B14" s="736" t="s">
        <v>232</v>
      </c>
      <c r="C14" s="737">
        <v>0</v>
      </c>
      <c r="D14" s="737">
        <v>0</v>
      </c>
      <c r="E14" s="737">
        <v>0</v>
      </c>
      <c r="F14" s="737">
        <v>0</v>
      </c>
      <c r="G14" s="737">
        <v>0</v>
      </c>
      <c r="H14" s="737">
        <v>0</v>
      </c>
      <c r="I14" s="737">
        <v>0</v>
      </c>
      <c r="J14" s="737">
        <v>0</v>
      </c>
      <c r="K14" s="737">
        <v>0</v>
      </c>
      <c r="L14" s="737">
        <v>0</v>
      </c>
      <c r="M14" s="737">
        <v>0</v>
      </c>
      <c r="N14" s="737">
        <v>0</v>
      </c>
      <c r="O14" s="737">
        <f t="shared" si="1"/>
        <v>0</v>
      </c>
    </row>
    <row r="15" spans="1:15" s="309" customFormat="1" ht="13.5" customHeight="1" x14ac:dyDescent="0.2">
      <c r="A15" s="735" t="s">
        <v>233</v>
      </c>
      <c r="B15" s="736" t="s">
        <v>234</v>
      </c>
      <c r="C15" s="741">
        <v>16531.740000000002</v>
      </c>
      <c r="D15" s="741">
        <v>31123.73</v>
      </c>
      <c r="E15" s="741">
        <v>11873.76</v>
      </c>
      <c r="F15" s="741">
        <v>64790.64</v>
      </c>
      <c r="G15" s="741">
        <v>95747.5</v>
      </c>
      <c r="H15" s="741">
        <v>105995.58</v>
      </c>
      <c r="I15" s="741">
        <v>19121.73</v>
      </c>
      <c r="J15" s="741">
        <v>36694.51</v>
      </c>
      <c r="K15" s="741">
        <v>113405.19</v>
      </c>
      <c r="L15" s="741">
        <v>193688.45</v>
      </c>
      <c r="M15" s="741">
        <v>134792.93</v>
      </c>
      <c r="N15" s="741">
        <f>78877.33+30154.89</f>
        <v>109032.22</v>
      </c>
      <c r="O15" s="741">
        <f t="shared" si="1"/>
        <v>55031.597777777781</v>
      </c>
    </row>
    <row r="16" spans="1:15" s="294" customFormat="1" ht="13.5" customHeight="1" x14ac:dyDescent="0.2">
      <c r="A16" s="735" t="s">
        <v>235</v>
      </c>
      <c r="B16" s="736" t="s">
        <v>236</v>
      </c>
      <c r="C16" s="737">
        <v>0</v>
      </c>
      <c r="D16" s="737">
        <v>0</v>
      </c>
      <c r="E16" s="737">
        <v>0</v>
      </c>
      <c r="F16" s="737">
        <v>0</v>
      </c>
      <c r="G16" s="737">
        <v>0</v>
      </c>
      <c r="H16" s="737">
        <v>0</v>
      </c>
      <c r="I16" s="737">
        <v>0</v>
      </c>
      <c r="J16" s="737">
        <v>0</v>
      </c>
      <c r="K16" s="737">
        <v>0</v>
      </c>
      <c r="L16" s="737">
        <v>0</v>
      </c>
      <c r="M16" s="737">
        <v>0</v>
      </c>
      <c r="N16" s="737">
        <v>0</v>
      </c>
      <c r="O16" s="737">
        <f t="shared" si="1"/>
        <v>0</v>
      </c>
    </row>
    <row r="17" spans="1:15" s="294" customFormat="1" ht="13.5" customHeight="1" x14ac:dyDescent="0.2">
      <c r="A17" s="731" t="s">
        <v>237</v>
      </c>
      <c r="B17" s="732" t="s">
        <v>238</v>
      </c>
      <c r="C17" s="733">
        <f>C18+C19</f>
        <v>0</v>
      </c>
      <c r="D17" s="733">
        <f t="shared" ref="D17:N17" si="4">D18+D19</f>
        <v>0</v>
      </c>
      <c r="E17" s="733">
        <f t="shared" si="4"/>
        <v>0</v>
      </c>
      <c r="F17" s="733">
        <f t="shared" si="4"/>
        <v>0</v>
      </c>
      <c r="G17" s="733">
        <f t="shared" si="4"/>
        <v>0</v>
      </c>
      <c r="H17" s="733">
        <f t="shared" si="4"/>
        <v>0</v>
      </c>
      <c r="I17" s="733">
        <f t="shared" si="4"/>
        <v>0</v>
      </c>
      <c r="J17" s="733">
        <f t="shared" si="4"/>
        <v>0</v>
      </c>
      <c r="K17" s="733">
        <f t="shared" si="4"/>
        <v>0</v>
      </c>
      <c r="L17" s="733">
        <f t="shared" si="4"/>
        <v>0</v>
      </c>
      <c r="M17" s="733">
        <f t="shared" si="4"/>
        <v>0</v>
      </c>
      <c r="N17" s="733">
        <f t="shared" si="4"/>
        <v>0</v>
      </c>
      <c r="O17" s="733">
        <f t="shared" si="1"/>
        <v>0</v>
      </c>
    </row>
    <row r="18" spans="1:15" s="294" customFormat="1" ht="13.5" customHeight="1" x14ac:dyDescent="0.2">
      <c r="A18" s="735" t="s">
        <v>239</v>
      </c>
      <c r="B18" s="736" t="s">
        <v>240</v>
      </c>
      <c r="C18" s="737">
        <v>0</v>
      </c>
      <c r="D18" s="737">
        <v>0</v>
      </c>
      <c r="E18" s="737">
        <v>0</v>
      </c>
      <c r="F18" s="737">
        <v>0</v>
      </c>
      <c r="G18" s="737">
        <v>0</v>
      </c>
      <c r="H18" s="737">
        <v>0</v>
      </c>
      <c r="I18" s="737">
        <v>0</v>
      </c>
      <c r="J18" s="737">
        <v>0</v>
      </c>
      <c r="K18" s="737">
        <v>0</v>
      </c>
      <c r="L18" s="737">
        <v>0</v>
      </c>
      <c r="M18" s="737">
        <v>0</v>
      </c>
      <c r="N18" s="737">
        <v>0</v>
      </c>
      <c r="O18" s="737">
        <f t="shared" si="1"/>
        <v>0</v>
      </c>
    </row>
    <row r="19" spans="1:15" s="294" customFormat="1" ht="13.5" customHeight="1" x14ac:dyDescent="0.2">
      <c r="A19" s="735" t="s">
        <v>241</v>
      </c>
      <c r="B19" s="736" t="s">
        <v>242</v>
      </c>
      <c r="C19" s="737">
        <v>0</v>
      </c>
      <c r="D19" s="737">
        <v>0</v>
      </c>
      <c r="E19" s="737">
        <v>0</v>
      </c>
      <c r="F19" s="737">
        <v>0</v>
      </c>
      <c r="G19" s="737">
        <v>0</v>
      </c>
      <c r="H19" s="737">
        <v>0</v>
      </c>
      <c r="I19" s="737">
        <v>0</v>
      </c>
      <c r="J19" s="737">
        <v>0</v>
      </c>
      <c r="K19" s="737">
        <v>0</v>
      </c>
      <c r="L19" s="737">
        <v>0</v>
      </c>
      <c r="M19" s="737">
        <v>0</v>
      </c>
      <c r="N19" s="737">
        <v>0</v>
      </c>
      <c r="O19" s="737">
        <f t="shared" si="1"/>
        <v>0</v>
      </c>
    </row>
    <row r="20" spans="1:15" s="294" customFormat="1" ht="13.5" customHeight="1" x14ac:dyDescent="0.2">
      <c r="A20" s="731" t="s">
        <v>243</v>
      </c>
      <c r="B20" s="732" t="s">
        <v>244</v>
      </c>
      <c r="C20" s="733">
        <f>C21</f>
        <v>0</v>
      </c>
      <c r="D20" s="733">
        <f t="shared" ref="D20:N20" si="5">D21</f>
        <v>0</v>
      </c>
      <c r="E20" s="733">
        <f t="shared" si="5"/>
        <v>0</v>
      </c>
      <c r="F20" s="733">
        <f t="shared" si="5"/>
        <v>0</v>
      </c>
      <c r="G20" s="733">
        <f t="shared" si="5"/>
        <v>0</v>
      </c>
      <c r="H20" s="733">
        <f t="shared" si="5"/>
        <v>0</v>
      </c>
      <c r="I20" s="733">
        <f t="shared" si="5"/>
        <v>0</v>
      </c>
      <c r="J20" s="733">
        <f t="shared" si="5"/>
        <v>0</v>
      </c>
      <c r="K20" s="733">
        <f t="shared" si="5"/>
        <v>0</v>
      </c>
      <c r="L20" s="733">
        <f t="shared" si="5"/>
        <v>0</v>
      </c>
      <c r="M20" s="733">
        <f t="shared" si="5"/>
        <v>0</v>
      </c>
      <c r="N20" s="733">
        <f t="shared" si="5"/>
        <v>0</v>
      </c>
      <c r="O20" s="733">
        <f t="shared" si="1"/>
        <v>0</v>
      </c>
    </row>
    <row r="21" spans="1:15" s="294" customFormat="1" ht="13.5" customHeight="1" x14ac:dyDescent="0.2">
      <c r="A21" s="735" t="s">
        <v>245</v>
      </c>
      <c r="B21" s="736" t="s">
        <v>246</v>
      </c>
      <c r="C21" s="737">
        <v>0</v>
      </c>
      <c r="D21" s="737">
        <v>0</v>
      </c>
      <c r="E21" s="737">
        <v>0</v>
      </c>
      <c r="F21" s="737">
        <v>0</v>
      </c>
      <c r="G21" s="737">
        <v>0</v>
      </c>
      <c r="H21" s="737">
        <v>0</v>
      </c>
      <c r="I21" s="737">
        <v>0</v>
      </c>
      <c r="J21" s="737">
        <v>0</v>
      </c>
      <c r="K21" s="737">
        <v>0</v>
      </c>
      <c r="L21" s="737">
        <v>0</v>
      </c>
      <c r="M21" s="737">
        <v>0</v>
      </c>
      <c r="N21" s="737">
        <v>0</v>
      </c>
      <c r="O21" s="737">
        <f t="shared" si="1"/>
        <v>0</v>
      </c>
    </row>
    <row r="22" spans="1:15" s="294" customFormat="1" ht="13.5" customHeight="1" x14ac:dyDescent="0.2">
      <c r="A22" s="731" t="s">
        <v>247</v>
      </c>
      <c r="B22" s="732" t="s">
        <v>248</v>
      </c>
      <c r="C22" s="733">
        <f>C23</f>
        <v>0</v>
      </c>
      <c r="D22" s="733">
        <f t="shared" ref="D22:N22" si="6">D23</f>
        <v>0</v>
      </c>
      <c r="E22" s="733">
        <f t="shared" si="6"/>
        <v>0</v>
      </c>
      <c r="F22" s="733">
        <f t="shared" si="6"/>
        <v>0</v>
      </c>
      <c r="G22" s="733">
        <f t="shared" si="6"/>
        <v>0</v>
      </c>
      <c r="H22" s="733">
        <f t="shared" si="6"/>
        <v>0</v>
      </c>
      <c r="I22" s="733">
        <f t="shared" si="6"/>
        <v>0</v>
      </c>
      <c r="J22" s="733">
        <f t="shared" si="6"/>
        <v>0</v>
      </c>
      <c r="K22" s="733">
        <f t="shared" si="6"/>
        <v>0</v>
      </c>
      <c r="L22" s="733">
        <f t="shared" si="6"/>
        <v>0</v>
      </c>
      <c r="M22" s="733">
        <f t="shared" si="6"/>
        <v>0</v>
      </c>
      <c r="N22" s="733">
        <f t="shared" si="6"/>
        <v>0</v>
      </c>
      <c r="O22" s="733">
        <f t="shared" si="1"/>
        <v>0</v>
      </c>
    </row>
    <row r="23" spans="1:15" s="294" customFormat="1" ht="13.5" customHeight="1" x14ac:dyDescent="0.2">
      <c r="A23" s="735" t="s">
        <v>249</v>
      </c>
      <c r="B23" s="736" t="s">
        <v>250</v>
      </c>
      <c r="C23" s="737">
        <v>0</v>
      </c>
      <c r="D23" s="737">
        <v>0</v>
      </c>
      <c r="E23" s="737">
        <v>0</v>
      </c>
      <c r="F23" s="737">
        <v>0</v>
      </c>
      <c r="G23" s="737">
        <v>0</v>
      </c>
      <c r="H23" s="737">
        <v>0</v>
      </c>
      <c r="I23" s="737">
        <v>0</v>
      </c>
      <c r="J23" s="737">
        <v>0</v>
      </c>
      <c r="K23" s="737">
        <v>0</v>
      </c>
      <c r="L23" s="737">
        <v>0</v>
      </c>
      <c r="M23" s="737">
        <v>0</v>
      </c>
      <c r="N23" s="737">
        <v>0</v>
      </c>
      <c r="O23" s="737">
        <f t="shared" si="1"/>
        <v>0</v>
      </c>
    </row>
    <row r="24" spans="1:15" s="294" customFormat="1" ht="13.5" customHeight="1" x14ac:dyDescent="0.2">
      <c r="A24" s="725" t="s">
        <v>251</v>
      </c>
      <c r="B24" s="726" t="s">
        <v>252</v>
      </c>
      <c r="C24" s="727">
        <f>C25</f>
        <v>0</v>
      </c>
      <c r="D24" s="727">
        <f t="shared" ref="D24:N25" si="7">D25</f>
        <v>0</v>
      </c>
      <c r="E24" s="727">
        <f t="shared" si="7"/>
        <v>3044.53</v>
      </c>
      <c r="F24" s="727">
        <f t="shared" si="7"/>
        <v>0</v>
      </c>
      <c r="G24" s="727">
        <f t="shared" si="7"/>
        <v>0</v>
      </c>
      <c r="H24" s="727">
        <f t="shared" si="7"/>
        <v>0</v>
      </c>
      <c r="I24" s="727">
        <f t="shared" si="7"/>
        <v>0</v>
      </c>
      <c r="J24" s="727">
        <f t="shared" si="7"/>
        <v>0</v>
      </c>
      <c r="K24" s="727">
        <f t="shared" si="7"/>
        <v>0</v>
      </c>
      <c r="L24" s="727">
        <f t="shared" si="7"/>
        <v>0</v>
      </c>
      <c r="M24" s="727">
        <f t="shared" si="7"/>
        <v>0</v>
      </c>
      <c r="N24" s="727">
        <f t="shared" si="7"/>
        <v>0</v>
      </c>
      <c r="O24" s="727">
        <f t="shared" si="1"/>
        <v>338.28111111111116</v>
      </c>
    </row>
    <row r="25" spans="1:15" s="294" customFormat="1" ht="13.5" customHeight="1" x14ac:dyDescent="0.2">
      <c r="A25" s="731" t="s">
        <v>253</v>
      </c>
      <c r="B25" s="732" t="s">
        <v>254</v>
      </c>
      <c r="C25" s="733">
        <f>C26</f>
        <v>0</v>
      </c>
      <c r="D25" s="733">
        <f t="shared" si="7"/>
        <v>0</v>
      </c>
      <c r="E25" s="733">
        <f t="shared" si="7"/>
        <v>3044.53</v>
      </c>
      <c r="F25" s="733">
        <f t="shared" si="7"/>
        <v>0</v>
      </c>
      <c r="G25" s="733">
        <f t="shared" si="7"/>
        <v>0</v>
      </c>
      <c r="H25" s="733">
        <f t="shared" si="7"/>
        <v>0</v>
      </c>
      <c r="I25" s="733">
        <f t="shared" si="7"/>
        <v>0</v>
      </c>
      <c r="J25" s="733">
        <f t="shared" si="7"/>
        <v>0</v>
      </c>
      <c r="K25" s="733">
        <f t="shared" si="7"/>
        <v>0</v>
      </c>
      <c r="L25" s="733">
        <f t="shared" si="7"/>
        <v>0</v>
      </c>
      <c r="M25" s="733">
        <f t="shared" si="7"/>
        <v>0</v>
      </c>
      <c r="N25" s="733">
        <f t="shared" si="7"/>
        <v>0</v>
      </c>
      <c r="O25" s="733">
        <f t="shared" si="1"/>
        <v>338.28111111111116</v>
      </c>
    </row>
    <row r="26" spans="1:15" s="294" customFormat="1" ht="13.5" customHeight="1" x14ac:dyDescent="0.2">
      <c r="A26" s="735" t="s">
        <v>255</v>
      </c>
      <c r="B26" s="736" t="s">
        <v>256</v>
      </c>
      <c r="C26" s="737">
        <v>0</v>
      </c>
      <c r="D26" s="737">
        <v>0</v>
      </c>
      <c r="E26" s="737">
        <v>3044.53</v>
      </c>
      <c r="F26" s="737">
        <v>0</v>
      </c>
      <c r="G26" s="737">
        <v>0</v>
      </c>
      <c r="H26" s="737">
        <v>0</v>
      </c>
      <c r="I26" s="737">
        <v>0</v>
      </c>
      <c r="J26" s="737">
        <v>0</v>
      </c>
      <c r="K26" s="737">
        <v>0</v>
      </c>
      <c r="L26" s="737">
        <v>0</v>
      </c>
      <c r="M26" s="737">
        <v>0</v>
      </c>
      <c r="N26" s="737">
        <v>0</v>
      </c>
      <c r="O26" s="737">
        <f t="shared" si="1"/>
        <v>338.28111111111116</v>
      </c>
    </row>
    <row r="27" spans="1:15" s="294" customFormat="1" ht="13.5" customHeight="1" x14ac:dyDescent="0.2">
      <c r="A27" s="725" t="s">
        <v>257</v>
      </c>
      <c r="B27" s="726" t="s">
        <v>258</v>
      </c>
      <c r="C27" s="727">
        <f>C28+C31</f>
        <v>0</v>
      </c>
      <c r="D27" s="727">
        <f t="shared" ref="D27:N27" si="8">D28+D31</f>
        <v>0</v>
      </c>
      <c r="E27" s="727">
        <f t="shared" si="8"/>
        <v>0</v>
      </c>
      <c r="F27" s="727">
        <f t="shared" si="8"/>
        <v>0</v>
      </c>
      <c r="G27" s="727">
        <f t="shared" si="8"/>
        <v>0</v>
      </c>
      <c r="H27" s="727">
        <f t="shared" si="8"/>
        <v>0</v>
      </c>
      <c r="I27" s="727">
        <f t="shared" si="8"/>
        <v>0</v>
      </c>
      <c r="J27" s="727">
        <f t="shared" si="8"/>
        <v>0</v>
      </c>
      <c r="K27" s="727">
        <f t="shared" si="8"/>
        <v>0</v>
      </c>
      <c r="L27" s="727">
        <f t="shared" si="8"/>
        <v>0</v>
      </c>
      <c r="M27" s="727">
        <f t="shared" si="8"/>
        <v>0</v>
      </c>
      <c r="N27" s="727">
        <f t="shared" si="8"/>
        <v>0</v>
      </c>
      <c r="O27" s="727">
        <f t="shared" si="1"/>
        <v>0</v>
      </c>
    </row>
    <row r="28" spans="1:15" s="294" customFormat="1" ht="13.5" customHeight="1" x14ac:dyDescent="0.2">
      <c r="A28" s="731" t="s">
        <v>259</v>
      </c>
      <c r="B28" s="732" t="s">
        <v>260</v>
      </c>
      <c r="C28" s="733">
        <f>C29+C30</f>
        <v>0</v>
      </c>
      <c r="D28" s="733">
        <f t="shared" ref="D28:N28" si="9">D29+D30</f>
        <v>0</v>
      </c>
      <c r="E28" s="733">
        <f t="shared" si="9"/>
        <v>0</v>
      </c>
      <c r="F28" s="733">
        <f t="shared" si="9"/>
        <v>0</v>
      </c>
      <c r="G28" s="733">
        <f t="shared" si="9"/>
        <v>0</v>
      </c>
      <c r="H28" s="733">
        <f t="shared" si="9"/>
        <v>0</v>
      </c>
      <c r="I28" s="733">
        <f t="shared" si="9"/>
        <v>0</v>
      </c>
      <c r="J28" s="733">
        <f t="shared" si="9"/>
        <v>0</v>
      </c>
      <c r="K28" s="733">
        <f t="shared" si="9"/>
        <v>0</v>
      </c>
      <c r="L28" s="733">
        <f t="shared" si="9"/>
        <v>0</v>
      </c>
      <c r="M28" s="733">
        <f t="shared" si="9"/>
        <v>0</v>
      </c>
      <c r="N28" s="733">
        <f t="shared" si="9"/>
        <v>0</v>
      </c>
      <c r="O28" s="733">
        <f t="shared" si="1"/>
        <v>0</v>
      </c>
    </row>
    <row r="29" spans="1:15" s="309" customFormat="1" ht="13.5" customHeight="1" x14ac:dyDescent="0.2">
      <c r="A29" s="735" t="s">
        <v>261</v>
      </c>
      <c r="B29" s="736" t="s">
        <v>262</v>
      </c>
      <c r="C29" s="737">
        <v>0</v>
      </c>
      <c r="D29" s="737">
        <v>0</v>
      </c>
      <c r="E29" s="737">
        <v>0</v>
      </c>
      <c r="F29" s="737">
        <v>0</v>
      </c>
      <c r="G29" s="737">
        <v>0</v>
      </c>
      <c r="H29" s="737">
        <v>0</v>
      </c>
      <c r="I29" s="737">
        <v>0</v>
      </c>
      <c r="J29" s="737">
        <v>0</v>
      </c>
      <c r="K29" s="737">
        <v>0</v>
      </c>
      <c r="L29" s="737">
        <v>0</v>
      </c>
      <c r="M29" s="737">
        <v>0</v>
      </c>
      <c r="N29" s="737">
        <v>0</v>
      </c>
      <c r="O29" s="737">
        <f t="shared" si="1"/>
        <v>0</v>
      </c>
    </row>
    <row r="30" spans="1:15" s="294" customFormat="1" ht="13.5" customHeight="1" x14ac:dyDescent="0.2">
      <c r="A30" s="735" t="s">
        <v>263</v>
      </c>
      <c r="B30" s="736" t="s">
        <v>264</v>
      </c>
      <c r="C30" s="737">
        <v>0</v>
      </c>
      <c r="D30" s="737">
        <v>0</v>
      </c>
      <c r="E30" s="737">
        <v>0</v>
      </c>
      <c r="F30" s="737">
        <v>0</v>
      </c>
      <c r="G30" s="737">
        <v>0</v>
      </c>
      <c r="H30" s="737">
        <v>0</v>
      </c>
      <c r="I30" s="737">
        <v>0</v>
      </c>
      <c r="J30" s="737">
        <v>0</v>
      </c>
      <c r="K30" s="737">
        <v>0</v>
      </c>
      <c r="L30" s="737">
        <v>0</v>
      </c>
      <c r="M30" s="737">
        <v>0</v>
      </c>
      <c r="N30" s="737">
        <v>0</v>
      </c>
      <c r="O30" s="737">
        <f t="shared" si="1"/>
        <v>0</v>
      </c>
    </row>
    <row r="31" spans="1:15" s="294" customFormat="1" ht="13.5" customHeight="1" x14ac:dyDescent="0.2">
      <c r="A31" s="731" t="s">
        <v>265</v>
      </c>
      <c r="B31" s="732" t="s">
        <v>266</v>
      </c>
      <c r="C31" s="733">
        <f>C32</f>
        <v>0</v>
      </c>
      <c r="D31" s="733">
        <f t="shared" ref="D31:N31" si="10">D32</f>
        <v>0</v>
      </c>
      <c r="E31" s="733">
        <f t="shared" si="10"/>
        <v>0</v>
      </c>
      <c r="F31" s="733">
        <f t="shared" si="10"/>
        <v>0</v>
      </c>
      <c r="G31" s="733">
        <f t="shared" si="10"/>
        <v>0</v>
      </c>
      <c r="H31" s="733">
        <f t="shared" si="10"/>
        <v>0</v>
      </c>
      <c r="I31" s="733">
        <f t="shared" si="10"/>
        <v>0</v>
      </c>
      <c r="J31" s="733">
        <f t="shared" si="10"/>
        <v>0</v>
      </c>
      <c r="K31" s="733">
        <f t="shared" si="10"/>
        <v>0</v>
      </c>
      <c r="L31" s="733">
        <f t="shared" si="10"/>
        <v>0</v>
      </c>
      <c r="M31" s="733">
        <f t="shared" si="10"/>
        <v>0</v>
      </c>
      <c r="N31" s="733">
        <f t="shared" si="10"/>
        <v>0</v>
      </c>
      <c r="O31" s="733">
        <f t="shared" si="1"/>
        <v>0</v>
      </c>
    </row>
    <row r="32" spans="1:15" s="309" customFormat="1" ht="13.5" customHeight="1" x14ac:dyDescent="0.2">
      <c r="A32" s="735" t="s">
        <v>267</v>
      </c>
      <c r="B32" s="736" t="s">
        <v>256</v>
      </c>
      <c r="C32" s="737">
        <v>0</v>
      </c>
      <c r="D32" s="737">
        <v>0</v>
      </c>
      <c r="E32" s="737">
        <v>0</v>
      </c>
      <c r="F32" s="737">
        <v>0</v>
      </c>
      <c r="G32" s="737">
        <v>0</v>
      </c>
      <c r="H32" s="737">
        <v>0</v>
      </c>
      <c r="I32" s="737">
        <v>0</v>
      </c>
      <c r="J32" s="737">
        <v>0</v>
      </c>
      <c r="K32" s="737">
        <v>0</v>
      </c>
      <c r="L32" s="737">
        <v>0</v>
      </c>
      <c r="M32" s="737">
        <v>0</v>
      </c>
      <c r="N32" s="737">
        <v>0</v>
      </c>
      <c r="O32" s="737">
        <f t="shared" si="1"/>
        <v>0</v>
      </c>
    </row>
    <row r="33" spans="1:15" s="294" customFormat="1" ht="13.5" customHeight="1" x14ac:dyDescent="0.2">
      <c r="A33" s="719" t="s">
        <v>268</v>
      </c>
      <c r="B33" s="720" t="s">
        <v>269</v>
      </c>
      <c r="C33" s="721">
        <f t="shared" ref="C33:N33" si="11">C34+C37+C50+C85</f>
        <v>51493.016000000003</v>
      </c>
      <c r="D33" s="721">
        <f t="shared" si="11"/>
        <v>43633.91626896552</v>
      </c>
      <c r="E33" s="721">
        <f t="shared" si="11"/>
        <v>57663.369593103445</v>
      </c>
      <c r="F33" s="721">
        <f t="shared" si="11"/>
        <v>52820.93</v>
      </c>
      <c r="G33" s="721">
        <f t="shared" si="11"/>
        <v>73631.839531034479</v>
      </c>
      <c r="H33" s="721">
        <f t="shared" si="11"/>
        <v>96626.030599999998</v>
      </c>
      <c r="I33" s="721">
        <f t="shared" si="11"/>
        <v>56800.710800000001</v>
      </c>
      <c r="J33" s="721">
        <f t="shared" si="11"/>
        <v>57908.720331034485</v>
      </c>
      <c r="K33" s="721">
        <f t="shared" si="11"/>
        <v>119747.16679310346</v>
      </c>
      <c r="L33" s="721">
        <f t="shared" si="11"/>
        <v>122915.85387676953</v>
      </c>
      <c r="M33" s="721">
        <f t="shared" si="11"/>
        <v>86467.937276769517</v>
      </c>
      <c r="N33" s="721">
        <f t="shared" si="11"/>
        <v>84563.434731941932</v>
      </c>
      <c r="O33" s="721">
        <f t="shared" si="1"/>
        <v>67813.966657471276</v>
      </c>
    </row>
    <row r="34" spans="1:15" s="294" customFormat="1" ht="13.5" customHeight="1" x14ac:dyDescent="0.2">
      <c r="A34" s="725" t="s">
        <v>270</v>
      </c>
      <c r="B34" s="726" t="s">
        <v>271</v>
      </c>
      <c r="C34" s="745">
        <f>C35</f>
        <v>0</v>
      </c>
      <c r="D34" s="745">
        <f t="shared" ref="D34:N35" si="12">D35</f>
        <v>0</v>
      </c>
      <c r="E34" s="745">
        <f t="shared" si="12"/>
        <v>0</v>
      </c>
      <c r="F34" s="745">
        <f t="shared" si="12"/>
        <v>0</v>
      </c>
      <c r="G34" s="745">
        <f t="shared" si="12"/>
        <v>0</v>
      </c>
      <c r="H34" s="745">
        <f t="shared" si="12"/>
        <v>0</v>
      </c>
      <c r="I34" s="745">
        <f t="shared" si="12"/>
        <v>0</v>
      </c>
      <c r="J34" s="745">
        <f t="shared" si="12"/>
        <v>0</v>
      </c>
      <c r="K34" s="745">
        <f t="shared" si="12"/>
        <v>0</v>
      </c>
      <c r="L34" s="745">
        <f t="shared" si="12"/>
        <v>0</v>
      </c>
      <c r="M34" s="745">
        <f t="shared" si="12"/>
        <v>0</v>
      </c>
      <c r="N34" s="745">
        <f t="shared" si="12"/>
        <v>0</v>
      </c>
      <c r="O34" s="745">
        <f t="shared" si="1"/>
        <v>0</v>
      </c>
    </row>
    <row r="35" spans="1:15" s="294" customFormat="1" ht="13.5" customHeight="1" x14ac:dyDescent="0.2">
      <c r="A35" s="731" t="s">
        <v>272</v>
      </c>
      <c r="B35" s="732" t="s">
        <v>273</v>
      </c>
      <c r="C35" s="747">
        <f>C36</f>
        <v>0</v>
      </c>
      <c r="D35" s="747">
        <f t="shared" si="12"/>
        <v>0</v>
      </c>
      <c r="E35" s="747">
        <f t="shared" si="12"/>
        <v>0</v>
      </c>
      <c r="F35" s="747">
        <f t="shared" si="12"/>
        <v>0</v>
      </c>
      <c r="G35" s="747">
        <f t="shared" si="12"/>
        <v>0</v>
      </c>
      <c r="H35" s="747">
        <f t="shared" si="12"/>
        <v>0</v>
      </c>
      <c r="I35" s="747">
        <f t="shared" si="12"/>
        <v>0</v>
      </c>
      <c r="J35" s="747">
        <f t="shared" si="12"/>
        <v>0</v>
      </c>
      <c r="K35" s="747">
        <f t="shared" si="12"/>
        <v>0</v>
      </c>
      <c r="L35" s="747">
        <f t="shared" si="12"/>
        <v>0</v>
      </c>
      <c r="M35" s="747">
        <f t="shared" si="12"/>
        <v>0</v>
      </c>
      <c r="N35" s="747">
        <f t="shared" si="12"/>
        <v>0</v>
      </c>
      <c r="O35" s="747">
        <f t="shared" si="1"/>
        <v>0</v>
      </c>
    </row>
    <row r="36" spans="1:15" s="309" customFormat="1" ht="13.5" customHeight="1" x14ac:dyDescent="0.2">
      <c r="A36" s="735" t="s">
        <v>274</v>
      </c>
      <c r="B36" s="736" t="s">
        <v>275</v>
      </c>
      <c r="C36" s="743">
        <v>0</v>
      </c>
      <c r="D36" s="743">
        <v>0</v>
      </c>
      <c r="E36" s="743">
        <v>0</v>
      </c>
      <c r="F36" s="743">
        <v>0</v>
      </c>
      <c r="G36" s="743">
        <v>0</v>
      </c>
      <c r="H36" s="743">
        <v>0</v>
      </c>
      <c r="I36" s="743">
        <v>0</v>
      </c>
      <c r="J36" s="743">
        <v>0</v>
      </c>
      <c r="K36" s="743">
        <v>0</v>
      </c>
      <c r="L36" s="737">
        <v>0</v>
      </c>
      <c r="M36" s="737">
        <v>0</v>
      </c>
      <c r="N36" s="737">
        <v>0</v>
      </c>
      <c r="O36" s="737">
        <f t="shared" si="1"/>
        <v>0</v>
      </c>
    </row>
    <row r="37" spans="1:15" s="294" customFormat="1" ht="13.5" customHeight="1" x14ac:dyDescent="0.2">
      <c r="A37" s="725" t="s">
        <v>276</v>
      </c>
      <c r="B37" s="726" t="s">
        <v>277</v>
      </c>
      <c r="C37" s="727">
        <f>C38+C46</f>
        <v>21019.300000000003</v>
      </c>
      <c r="D37" s="727">
        <f t="shared" ref="D37:N37" si="13">D38+D46</f>
        <v>21444.68</v>
      </c>
      <c r="E37" s="727">
        <f t="shared" si="13"/>
        <v>18877.769999999997</v>
      </c>
      <c r="F37" s="727">
        <f t="shared" si="13"/>
        <v>27095.19</v>
      </c>
      <c r="G37" s="727">
        <f t="shared" si="13"/>
        <v>39545.74</v>
      </c>
      <c r="H37" s="727">
        <f t="shared" si="13"/>
        <v>40314.119999999995</v>
      </c>
      <c r="I37" s="727">
        <f t="shared" si="13"/>
        <v>21806.850000000002</v>
      </c>
      <c r="J37" s="727">
        <f t="shared" si="13"/>
        <v>25474.93</v>
      </c>
      <c r="K37" s="727">
        <f t="shared" si="13"/>
        <v>25547.690000000002</v>
      </c>
      <c r="L37" s="727">
        <f t="shared" si="13"/>
        <v>71616.161640000006</v>
      </c>
      <c r="M37" s="727">
        <f t="shared" si="13"/>
        <v>37720.961639999994</v>
      </c>
      <c r="N37" s="727">
        <f t="shared" si="13"/>
        <v>38695.361640000003</v>
      </c>
      <c r="O37" s="727">
        <f t="shared" si="1"/>
        <v>26791.807777777776</v>
      </c>
    </row>
    <row r="38" spans="1:15" s="309" customFormat="1" ht="13.5" customHeight="1" x14ac:dyDescent="0.2">
      <c r="A38" s="731" t="s">
        <v>276</v>
      </c>
      <c r="B38" s="732" t="s">
        <v>278</v>
      </c>
      <c r="C38" s="733">
        <f>C39+C40+C41+C42+C43+C44+C45</f>
        <v>16538.45</v>
      </c>
      <c r="D38" s="733">
        <f t="shared" ref="D38:N38" si="14">D39+D40+D41+D42+D43+D44+D45</f>
        <v>16600.52</v>
      </c>
      <c r="E38" s="733">
        <f t="shared" si="14"/>
        <v>16455.689999999999</v>
      </c>
      <c r="F38" s="733">
        <f t="shared" si="14"/>
        <v>16559.14</v>
      </c>
      <c r="G38" s="733">
        <f t="shared" si="14"/>
        <v>19913.8</v>
      </c>
      <c r="H38" s="733">
        <f t="shared" si="14"/>
        <v>19217.059999999998</v>
      </c>
      <c r="I38" s="733">
        <f t="shared" si="14"/>
        <v>16962.690000000002</v>
      </c>
      <c r="J38" s="733">
        <f t="shared" si="14"/>
        <v>16900.620000000003</v>
      </c>
      <c r="K38" s="733">
        <f t="shared" si="14"/>
        <v>16828.2</v>
      </c>
      <c r="L38" s="733">
        <f t="shared" si="14"/>
        <v>17815.361639999999</v>
      </c>
      <c r="M38" s="733">
        <f t="shared" si="14"/>
        <v>17815.361639999999</v>
      </c>
      <c r="N38" s="733">
        <f t="shared" si="14"/>
        <v>17815.361639999999</v>
      </c>
      <c r="O38" s="733">
        <f t="shared" si="1"/>
        <v>17330.685555555556</v>
      </c>
    </row>
    <row r="39" spans="1:15" s="309" customFormat="1" ht="13.5" customHeight="1" x14ac:dyDescent="0.2">
      <c r="A39" s="735" t="s">
        <v>279</v>
      </c>
      <c r="B39" s="736" t="s">
        <v>280</v>
      </c>
      <c r="C39" s="750">
        <v>11364.84</v>
      </c>
      <c r="D39" s="750">
        <v>11364.84</v>
      </c>
      <c r="E39" s="750">
        <v>11364.84</v>
      </c>
      <c r="F39" s="750">
        <v>11364.84</v>
      </c>
      <c r="G39" s="750">
        <v>13746.89</v>
      </c>
      <c r="H39" s="750">
        <v>12012.63</v>
      </c>
      <c r="I39" s="750">
        <v>11642.32</v>
      </c>
      <c r="J39" s="750">
        <v>11642.32</v>
      </c>
      <c r="K39" s="750">
        <v>11642.32</v>
      </c>
      <c r="L39" s="743">
        <v>11754.92</v>
      </c>
      <c r="M39" s="743">
        <v>11754.92</v>
      </c>
      <c r="N39" s="743">
        <v>11754.92</v>
      </c>
      <c r="O39" s="743">
        <f t="shared" si="1"/>
        <v>11793.982222222225</v>
      </c>
    </row>
    <row r="40" spans="1:15" s="309" customFormat="1" ht="13.5" customHeight="1" x14ac:dyDescent="0.2">
      <c r="A40" s="752" t="s">
        <v>281</v>
      </c>
      <c r="B40" s="753" t="s">
        <v>282</v>
      </c>
      <c r="C40" s="755">
        <v>1899.06</v>
      </c>
      <c r="D40" s="755">
        <v>1899.06</v>
      </c>
      <c r="E40" s="755">
        <v>1899.06</v>
      </c>
      <c r="F40" s="755">
        <v>1899.06</v>
      </c>
      <c r="G40" s="755">
        <v>2297.09</v>
      </c>
      <c r="H40" s="755">
        <v>2007.31</v>
      </c>
      <c r="I40" s="755">
        <v>1945.43</v>
      </c>
      <c r="J40" s="755">
        <v>1945.43</v>
      </c>
      <c r="K40" s="755">
        <v>1945.43</v>
      </c>
      <c r="L40" s="754">
        <v>1964.247132</v>
      </c>
      <c r="M40" s="754">
        <v>1964.247132</v>
      </c>
      <c r="N40" s="754">
        <v>1964.247132</v>
      </c>
      <c r="O40" s="754">
        <f t="shared" si="1"/>
        <v>1970.77</v>
      </c>
    </row>
    <row r="41" spans="1:15" s="309" customFormat="1" ht="13.5" customHeight="1" x14ac:dyDescent="0.2">
      <c r="A41" s="752" t="s">
        <v>283</v>
      </c>
      <c r="B41" s="753" t="s">
        <v>284</v>
      </c>
      <c r="C41" s="755">
        <v>1893.38</v>
      </c>
      <c r="D41" s="755">
        <v>1893.38</v>
      </c>
      <c r="E41" s="755">
        <v>1893.38</v>
      </c>
      <c r="F41" s="755">
        <v>1893.38</v>
      </c>
      <c r="G41" s="755">
        <v>2290.2399999999998</v>
      </c>
      <c r="H41" s="755">
        <v>2001.3</v>
      </c>
      <c r="I41" s="755">
        <v>1939.61</v>
      </c>
      <c r="J41" s="755">
        <v>1939.61</v>
      </c>
      <c r="K41" s="755">
        <v>1939.61</v>
      </c>
      <c r="L41" s="754">
        <v>1958.369672</v>
      </c>
      <c r="M41" s="754">
        <v>1958.369672</v>
      </c>
      <c r="N41" s="754">
        <v>1958.369672</v>
      </c>
      <c r="O41" s="754">
        <f t="shared" si="1"/>
        <v>1964.8766666666666</v>
      </c>
    </row>
    <row r="42" spans="1:15" s="309" customFormat="1" ht="13.5" customHeight="1" x14ac:dyDescent="0.2">
      <c r="A42" s="752" t="s">
        <v>285</v>
      </c>
      <c r="B42" s="753" t="s">
        <v>286</v>
      </c>
      <c r="C42" s="755">
        <v>946.69</v>
      </c>
      <c r="D42" s="755">
        <v>946.69</v>
      </c>
      <c r="E42" s="755">
        <v>946.69</v>
      </c>
      <c r="F42" s="755">
        <v>946.69</v>
      </c>
      <c r="G42" s="755">
        <v>1145.0999999999999</v>
      </c>
      <c r="H42" s="755">
        <v>1000.65</v>
      </c>
      <c r="I42" s="755">
        <v>969.81</v>
      </c>
      <c r="J42" s="755">
        <v>969.81</v>
      </c>
      <c r="K42" s="755">
        <v>969.81</v>
      </c>
      <c r="L42" s="754">
        <v>979.18483600000002</v>
      </c>
      <c r="M42" s="754">
        <v>979.18483600000002</v>
      </c>
      <c r="N42" s="754">
        <v>979.18483600000002</v>
      </c>
      <c r="O42" s="754">
        <f t="shared" ref="O42:O73" si="15">+AVERAGE(C42:K42)</f>
        <v>982.43777777777768</v>
      </c>
    </row>
    <row r="43" spans="1:15" s="309" customFormat="1" ht="13.5" customHeight="1" x14ac:dyDescent="0.2">
      <c r="A43" s="735" t="s">
        <v>287</v>
      </c>
      <c r="B43" s="736" t="s">
        <v>288</v>
      </c>
      <c r="C43" s="750">
        <v>0</v>
      </c>
      <c r="D43" s="750">
        <v>0</v>
      </c>
      <c r="E43" s="750">
        <v>0</v>
      </c>
      <c r="F43" s="750">
        <v>0</v>
      </c>
      <c r="G43" s="750">
        <v>0</v>
      </c>
      <c r="H43" s="750">
        <v>0</v>
      </c>
      <c r="I43" s="750">
        <v>0</v>
      </c>
      <c r="J43" s="750">
        <v>0</v>
      </c>
      <c r="K43" s="750">
        <v>0</v>
      </c>
      <c r="L43" s="743">
        <v>0</v>
      </c>
      <c r="M43" s="743">
        <v>0</v>
      </c>
      <c r="N43" s="743">
        <v>0</v>
      </c>
      <c r="O43" s="743">
        <f t="shared" si="15"/>
        <v>0</v>
      </c>
    </row>
    <row r="44" spans="1:15" s="309" customFormat="1" ht="13.5" customHeight="1" x14ac:dyDescent="0.2">
      <c r="A44" s="735" t="s">
        <v>289</v>
      </c>
      <c r="B44" s="736" t="s">
        <v>290</v>
      </c>
      <c r="C44" s="750">
        <v>0</v>
      </c>
      <c r="D44" s="750">
        <v>0</v>
      </c>
      <c r="E44" s="750">
        <v>0</v>
      </c>
      <c r="F44" s="750">
        <v>0</v>
      </c>
      <c r="G44" s="750">
        <v>0</v>
      </c>
      <c r="H44" s="750">
        <v>1740</v>
      </c>
      <c r="I44" s="750">
        <v>0</v>
      </c>
      <c r="J44" s="750">
        <v>0</v>
      </c>
      <c r="K44" s="750">
        <v>0</v>
      </c>
      <c r="L44" s="743">
        <v>0</v>
      </c>
      <c r="M44" s="743">
        <v>0</v>
      </c>
      <c r="N44" s="743">
        <v>0</v>
      </c>
      <c r="O44" s="743">
        <f t="shared" si="15"/>
        <v>193.33333333333334</v>
      </c>
    </row>
    <row r="45" spans="1:15" s="309" customFormat="1" ht="13.5" customHeight="1" x14ac:dyDescent="0.2">
      <c r="A45" s="735" t="s">
        <v>291</v>
      </c>
      <c r="B45" s="736" t="s">
        <v>292</v>
      </c>
      <c r="C45" s="750">
        <v>434.48</v>
      </c>
      <c r="D45" s="750">
        <v>496.55</v>
      </c>
      <c r="E45" s="750">
        <v>351.72</v>
      </c>
      <c r="F45" s="750">
        <v>455.17</v>
      </c>
      <c r="G45" s="750">
        <v>434.48</v>
      </c>
      <c r="H45" s="750">
        <v>455.17</v>
      </c>
      <c r="I45" s="750">
        <v>465.52</v>
      </c>
      <c r="J45" s="750">
        <v>403.45</v>
      </c>
      <c r="K45" s="750">
        <v>331.03</v>
      </c>
      <c r="L45" s="743">
        <v>1158.6399999999999</v>
      </c>
      <c r="M45" s="743">
        <v>1158.6399999999999</v>
      </c>
      <c r="N45" s="743">
        <v>1158.6399999999999</v>
      </c>
      <c r="O45" s="743">
        <f t="shared" si="15"/>
        <v>425.2855555555555</v>
      </c>
    </row>
    <row r="46" spans="1:15" s="309" customFormat="1" ht="13.5" customHeight="1" x14ac:dyDescent="0.2">
      <c r="A46" s="731" t="s">
        <v>293</v>
      </c>
      <c r="B46" s="732" t="s">
        <v>294</v>
      </c>
      <c r="C46" s="733">
        <f>C47+C48+C49</f>
        <v>4480.8500000000004</v>
      </c>
      <c r="D46" s="733">
        <f t="shared" ref="D46:N46" si="16">D47+D48+D49</f>
        <v>4844.16</v>
      </c>
      <c r="E46" s="733">
        <f t="shared" si="16"/>
        <v>2422.08</v>
      </c>
      <c r="F46" s="733">
        <f t="shared" si="16"/>
        <v>10536.05</v>
      </c>
      <c r="G46" s="733">
        <f t="shared" si="16"/>
        <v>19631.939999999999</v>
      </c>
      <c r="H46" s="733">
        <f t="shared" si="16"/>
        <v>21097.06</v>
      </c>
      <c r="I46" s="733">
        <f t="shared" si="16"/>
        <v>4844.16</v>
      </c>
      <c r="J46" s="733">
        <f t="shared" si="16"/>
        <v>8574.31</v>
      </c>
      <c r="K46" s="733">
        <f t="shared" si="16"/>
        <v>8719.49</v>
      </c>
      <c r="L46" s="733">
        <f t="shared" si="16"/>
        <v>53800.800000000003</v>
      </c>
      <c r="M46" s="733">
        <f t="shared" si="16"/>
        <v>19905.599999999999</v>
      </c>
      <c r="N46" s="733">
        <f t="shared" si="16"/>
        <v>20880</v>
      </c>
      <c r="O46" s="733">
        <f t="shared" si="15"/>
        <v>9461.1222222222223</v>
      </c>
    </row>
    <row r="47" spans="1:15" s="309" customFormat="1" ht="13.5" customHeight="1" x14ac:dyDescent="0.2">
      <c r="A47" s="735" t="s">
        <v>295</v>
      </c>
      <c r="B47" s="736" t="s">
        <v>296</v>
      </c>
      <c r="C47" s="750">
        <v>0</v>
      </c>
      <c r="D47" s="750">
        <v>0</v>
      </c>
      <c r="E47" s="750">
        <v>0</v>
      </c>
      <c r="F47" s="750">
        <v>0</v>
      </c>
      <c r="G47" s="750">
        <v>0</v>
      </c>
      <c r="H47" s="750">
        <v>0</v>
      </c>
      <c r="I47" s="750">
        <v>0</v>
      </c>
      <c r="J47" s="750">
        <v>0</v>
      </c>
      <c r="K47" s="750">
        <v>0</v>
      </c>
      <c r="L47" s="743">
        <v>0</v>
      </c>
      <c r="M47" s="743">
        <v>0</v>
      </c>
      <c r="N47" s="743">
        <v>0</v>
      </c>
      <c r="O47" s="743">
        <f t="shared" si="15"/>
        <v>0</v>
      </c>
    </row>
    <row r="48" spans="1:15" s="309" customFormat="1" ht="13.5" customHeight="1" x14ac:dyDescent="0.2">
      <c r="A48" s="735" t="s">
        <v>297</v>
      </c>
      <c r="B48" s="736" t="s">
        <v>298</v>
      </c>
      <c r="C48" s="750">
        <v>0</v>
      </c>
      <c r="D48" s="750">
        <v>0</v>
      </c>
      <c r="E48" s="750">
        <v>0</v>
      </c>
      <c r="F48" s="750">
        <v>0</v>
      </c>
      <c r="G48" s="750">
        <v>0</v>
      </c>
      <c r="H48" s="750">
        <v>0</v>
      </c>
      <c r="I48" s="750">
        <v>0</v>
      </c>
      <c r="J48" s="750">
        <v>0</v>
      </c>
      <c r="K48" s="750">
        <v>0</v>
      </c>
      <c r="L48" s="743">
        <v>0</v>
      </c>
      <c r="M48" s="743">
        <v>0</v>
      </c>
      <c r="N48" s="743">
        <v>0</v>
      </c>
      <c r="O48" s="743">
        <f t="shared" si="15"/>
        <v>0</v>
      </c>
    </row>
    <row r="49" spans="1:15" s="309" customFormat="1" ht="13.5" customHeight="1" x14ac:dyDescent="0.2">
      <c r="A49" s="735" t="s">
        <v>299</v>
      </c>
      <c r="B49" s="736" t="s">
        <v>300</v>
      </c>
      <c r="C49" s="750">
        <v>4480.8500000000004</v>
      </c>
      <c r="D49" s="750">
        <v>4844.16</v>
      </c>
      <c r="E49" s="750">
        <v>2422.08</v>
      </c>
      <c r="F49" s="750">
        <v>10536.05</v>
      </c>
      <c r="G49" s="750">
        <v>19631.939999999999</v>
      </c>
      <c r="H49" s="750">
        <v>21097.06</v>
      </c>
      <c r="I49" s="750">
        <v>4844.16</v>
      </c>
      <c r="J49" s="750">
        <v>8574.31</v>
      </c>
      <c r="K49" s="750">
        <v>8719.49</v>
      </c>
      <c r="L49" s="743">
        <v>53800.800000000003</v>
      </c>
      <c r="M49" s="743">
        <v>19905.599999999999</v>
      </c>
      <c r="N49" s="743">
        <v>20880</v>
      </c>
      <c r="O49" s="743">
        <f t="shared" si="15"/>
        <v>9461.1222222222223</v>
      </c>
    </row>
    <row r="50" spans="1:15" s="294" customFormat="1" ht="13.5" customHeight="1" x14ac:dyDescent="0.2">
      <c r="A50" s="757" t="s">
        <v>301</v>
      </c>
      <c r="B50" s="726" t="s">
        <v>302</v>
      </c>
      <c r="C50" s="727">
        <f>C51</f>
        <v>30473.716</v>
      </c>
      <c r="D50" s="727">
        <f t="shared" ref="D50:N50" si="17">D51</f>
        <v>22189.23626896552</v>
      </c>
      <c r="E50" s="727">
        <f t="shared" si="17"/>
        <v>38785.599593103449</v>
      </c>
      <c r="F50" s="727">
        <f t="shared" si="17"/>
        <v>25725.74</v>
      </c>
      <c r="G50" s="727">
        <f t="shared" si="17"/>
        <v>34086.099531034481</v>
      </c>
      <c r="H50" s="727">
        <f t="shared" si="17"/>
        <v>56311.91060000001</v>
      </c>
      <c r="I50" s="727">
        <f t="shared" si="17"/>
        <v>34993.860800000002</v>
      </c>
      <c r="J50" s="727">
        <f t="shared" si="17"/>
        <v>32433.790331034485</v>
      </c>
      <c r="K50" s="727">
        <f t="shared" si="17"/>
        <v>94199.476793103458</v>
      </c>
      <c r="L50" s="727">
        <f t="shared" si="17"/>
        <v>51299.692236769522</v>
      </c>
      <c r="M50" s="727">
        <f t="shared" si="17"/>
        <v>48746.975636769515</v>
      </c>
      <c r="N50" s="727">
        <f t="shared" si="17"/>
        <v>45868.073091941937</v>
      </c>
      <c r="O50" s="727">
        <f t="shared" si="15"/>
        <v>41022.158879693488</v>
      </c>
    </row>
    <row r="51" spans="1:15" s="294" customFormat="1" ht="13.5" customHeight="1" x14ac:dyDescent="0.2">
      <c r="A51" s="758" t="s">
        <v>303</v>
      </c>
      <c r="B51" s="732" t="s">
        <v>304</v>
      </c>
      <c r="C51" s="733">
        <f>SUM(C52:C84)</f>
        <v>30473.716</v>
      </c>
      <c r="D51" s="733">
        <f t="shared" ref="D51:N51" si="18">SUM(D52:D84)</f>
        <v>22189.23626896552</v>
      </c>
      <c r="E51" s="733">
        <f t="shared" si="18"/>
        <v>38785.599593103449</v>
      </c>
      <c r="F51" s="733">
        <f t="shared" si="18"/>
        <v>25725.74</v>
      </c>
      <c r="G51" s="733">
        <f t="shared" si="18"/>
        <v>34086.099531034481</v>
      </c>
      <c r="H51" s="733">
        <f t="shared" si="18"/>
        <v>56311.91060000001</v>
      </c>
      <c r="I51" s="733">
        <f t="shared" si="18"/>
        <v>34993.860800000002</v>
      </c>
      <c r="J51" s="733">
        <f t="shared" si="18"/>
        <v>32433.790331034485</v>
      </c>
      <c r="K51" s="733">
        <f t="shared" si="18"/>
        <v>94199.476793103458</v>
      </c>
      <c r="L51" s="733">
        <f t="shared" si="18"/>
        <v>51299.692236769522</v>
      </c>
      <c r="M51" s="733">
        <f t="shared" si="18"/>
        <v>48746.975636769515</v>
      </c>
      <c r="N51" s="733">
        <f t="shared" si="18"/>
        <v>45868.073091941937</v>
      </c>
      <c r="O51" s="733">
        <f t="shared" si="15"/>
        <v>41022.158879693488</v>
      </c>
    </row>
    <row r="52" spans="1:15" s="309" customFormat="1" ht="13.5" customHeight="1" x14ac:dyDescent="0.2">
      <c r="A52" s="735" t="s">
        <v>305</v>
      </c>
      <c r="B52" s="736" t="s">
        <v>59</v>
      </c>
      <c r="C52" s="750">
        <v>0</v>
      </c>
      <c r="D52" s="750">
        <v>0</v>
      </c>
      <c r="E52" s="750">
        <v>0</v>
      </c>
      <c r="F52" s="750">
        <v>161.38999999999999</v>
      </c>
      <c r="G52" s="750">
        <v>0</v>
      </c>
      <c r="H52" s="750">
        <v>29.58</v>
      </c>
      <c r="I52" s="750">
        <v>214.02</v>
      </c>
      <c r="J52" s="750">
        <v>240.56</v>
      </c>
      <c r="K52" s="750">
        <v>139.19999999999999</v>
      </c>
      <c r="L52" s="743">
        <v>58.4</v>
      </c>
      <c r="M52" s="743">
        <v>487.39</v>
      </c>
      <c r="N52" s="743">
        <v>0</v>
      </c>
      <c r="O52" s="743">
        <f t="shared" si="15"/>
        <v>87.194444444444443</v>
      </c>
    </row>
    <row r="53" spans="1:15" s="309" customFormat="1" ht="13.5" customHeight="1" x14ac:dyDescent="0.2">
      <c r="A53" s="735" t="s">
        <v>306</v>
      </c>
      <c r="B53" s="736" t="s">
        <v>61</v>
      </c>
      <c r="C53" s="750">
        <v>5302.56</v>
      </c>
      <c r="D53" s="750">
        <v>1814.4</v>
      </c>
      <c r="E53" s="750">
        <v>585.54999999999995</v>
      </c>
      <c r="F53" s="750">
        <v>0</v>
      </c>
      <c r="G53" s="750">
        <v>2623.04</v>
      </c>
      <c r="H53" s="750">
        <v>12126.22</v>
      </c>
      <c r="I53" s="750">
        <v>2265.69</v>
      </c>
      <c r="J53" s="750">
        <v>3741.57</v>
      </c>
      <c r="K53" s="750">
        <v>45560.38</v>
      </c>
      <c r="L53" s="743">
        <v>4000</v>
      </c>
      <c r="M53" s="743">
        <v>10245.6</v>
      </c>
      <c r="N53" s="743">
        <v>0</v>
      </c>
      <c r="O53" s="743">
        <f t="shared" si="15"/>
        <v>8224.3788888888885</v>
      </c>
    </row>
    <row r="54" spans="1:15" s="309" customFormat="1" ht="13.5" customHeight="1" x14ac:dyDescent="0.2">
      <c r="A54" s="735" t="s">
        <v>307</v>
      </c>
      <c r="B54" s="736" t="s">
        <v>62</v>
      </c>
      <c r="C54" s="750">
        <v>6.96</v>
      </c>
      <c r="D54" s="750">
        <v>0</v>
      </c>
      <c r="E54" s="750">
        <v>59.16</v>
      </c>
      <c r="F54" s="750">
        <v>20.88</v>
      </c>
      <c r="G54" s="750">
        <v>0</v>
      </c>
      <c r="H54" s="750">
        <v>0</v>
      </c>
      <c r="I54" s="750">
        <v>0</v>
      </c>
      <c r="J54" s="750">
        <v>0</v>
      </c>
      <c r="K54" s="750">
        <v>0</v>
      </c>
      <c r="L54" s="743">
        <v>20</v>
      </c>
      <c r="M54" s="743">
        <v>20</v>
      </c>
      <c r="N54" s="743">
        <v>20</v>
      </c>
      <c r="O54" s="743">
        <f t="shared" si="15"/>
        <v>9.6666666666666643</v>
      </c>
    </row>
    <row r="55" spans="1:15" s="309" customFormat="1" ht="13.5" customHeight="1" x14ac:dyDescent="0.2">
      <c r="A55" s="735" t="s">
        <v>308</v>
      </c>
      <c r="B55" s="736" t="s">
        <v>63</v>
      </c>
      <c r="C55" s="750">
        <v>652.48</v>
      </c>
      <c r="D55" s="750">
        <v>651.41999999999996</v>
      </c>
      <c r="E55" s="750">
        <v>728.49</v>
      </c>
      <c r="F55" s="750">
        <v>896.44</v>
      </c>
      <c r="G55" s="750">
        <v>675.63</v>
      </c>
      <c r="H55" s="750">
        <v>772.4</v>
      </c>
      <c r="I55" s="750">
        <v>727.56</v>
      </c>
      <c r="J55" s="750">
        <v>750.68</v>
      </c>
      <c r="K55" s="750">
        <v>730.38</v>
      </c>
      <c r="L55" s="743">
        <v>1019</v>
      </c>
      <c r="M55" s="743">
        <v>1019</v>
      </c>
      <c r="N55" s="743">
        <v>1019</v>
      </c>
      <c r="O55" s="743">
        <f t="shared" si="15"/>
        <v>731.72</v>
      </c>
    </row>
    <row r="56" spans="1:15" s="309" customFormat="1" ht="13.5" customHeight="1" x14ac:dyDescent="0.2">
      <c r="A56" s="735" t="s">
        <v>309</v>
      </c>
      <c r="B56" s="736" t="s">
        <v>64</v>
      </c>
      <c r="C56" s="750">
        <v>452.59</v>
      </c>
      <c r="D56" s="750">
        <v>452.59</v>
      </c>
      <c r="E56" s="750">
        <v>452.59</v>
      </c>
      <c r="F56" s="750">
        <v>452.59</v>
      </c>
      <c r="G56" s="750">
        <v>208.8</v>
      </c>
      <c r="H56" s="750">
        <v>208.8</v>
      </c>
      <c r="I56" s="750">
        <v>208.8</v>
      </c>
      <c r="J56" s="750">
        <v>208.8</v>
      </c>
      <c r="K56" s="750">
        <v>208.8</v>
      </c>
      <c r="L56" s="743">
        <v>522</v>
      </c>
      <c r="M56" s="743">
        <v>522</v>
      </c>
      <c r="N56" s="743">
        <v>522</v>
      </c>
      <c r="O56" s="743">
        <f t="shared" si="15"/>
        <v>317.15111111111116</v>
      </c>
    </row>
    <row r="57" spans="1:15" s="309" customFormat="1" ht="13.5" customHeight="1" x14ac:dyDescent="0.2">
      <c r="A57" s="735" t="s">
        <v>310</v>
      </c>
      <c r="B57" s="736" t="s">
        <v>311</v>
      </c>
      <c r="C57" s="750">
        <v>0</v>
      </c>
      <c r="D57" s="750">
        <v>0</v>
      </c>
      <c r="E57" s="750">
        <v>21.31</v>
      </c>
      <c r="F57" s="750">
        <v>0</v>
      </c>
      <c r="G57" s="750">
        <v>0</v>
      </c>
      <c r="H57" s="750">
        <v>156.6</v>
      </c>
      <c r="I57" s="750">
        <v>0</v>
      </c>
      <c r="J57" s="750">
        <v>0</v>
      </c>
      <c r="K57" s="750">
        <v>0</v>
      </c>
      <c r="L57" s="743">
        <v>150</v>
      </c>
      <c r="M57" s="743">
        <v>150</v>
      </c>
      <c r="N57" s="743">
        <v>150</v>
      </c>
      <c r="O57" s="743">
        <f t="shared" si="15"/>
        <v>19.767777777777777</v>
      </c>
    </row>
    <row r="58" spans="1:15" s="309" customFormat="1" ht="13.5" customHeight="1" x14ac:dyDescent="0.2">
      <c r="A58" s="735" t="s">
        <v>312</v>
      </c>
      <c r="B58" s="736" t="s">
        <v>313</v>
      </c>
      <c r="C58" s="750">
        <v>0</v>
      </c>
      <c r="D58" s="750">
        <v>0</v>
      </c>
      <c r="E58" s="750">
        <v>0</v>
      </c>
      <c r="F58" s="750">
        <v>0</v>
      </c>
      <c r="G58" s="750">
        <v>0</v>
      </c>
      <c r="H58" s="750">
        <v>0</v>
      </c>
      <c r="I58" s="750">
        <v>0</v>
      </c>
      <c r="J58" s="750">
        <v>0</v>
      </c>
      <c r="K58" s="750">
        <v>0</v>
      </c>
      <c r="L58" s="743">
        <v>0</v>
      </c>
      <c r="M58" s="743">
        <v>0</v>
      </c>
      <c r="N58" s="743">
        <v>0</v>
      </c>
      <c r="O58" s="743">
        <f t="shared" si="15"/>
        <v>0</v>
      </c>
    </row>
    <row r="59" spans="1:15" s="309" customFormat="1" ht="13.5" customHeight="1" x14ac:dyDescent="0.2">
      <c r="A59" s="735" t="s">
        <v>314</v>
      </c>
      <c r="B59" s="736" t="s">
        <v>150</v>
      </c>
      <c r="C59" s="750">
        <v>0</v>
      </c>
      <c r="D59" s="750">
        <v>0</v>
      </c>
      <c r="E59" s="750">
        <v>0</v>
      </c>
      <c r="F59" s="750">
        <v>0</v>
      </c>
      <c r="G59" s="750">
        <v>0</v>
      </c>
      <c r="H59" s="750">
        <v>0</v>
      </c>
      <c r="I59" s="750">
        <v>0</v>
      </c>
      <c r="J59" s="750">
        <v>0</v>
      </c>
      <c r="K59" s="750">
        <v>0</v>
      </c>
      <c r="L59" s="743">
        <v>0</v>
      </c>
      <c r="M59" s="743">
        <v>0</v>
      </c>
      <c r="N59" s="743">
        <v>0</v>
      </c>
      <c r="O59" s="743">
        <f t="shared" si="15"/>
        <v>0</v>
      </c>
    </row>
    <row r="60" spans="1:15" s="309" customFormat="1" ht="13.5" customHeight="1" x14ac:dyDescent="0.2">
      <c r="A60" s="735" t="s">
        <v>315</v>
      </c>
      <c r="B60" s="736" t="s">
        <v>65</v>
      </c>
      <c r="C60" s="750">
        <v>0</v>
      </c>
      <c r="D60" s="750">
        <v>0</v>
      </c>
      <c r="E60" s="750">
        <v>0</v>
      </c>
      <c r="F60" s="750">
        <v>0</v>
      </c>
      <c r="G60" s="750">
        <v>0</v>
      </c>
      <c r="H60" s="750">
        <v>0</v>
      </c>
      <c r="I60" s="750">
        <v>0</v>
      </c>
      <c r="J60" s="750">
        <v>0</v>
      </c>
      <c r="K60" s="750">
        <v>0</v>
      </c>
      <c r="L60" s="743">
        <v>0</v>
      </c>
      <c r="M60" s="743">
        <v>0</v>
      </c>
      <c r="N60" s="743">
        <v>0</v>
      </c>
      <c r="O60" s="743">
        <f t="shared" si="15"/>
        <v>0</v>
      </c>
    </row>
    <row r="61" spans="1:15" s="309" customFormat="1" ht="13.5" customHeight="1" x14ac:dyDescent="0.2">
      <c r="A61" s="735" t="s">
        <v>316</v>
      </c>
      <c r="B61" s="736" t="s">
        <v>317</v>
      </c>
      <c r="C61" s="750">
        <v>0</v>
      </c>
      <c r="D61" s="750">
        <v>0</v>
      </c>
      <c r="E61" s="750">
        <v>0</v>
      </c>
      <c r="F61" s="750">
        <v>0</v>
      </c>
      <c r="G61" s="750">
        <v>762.96</v>
      </c>
      <c r="H61" s="750">
        <v>0</v>
      </c>
      <c r="I61" s="750">
        <v>0</v>
      </c>
      <c r="J61" s="750">
        <v>0</v>
      </c>
      <c r="K61" s="750">
        <v>0</v>
      </c>
      <c r="L61" s="743">
        <v>0</v>
      </c>
      <c r="M61" s="743">
        <v>0</v>
      </c>
      <c r="N61" s="743">
        <v>0</v>
      </c>
      <c r="O61" s="743">
        <f t="shared" si="15"/>
        <v>84.773333333333341</v>
      </c>
    </row>
    <row r="62" spans="1:15" s="309" customFormat="1" ht="13.5" customHeight="1" x14ac:dyDescent="0.2">
      <c r="A62" s="735" t="s">
        <v>318</v>
      </c>
      <c r="B62" s="736" t="s">
        <v>151</v>
      </c>
      <c r="C62" s="750">
        <f>C10*100/87*3%</f>
        <v>570.06000000000006</v>
      </c>
      <c r="D62" s="750">
        <f>CONCATENATE(D10*100)/87*3%</f>
        <v>1073.2320689655171</v>
      </c>
      <c r="E62" s="750">
        <f>CONCATENATE(E10*100)/87*3%</f>
        <v>514.42379310344825</v>
      </c>
      <c r="F62" s="750">
        <f>F10*100/87*3%</f>
        <v>2234.16</v>
      </c>
      <c r="G62" s="750">
        <f>G10*100/87*3%</f>
        <v>3301.6379310344828</v>
      </c>
      <c r="H62" s="750">
        <f>H10*100/87*3%</f>
        <v>3655.02</v>
      </c>
      <c r="I62" s="750">
        <f>I10*100/87*3%</f>
        <v>659.37</v>
      </c>
      <c r="J62" s="750">
        <f>J10*100/87*3%</f>
        <v>1265.3279310344826</v>
      </c>
      <c r="K62" s="750">
        <f>K10*100/87*3%+0.1</f>
        <v>3910.623793103448</v>
      </c>
      <c r="L62" s="743">
        <v>6678.9120689655165</v>
      </c>
      <c r="M62" s="743">
        <v>4648.0320689655164</v>
      </c>
      <c r="N62" s="743">
        <v>3759.731724137931</v>
      </c>
      <c r="O62" s="743">
        <f t="shared" si="15"/>
        <v>1909.3172796934866</v>
      </c>
    </row>
    <row r="63" spans="1:15" s="309" customFormat="1" ht="13.5" customHeight="1" x14ac:dyDescent="0.2">
      <c r="A63" s="735" t="s">
        <v>319</v>
      </c>
      <c r="B63" s="736" t="s">
        <v>320</v>
      </c>
      <c r="C63" s="750">
        <v>0</v>
      </c>
      <c r="D63" s="750">
        <v>0</v>
      </c>
      <c r="E63" s="750">
        <v>0</v>
      </c>
      <c r="F63" s="750">
        <v>0</v>
      </c>
      <c r="G63" s="750">
        <v>0</v>
      </c>
      <c r="H63" s="750">
        <v>0</v>
      </c>
      <c r="I63" s="750">
        <v>0</v>
      </c>
      <c r="J63" s="750">
        <v>0</v>
      </c>
      <c r="K63" s="750">
        <v>0</v>
      </c>
      <c r="L63" s="743">
        <v>0</v>
      </c>
      <c r="M63" s="743">
        <v>0</v>
      </c>
      <c r="N63" s="743">
        <v>0</v>
      </c>
      <c r="O63" s="743">
        <f t="shared" si="15"/>
        <v>0</v>
      </c>
    </row>
    <row r="64" spans="1:15" s="309" customFormat="1" ht="13.5" customHeight="1" x14ac:dyDescent="0.2">
      <c r="A64" s="735" t="s">
        <v>321</v>
      </c>
      <c r="B64" s="736" t="s">
        <v>322</v>
      </c>
      <c r="C64" s="750">
        <v>0</v>
      </c>
      <c r="D64" s="750">
        <v>0</v>
      </c>
      <c r="E64" s="750">
        <v>0</v>
      </c>
      <c r="F64" s="750">
        <v>0</v>
      </c>
      <c r="G64" s="750">
        <v>0</v>
      </c>
      <c r="H64" s="750">
        <v>0</v>
      </c>
      <c r="I64" s="750">
        <v>0</v>
      </c>
      <c r="J64" s="750">
        <v>0</v>
      </c>
      <c r="K64" s="750">
        <v>0</v>
      </c>
      <c r="L64" s="743">
        <v>0</v>
      </c>
      <c r="M64" s="743">
        <v>0</v>
      </c>
      <c r="N64" s="743">
        <v>0</v>
      </c>
      <c r="O64" s="743">
        <f t="shared" si="15"/>
        <v>0</v>
      </c>
    </row>
    <row r="65" spans="1:15" s="309" customFormat="1" ht="13.5" customHeight="1" x14ac:dyDescent="0.2">
      <c r="A65" s="735" t="s">
        <v>323</v>
      </c>
      <c r="B65" s="736" t="s">
        <v>324</v>
      </c>
      <c r="C65" s="750">
        <v>0</v>
      </c>
      <c r="D65" s="750">
        <v>78.39</v>
      </c>
      <c r="E65" s="750">
        <v>0</v>
      </c>
      <c r="F65" s="750">
        <v>0</v>
      </c>
      <c r="G65" s="750">
        <v>0</v>
      </c>
      <c r="H65" s="750">
        <v>0</v>
      </c>
      <c r="I65" s="750">
        <v>0</v>
      </c>
      <c r="J65" s="750">
        <v>0</v>
      </c>
      <c r="K65" s="750">
        <v>0</v>
      </c>
      <c r="L65" s="743">
        <v>15</v>
      </c>
      <c r="M65" s="743">
        <v>15</v>
      </c>
      <c r="N65" s="743">
        <v>15</v>
      </c>
      <c r="O65" s="743">
        <f t="shared" si="15"/>
        <v>8.7100000000000009</v>
      </c>
    </row>
    <row r="66" spans="1:15" s="322" customFormat="1" ht="13.5" customHeight="1" x14ac:dyDescent="0.2">
      <c r="A66" s="735" t="s">
        <v>325</v>
      </c>
      <c r="B66" s="736" t="s">
        <v>326</v>
      </c>
      <c r="C66" s="750">
        <v>140</v>
      </c>
      <c r="D66" s="750">
        <v>280</v>
      </c>
      <c r="E66" s="750">
        <v>799.08</v>
      </c>
      <c r="F66" s="750">
        <v>1153</v>
      </c>
      <c r="G66" s="750">
        <v>4848.41</v>
      </c>
      <c r="H66" s="750">
        <v>2022.29</v>
      </c>
      <c r="I66" s="750">
        <v>872.36</v>
      </c>
      <c r="J66" s="750">
        <v>2122.04</v>
      </c>
      <c r="K66" s="750">
        <v>2234.2600000000002</v>
      </c>
      <c r="L66" s="743">
        <v>12175.86</v>
      </c>
      <c r="M66" s="743">
        <v>6430</v>
      </c>
      <c r="N66" s="743">
        <v>2321.7200000000003</v>
      </c>
      <c r="O66" s="743">
        <f t="shared" si="15"/>
        <v>1607.9377777777779</v>
      </c>
    </row>
    <row r="67" spans="1:15" s="309" customFormat="1" ht="13.5" customHeight="1" x14ac:dyDescent="0.2">
      <c r="A67" s="735" t="s">
        <v>327</v>
      </c>
      <c r="B67" s="736" t="s">
        <v>328</v>
      </c>
      <c r="C67" s="750">
        <v>1141.2</v>
      </c>
      <c r="D67" s="750">
        <v>0</v>
      </c>
      <c r="E67" s="750">
        <v>0</v>
      </c>
      <c r="F67" s="750">
        <v>0</v>
      </c>
      <c r="G67" s="750">
        <v>0</v>
      </c>
      <c r="H67" s="750">
        <v>478.5</v>
      </c>
      <c r="I67" s="750">
        <v>1131</v>
      </c>
      <c r="J67" s="750">
        <v>0</v>
      </c>
      <c r="K67" s="750">
        <v>1522.5</v>
      </c>
      <c r="L67" s="743">
        <v>0</v>
      </c>
      <c r="M67" s="743">
        <v>0</v>
      </c>
      <c r="N67" s="743">
        <v>0</v>
      </c>
      <c r="O67" s="743">
        <f t="shared" si="15"/>
        <v>474.79999999999995</v>
      </c>
    </row>
    <row r="68" spans="1:15" s="309" customFormat="1" ht="13.5" customHeight="1" x14ac:dyDescent="0.2">
      <c r="A68" s="735" t="s">
        <v>329</v>
      </c>
      <c r="B68" s="736" t="s">
        <v>330</v>
      </c>
      <c r="C68" s="750">
        <v>0</v>
      </c>
      <c r="D68" s="750">
        <v>0</v>
      </c>
      <c r="E68" s="750">
        <v>0</v>
      </c>
      <c r="F68" s="750">
        <v>0</v>
      </c>
      <c r="G68" s="750">
        <v>0</v>
      </c>
      <c r="H68" s="750">
        <v>39.15</v>
      </c>
      <c r="I68" s="750">
        <v>0</v>
      </c>
      <c r="J68" s="750">
        <v>0</v>
      </c>
      <c r="K68" s="750">
        <v>0</v>
      </c>
      <c r="L68" s="743">
        <v>10</v>
      </c>
      <c r="M68" s="743">
        <v>10</v>
      </c>
      <c r="N68" s="743">
        <v>10</v>
      </c>
      <c r="O68" s="743">
        <f t="shared" si="15"/>
        <v>4.3499999999999996</v>
      </c>
    </row>
    <row r="69" spans="1:15" s="309" customFormat="1" ht="13.5" customHeight="1" x14ac:dyDescent="0.2">
      <c r="A69" s="735" t="s">
        <v>331</v>
      </c>
      <c r="B69" s="736" t="s">
        <v>70</v>
      </c>
      <c r="C69" s="750">
        <v>54.44</v>
      </c>
      <c r="D69" s="750">
        <v>232.89</v>
      </c>
      <c r="E69" s="750">
        <v>143.44</v>
      </c>
      <c r="F69" s="750">
        <v>169.01</v>
      </c>
      <c r="G69" s="750">
        <v>461.32</v>
      </c>
      <c r="H69" s="750">
        <v>338.15</v>
      </c>
      <c r="I69" s="750">
        <v>164.02</v>
      </c>
      <c r="J69" s="750">
        <v>286.39</v>
      </c>
      <c r="K69" s="750">
        <v>282.61</v>
      </c>
      <c r="L69" s="743">
        <v>350</v>
      </c>
      <c r="M69" s="743">
        <v>350</v>
      </c>
      <c r="N69" s="743">
        <v>350</v>
      </c>
      <c r="O69" s="743">
        <f t="shared" si="15"/>
        <v>236.91888888888889</v>
      </c>
    </row>
    <row r="70" spans="1:15" s="309" customFormat="1" ht="13.5" customHeight="1" x14ac:dyDescent="0.2">
      <c r="A70" s="735" t="s">
        <v>332</v>
      </c>
      <c r="B70" s="736" t="s">
        <v>71</v>
      </c>
      <c r="C70" s="750">
        <v>457.64</v>
      </c>
      <c r="D70" s="750">
        <v>457.64</v>
      </c>
      <c r="E70" s="750">
        <v>457.64</v>
      </c>
      <c r="F70" s="750">
        <v>457.64</v>
      </c>
      <c r="G70" s="750">
        <v>339.3</v>
      </c>
      <c r="H70" s="750">
        <v>339.3</v>
      </c>
      <c r="I70" s="750">
        <v>339.3</v>
      </c>
      <c r="J70" s="750">
        <v>357.74</v>
      </c>
      <c r="K70" s="750">
        <v>339.3</v>
      </c>
      <c r="L70" s="743">
        <v>530</v>
      </c>
      <c r="M70" s="743">
        <v>530</v>
      </c>
      <c r="N70" s="743">
        <v>530</v>
      </c>
      <c r="O70" s="743">
        <f t="shared" si="15"/>
        <v>393.94444444444457</v>
      </c>
    </row>
    <row r="71" spans="1:15" s="309" customFormat="1" ht="13.5" customHeight="1" x14ac:dyDescent="0.2">
      <c r="A71" s="735" t="s">
        <v>333</v>
      </c>
      <c r="B71" s="736" t="s">
        <v>334</v>
      </c>
      <c r="C71" s="750">
        <v>0</v>
      </c>
      <c r="D71" s="750">
        <v>0</v>
      </c>
      <c r="E71" s="750">
        <v>0</v>
      </c>
      <c r="F71" s="750">
        <v>0</v>
      </c>
      <c r="G71" s="750">
        <v>0</v>
      </c>
      <c r="H71" s="750">
        <v>0</v>
      </c>
      <c r="I71" s="750">
        <v>0</v>
      </c>
      <c r="J71" s="750">
        <v>0</v>
      </c>
      <c r="K71" s="750">
        <v>0</v>
      </c>
      <c r="L71" s="743">
        <v>0</v>
      </c>
      <c r="M71" s="743">
        <v>0</v>
      </c>
      <c r="N71" s="743">
        <v>0</v>
      </c>
      <c r="O71" s="743">
        <f t="shared" si="15"/>
        <v>0</v>
      </c>
    </row>
    <row r="72" spans="1:15" s="309" customFormat="1" ht="13.5" customHeight="1" x14ac:dyDescent="0.2">
      <c r="A72" s="735" t="s">
        <v>335</v>
      </c>
      <c r="B72" s="736" t="s">
        <v>73</v>
      </c>
      <c r="C72" s="750">
        <v>0</v>
      </c>
      <c r="D72" s="750">
        <v>0</v>
      </c>
      <c r="E72" s="750">
        <v>0</v>
      </c>
      <c r="F72" s="750">
        <v>0</v>
      </c>
      <c r="G72" s="750">
        <v>302.91000000000003</v>
      </c>
      <c r="H72" s="750">
        <v>302.91000000000003</v>
      </c>
      <c r="I72" s="750">
        <v>302.91000000000003</v>
      </c>
      <c r="J72" s="750">
        <v>302.91000000000003</v>
      </c>
      <c r="K72" s="750">
        <v>302.91000000000003</v>
      </c>
      <c r="L72" s="743">
        <v>230</v>
      </c>
      <c r="M72" s="743">
        <v>230</v>
      </c>
      <c r="N72" s="743">
        <v>230</v>
      </c>
      <c r="O72" s="743">
        <f t="shared" si="15"/>
        <v>168.28333333333336</v>
      </c>
    </row>
    <row r="73" spans="1:15" s="309" customFormat="1" ht="13.5" customHeight="1" x14ac:dyDescent="0.2">
      <c r="A73" s="735" t="s">
        <v>336</v>
      </c>
      <c r="B73" s="736" t="s">
        <v>337</v>
      </c>
      <c r="C73" s="750">
        <v>0</v>
      </c>
      <c r="D73" s="750">
        <v>0</v>
      </c>
      <c r="E73" s="750">
        <v>0</v>
      </c>
      <c r="F73" s="750">
        <v>0</v>
      </c>
      <c r="G73" s="750">
        <v>0</v>
      </c>
      <c r="H73" s="750">
        <v>0</v>
      </c>
      <c r="I73" s="750">
        <v>0</v>
      </c>
      <c r="J73" s="750">
        <v>0</v>
      </c>
      <c r="K73" s="750">
        <v>0</v>
      </c>
      <c r="L73" s="743">
        <v>0</v>
      </c>
      <c r="M73" s="743">
        <v>0</v>
      </c>
      <c r="N73" s="743">
        <v>0</v>
      </c>
      <c r="O73" s="743">
        <f t="shared" si="15"/>
        <v>0</v>
      </c>
    </row>
    <row r="74" spans="1:15" s="309" customFormat="1" ht="13.5" customHeight="1" x14ac:dyDescent="0.2">
      <c r="A74" s="735" t="s">
        <v>338</v>
      </c>
      <c r="B74" s="736" t="s">
        <v>339</v>
      </c>
      <c r="C74" s="750">
        <v>0</v>
      </c>
      <c r="D74" s="750">
        <v>0</v>
      </c>
      <c r="E74" s="750">
        <v>0</v>
      </c>
      <c r="F74" s="750">
        <v>0</v>
      </c>
      <c r="G74" s="750">
        <v>0</v>
      </c>
      <c r="H74" s="750">
        <v>0</v>
      </c>
      <c r="I74" s="750">
        <v>0</v>
      </c>
      <c r="J74" s="750">
        <v>0</v>
      </c>
      <c r="K74" s="750">
        <v>0</v>
      </c>
      <c r="L74" s="743">
        <v>0</v>
      </c>
      <c r="M74" s="743">
        <v>0</v>
      </c>
      <c r="N74" s="743">
        <v>0</v>
      </c>
      <c r="O74" s="743">
        <f t="shared" ref="O74:O96" si="19">+AVERAGE(C74:K74)</f>
        <v>0</v>
      </c>
    </row>
    <row r="75" spans="1:15" s="309" customFormat="1" ht="13.5" customHeight="1" x14ac:dyDescent="0.2">
      <c r="A75" s="735" t="s">
        <v>340</v>
      </c>
      <c r="B75" s="736" t="s">
        <v>341</v>
      </c>
      <c r="C75" s="750">
        <v>0</v>
      </c>
      <c r="D75" s="750">
        <v>0</v>
      </c>
      <c r="E75" s="750">
        <v>0</v>
      </c>
      <c r="F75" s="750">
        <v>0</v>
      </c>
      <c r="G75" s="750">
        <v>0</v>
      </c>
      <c r="H75" s="750">
        <v>0</v>
      </c>
      <c r="I75" s="750">
        <v>0</v>
      </c>
      <c r="J75" s="750">
        <v>0</v>
      </c>
      <c r="K75" s="750">
        <v>0</v>
      </c>
      <c r="L75" s="743">
        <v>1500</v>
      </c>
      <c r="M75" s="743">
        <v>1500</v>
      </c>
      <c r="N75" s="743">
        <v>0</v>
      </c>
      <c r="O75" s="743">
        <f t="shared" si="19"/>
        <v>0</v>
      </c>
    </row>
    <row r="76" spans="1:15" s="309" customFormat="1" ht="13.5" customHeight="1" x14ac:dyDescent="0.2">
      <c r="A76" s="735" t="s">
        <v>342</v>
      </c>
      <c r="B76" s="736" t="s">
        <v>74</v>
      </c>
      <c r="C76" s="750">
        <v>0</v>
      </c>
      <c r="D76" s="750">
        <v>0</v>
      </c>
      <c r="E76" s="750">
        <v>0</v>
      </c>
      <c r="F76" s="750">
        <v>0</v>
      </c>
      <c r="G76" s="750">
        <v>0</v>
      </c>
      <c r="H76" s="750">
        <v>0</v>
      </c>
      <c r="I76" s="750">
        <v>0</v>
      </c>
      <c r="J76" s="750">
        <v>0</v>
      </c>
      <c r="K76" s="750">
        <v>0</v>
      </c>
      <c r="L76" s="743">
        <v>0</v>
      </c>
      <c r="M76" s="743">
        <v>0</v>
      </c>
      <c r="N76" s="743">
        <v>0</v>
      </c>
      <c r="O76" s="743">
        <f t="shared" si="19"/>
        <v>0</v>
      </c>
    </row>
    <row r="77" spans="1:15" s="309" customFormat="1" ht="13.5" customHeight="1" x14ac:dyDescent="0.2">
      <c r="A77" s="735" t="s">
        <v>343</v>
      </c>
      <c r="B77" s="736" t="s">
        <v>75</v>
      </c>
      <c r="C77" s="750">
        <v>0</v>
      </c>
      <c r="D77" s="750">
        <v>0</v>
      </c>
      <c r="E77" s="750">
        <v>0</v>
      </c>
      <c r="F77" s="750">
        <v>0</v>
      </c>
      <c r="G77" s="750">
        <v>0</v>
      </c>
      <c r="H77" s="750">
        <v>0</v>
      </c>
      <c r="I77" s="750">
        <v>0</v>
      </c>
      <c r="J77" s="750">
        <v>0</v>
      </c>
      <c r="K77" s="750">
        <v>0</v>
      </c>
      <c r="L77" s="743">
        <v>200</v>
      </c>
      <c r="M77" s="743">
        <v>200</v>
      </c>
      <c r="N77" s="743">
        <v>200</v>
      </c>
      <c r="O77" s="743">
        <f t="shared" si="19"/>
        <v>0</v>
      </c>
    </row>
    <row r="78" spans="1:15" s="309" customFormat="1" ht="13.5" customHeight="1" x14ac:dyDescent="0.2">
      <c r="A78" s="735" t="s">
        <v>344</v>
      </c>
      <c r="B78" s="736" t="s">
        <v>345</v>
      </c>
      <c r="C78" s="750">
        <v>0</v>
      </c>
      <c r="D78" s="750">
        <v>0</v>
      </c>
      <c r="E78" s="750">
        <v>0</v>
      </c>
      <c r="F78" s="750">
        <v>0</v>
      </c>
      <c r="G78" s="750">
        <v>0</v>
      </c>
      <c r="H78" s="750">
        <v>0</v>
      </c>
      <c r="I78" s="750">
        <v>0</v>
      </c>
      <c r="J78" s="750">
        <v>0</v>
      </c>
      <c r="K78" s="750">
        <v>0</v>
      </c>
      <c r="L78" s="743">
        <v>0</v>
      </c>
      <c r="M78" s="743">
        <v>0</v>
      </c>
      <c r="N78" s="743">
        <v>0</v>
      </c>
      <c r="O78" s="743">
        <f t="shared" si="19"/>
        <v>0</v>
      </c>
    </row>
    <row r="79" spans="1:15" s="309" customFormat="1" ht="13.5" customHeight="1" x14ac:dyDescent="0.2">
      <c r="A79" s="735" t="s">
        <v>346</v>
      </c>
      <c r="B79" s="736" t="s">
        <v>347</v>
      </c>
      <c r="C79" s="750">
        <v>0</v>
      </c>
      <c r="D79" s="750">
        <v>0</v>
      </c>
      <c r="E79" s="750">
        <v>0</v>
      </c>
      <c r="F79" s="750">
        <v>0</v>
      </c>
      <c r="G79" s="750">
        <v>0</v>
      </c>
      <c r="H79" s="750">
        <v>0</v>
      </c>
      <c r="I79" s="750">
        <v>0</v>
      </c>
      <c r="J79" s="750">
        <v>0</v>
      </c>
      <c r="K79" s="750">
        <v>0</v>
      </c>
      <c r="L79" s="743">
        <v>0</v>
      </c>
      <c r="M79" s="743">
        <v>0</v>
      </c>
      <c r="N79" s="743">
        <v>0</v>
      </c>
      <c r="O79" s="743">
        <f t="shared" si="19"/>
        <v>0</v>
      </c>
    </row>
    <row r="80" spans="1:15" s="309" customFormat="1" ht="13.5" customHeight="1" x14ac:dyDescent="0.2">
      <c r="A80" s="735" t="s">
        <v>348</v>
      </c>
      <c r="B80" s="736" t="s">
        <v>242</v>
      </c>
      <c r="C80" s="750">
        <v>0</v>
      </c>
      <c r="D80" s="750">
        <v>0</v>
      </c>
      <c r="E80" s="750">
        <v>0</v>
      </c>
      <c r="F80" s="750">
        <v>0</v>
      </c>
      <c r="G80" s="750">
        <v>0</v>
      </c>
      <c r="H80" s="750">
        <v>0</v>
      </c>
      <c r="I80" s="750">
        <v>0</v>
      </c>
      <c r="J80" s="750">
        <v>0</v>
      </c>
      <c r="K80" s="750">
        <v>0</v>
      </c>
      <c r="L80" s="743">
        <v>0</v>
      </c>
      <c r="M80" s="743">
        <v>0</v>
      </c>
      <c r="N80" s="743">
        <v>0</v>
      </c>
      <c r="O80" s="743">
        <f t="shared" si="19"/>
        <v>0</v>
      </c>
    </row>
    <row r="81" spans="1:15" s="309" customFormat="1" ht="13.5" customHeight="1" x14ac:dyDescent="0.2">
      <c r="A81" s="735" t="s">
        <v>349</v>
      </c>
      <c r="B81" s="736" t="s">
        <v>69</v>
      </c>
      <c r="C81" s="750">
        <v>5725.58</v>
      </c>
      <c r="D81" s="750">
        <v>0</v>
      </c>
      <c r="E81" s="750">
        <v>0</v>
      </c>
      <c r="F81" s="750">
        <v>0</v>
      </c>
      <c r="G81" s="750">
        <v>435</v>
      </c>
      <c r="H81" s="750">
        <v>23.67</v>
      </c>
      <c r="I81" s="750">
        <v>5721.12</v>
      </c>
      <c r="J81" s="750">
        <v>609</v>
      </c>
      <c r="K81" s="750">
        <v>637.91999999999996</v>
      </c>
      <c r="L81" s="743">
        <v>500</v>
      </c>
      <c r="M81" s="743">
        <v>500</v>
      </c>
      <c r="N81" s="743">
        <v>500</v>
      </c>
      <c r="O81" s="743">
        <f t="shared" si="19"/>
        <v>1461.3655555555554</v>
      </c>
    </row>
    <row r="82" spans="1:15" s="309" customFormat="1" ht="13.5" customHeight="1" x14ac:dyDescent="0.2">
      <c r="A82" s="735" t="s">
        <v>349</v>
      </c>
      <c r="B82" s="736" t="s">
        <v>77</v>
      </c>
      <c r="C82" s="750">
        <v>3397.6460000000006</v>
      </c>
      <c r="D82" s="750">
        <v>3833.4842000000012</v>
      </c>
      <c r="E82" s="750">
        <v>18729.405799999997</v>
      </c>
      <c r="F82" s="750">
        <v>5218.5200000000004</v>
      </c>
      <c r="G82" s="750">
        <v>4445.4410000000007</v>
      </c>
      <c r="H82" s="750">
        <v>19182.336600000006</v>
      </c>
      <c r="I82" s="750">
        <v>7600.0512000000008</v>
      </c>
      <c r="J82" s="750">
        <v>7265.496000000001</v>
      </c>
      <c r="K82" s="750">
        <v>23341.309600000004</v>
      </c>
      <c r="L82" s="743">
        <v>6759.2113678040014</v>
      </c>
      <c r="M82" s="743">
        <v>6419.4621678040012</v>
      </c>
      <c r="N82" s="743">
        <v>21086.391367804004</v>
      </c>
      <c r="O82" s="743">
        <f t="shared" si="19"/>
        <v>10334.854488888892</v>
      </c>
    </row>
    <row r="83" spans="1:15" s="294" customFormat="1" ht="13.5" customHeight="1" x14ac:dyDescent="0.2">
      <c r="A83" s="735" t="s">
        <v>349</v>
      </c>
      <c r="B83" s="736" t="s">
        <v>79</v>
      </c>
      <c r="C83" s="750">
        <v>12572.56</v>
      </c>
      <c r="D83" s="750">
        <v>13315.19</v>
      </c>
      <c r="E83" s="750">
        <v>16294.51</v>
      </c>
      <c r="F83" s="750">
        <v>14962.11</v>
      </c>
      <c r="G83" s="750">
        <v>15681.650600000003</v>
      </c>
      <c r="H83" s="750">
        <v>16636.984000000004</v>
      </c>
      <c r="I83" s="750">
        <v>14787.659599999999</v>
      </c>
      <c r="J83" s="750">
        <v>15283.276400000002</v>
      </c>
      <c r="K83" s="750">
        <v>14989.283399999998</v>
      </c>
      <c r="L83" s="743">
        <v>16581.308800000003</v>
      </c>
      <c r="M83" s="743">
        <v>15470.491400000001</v>
      </c>
      <c r="N83" s="743">
        <v>15154.230000000001</v>
      </c>
      <c r="O83" s="743">
        <f t="shared" si="19"/>
        <v>14947.024888888891</v>
      </c>
    </row>
    <row r="84" spans="1:15" s="294" customFormat="1" ht="13.5" customHeight="1" x14ac:dyDescent="0.2">
      <c r="A84" s="735" t="s">
        <v>350</v>
      </c>
      <c r="B84" s="736" t="s">
        <v>351</v>
      </c>
      <c r="C84" s="750">
        <v>0</v>
      </c>
      <c r="D84" s="750">
        <v>0</v>
      </c>
      <c r="E84" s="750">
        <v>0</v>
      </c>
      <c r="F84" s="750">
        <v>0</v>
      </c>
      <c r="G84" s="750">
        <v>0</v>
      </c>
      <c r="H84" s="750">
        <v>0</v>
      </c>
      <c r="I84" s="750">
        <v>0</v>
      </c>
      <c r="J84" s="750">
        <v>0</v>
      </c>
      <c r="K84" s="750">
        <v>0</v>
      </c>
      <c r="L84" s="743">
        <v>0</v>
      </c>
      <c r="M84" s="743">
        <v>0</v>
      </c>
      <c r="N84" s="743">
        <v>0</v>
      </c>
      <c r="O84" s="743">
        <f t="shared" si="19"/>
        <v>0</v>
      </c>
    </row>
    <row r="85" spans="1:15" s="309" customFormat="1" ht="13.5" customHeight="1" x14ac:dyDescent="0.2">
      <c r="A85" s="725" t="s">
        <v>354</v>
      </c>
      <c r="B85" s="726" t="s">
        <v>355</v>
      </c>
      <c r="C85" s="727">
        <f>C86+C88+C90+C92+C94</f>
        <v>0</v>
      </c>
      <c r="D85" s="727">
        <f t="shared" ref="D85:N85" si="20">D86+D88+D90+D92+D94</f>
        <v>0</v>
      </c>
      <c r="E85" s="727">
        <f t="shared" si="20"/>
        <v>0</v>
      </c>
      <c r="F85" s="727">
        <f t="shared" si="20"/>
        <v>0</v>
      </c>
      <c r="G85" s="727">
        <f t="shared" si="20"/>
        <v>0</v>
      </c>
      <c r="H85" s="727">
        <f t="shared" si="20"/>
        <v>0</v>
      </c>
      <c r="I85" s="727">
        <f t="shared" si="20"/>
        <v>0</v>
      </c>
      <c r="J85" s="727">
        <f t="shared" si="20"/>
        <v>0</v>
      </c>
      <c r="K85" s="727">
        <f t="shared" si="20"/>
        <v>0</v>
      </c>
      <c r="L85" s="727">
        <f t="shared" si="20"/>
        <v>0</v>
      </c>
      <c r="M85" s="727">
        <f t="shared" si="20"/>
        <v>0</v>
      </c>
      <c r="N85" s="727">
        <f t="shared" si="20"/>
        <v>0</v>
      </c>
      <c r="O85" s="727">
        <f t="shared" si="19"/>
        <v>0</v>
      </c>
    </row>
    <row r="86" spans="1:15" s="309" customFormat="1" ht="13.5" customHeight="1" x14ac:dyDescent="0.2">
      <c r="A86" s="758" t="s">
        <v>356</v>
      </c>
      <c r="B86" s="732" t="s">
        <v>357</v>
      </c>
      <c r="C86" s="733">
        <f>C87</f>
        <v>0</v>
      </c>
      <c r="D86" s="733">
        <f t="shared" ref="D86:N86" si="21">D87</f>
        <v>0</v>
      </c>
      <c r="E86" s="733">
        <f t="shared" si="21"/>
        <v>0</v>
      </c>
      <c r="F86" s="733">
        <f t="shared" si="21"/>
        <v>0</v>
      </c>
      <c r="G86" s="733">
        <f t="shared" si="21"/>
        <v>0</v>
      </c>
      <c r="H86" s="733">
        <f t="shared" si="21"/>
        <v>0</v>
      </c>
      <c r="I86" s="733">
        <f t="shared" si="21"/>
        <v>0</v>
      </c>
      <c r="J86" s="733">
        <f t="shared" si="21"/>
        <v>0</v>
      </c>
      <c r="K86" s="733">
        <f t="shared" si="21"/>
        <v>0</v>
      </c>
      <c r="L86" s="733">
        <f t="shared" si="21"/>
        <v>0</v>
      </c>
      <c r="M86" s="733">
        <f t="shared" si="21"/>
        <v>0</v>
      </c>
      <c r="N86" s="733">
        <f t="shared" si="21"/>
        <v>0</v>
      </c>
      <c r="O86" s="733">
        <f t="shared" si="19"/>
        <v>0</v>
      </c>
    </row>
    <row r="87" spans="1:15" s="309" customFormat="1" ht="13.5" customHeight="1" x14ac:dyDescent="0.2">
      <c r="A87" s="735" t="s">
        <v>358</v>
      </c>
      <c r="B87" s="736" t="s">
        <v>359</v>
      </c>
      <c r="C87" s="761">
        <v>0</v>
      </c>
      <c r="D87" s="761">
        <v>0</v>
      </c>
      <c r="E87" s="761">
        <v>0</v>
      </c>
      <c r="F87" s="761">
        <v>0</v>
      </c>
      <c r="G87" s="761">
        <v>0</v>
      </c>
      <c r="H87" s="761">
        <v>0</v>
      </c>
      <c r="I87" s="761">
        <v>0</v>
      </c>
      <c r="J87" s="761">
        <v>0</v>
      </c>
      <c r="K87" s="761">
        <v>0</v>
      </c>
      <c r="L87" s="761">
        <v>0</v>
      </c>
      <c r="M87" s="761">
        <v>0</v>
      </c>
      <c r="N87" s="761">
        <v>0</v>
      </c>
      <c r="O87" s="761">
        <f t="shared" si="19"/>
        <v>0</v>
      </c>
    </row>
    <row r="88" spans="1:15" s="309" customFormat="1" ht="13.5" customHeight="1" x14ac:dyDescent="0.2">
      <c r="A88" s="758" t="s">
        <v>360</v>
      </c>
      <c r="B88" s="732" t="s">
        <v>361</v>
      </c>
      <c r="C88" s="733">
        <f>C89</f>
        <v>0</v>
      </c>
      <c r="D88" s="733">
        <f t="shared" ref="D88:N88" si="22">D89</f>
        <v>0</v>
      </c>
      <c r="E88" s="733">
        <f t="shared" si="22"/>
        <v>0</v>
      </c>
      <c r="F88" s="733">
        <f t="shared" si="22"/>
        <v>0</v>
      </c>
      <c r="G88" s="733">
        <f t="shared" si="22"/>
        <v>0</v>
      </c>
      <c r="H88" s="733">
        <f t="shared" si="22"/>
        <v>0</v>
      </c>
      <c r="I88" s="733">
        <f t="shared" si="22"/>
        <v>0</v>
      </c>
      <c r="J88" s="733">
        <f t="shared" si="22"/>
        <v>0</v>
      </c>
      <c r="K88" s="733">
        <f t="shared" si="22"/>
        <v>0</v>
      </c>
      <c r="L88" s="733">
        <f t="shared" si="22"/>
        <v>0</v>
      </c>
      <c r="M88" s="733">
        <f t="shared" si="22"/>
        <v>0</v>
      </c>
      <c r="N88" s="733">
        <f t="shared" si="22"/>
        <v>0</v>
      </c>
      <c r="O88" s="733">
        <f t="shared" si="19"/>
        <v>0</v>
      </c>
    </row>
    <row r="89" spans="1:15" s="294" customFormat="1" ht="13.5" customHeight="1" x14ac:dyDescent="0.2">
      <c r="A89" s="735" t="s">
        <v>362</v>
      </c>
      <c r="B89" s="736" t="s">
        <v>363</v>
      </c>
      <c r="C89" s="761">
        <v>0</v>
      </c>
      <c r="D89" s="761">
        <v>0</v>
      </c>
      <c r="E89" s="761">
        <v>0</v>
      </c>
      <c r="F89" s="761">
        <v>0</v>
      </c>
      <c r="G89" s="761">
        <v>0</v>
      </c>
      <c r="H89" s="761">
        <v>0</v>
      </c>
      <c r="I89" s="761">
        <v>0</v>
      </c>
      <c r="J89" s="761">
        <v>0</v>
      </c>
      <c r="K89" s="761">
        <v>0</v>
      </c>
      <c r="L89" s="761">
        <v>0</v>
      </c>
      <c r="M89" s="761">
        <v>0</v>
      </c>
      <c r="N89" s="761">
        <v>0</v>
      </c>
      <c r="O89" s="761">
        <f t="shared" si="19"/>
        <v>0</v>
      </c>
    </row>
    <row r="90" spans="1:15" s="309" customFormat="1" ht="13.5" customHeight="1" x14ac:dyDescent="0.2">
      <c r="A90" s="758" t="s">
        <v>364</v>
      </c>
      <c r="B90" s="732" t="s">
        <v>365</v>
      </c>
      <c r="C90" s="733">
        <f>C91</f>
        <v>0</v>
      </c>
      <c r="D90" s="733">
        <f t="shared" ref="D90:N90" si="23">D91</f>
        <v>0</v>
      </c>
      <c r="E90" s="733">
        <f t="shared" si="23"/>
        <v>0</v>
      </c>
      <c r="F90" s="733">
        <f t="shared" si="23"/>
        <v>0</v>
      </c>
      <c r="G90" s="733">
        <f t="shared" si="23"/>
        <v>0</v>
      </c>
      <c r="H90" s="733">
        <f t="shared" si="23"/>
        <v>0</v>
      </c>
      <c r="I90" s="733">
        <f t="shared" si="23"/>
        <v>0</v>
      </c>
      <c r="J90" s="733">
        <f t="shared" si="23"/>
        <v>0</v>
      </c>
      <c r="K90" s="733">
        <f t="shared" si="23"/>
        <v>0</v>
      </c>
      <c r="L90" s="733">
        <f t="shared" si="23"/>
        <v>0</v>
      </c>
      <c r="M90" s="733">
        <f t="shared" si="23"/>
        <v>0</v>
      </c>
      <c r="N90" s="733">
        <f t="shared" si="23"/>
        <v>0</v>
      </c>
      <c r="O90" s="733">
        <f t="shared" si="19"/>
        <v>0</v>
      </c>
    </row>
    <row r="91" spans="1:15" s="294" customFormat="1" ht="13.5" customHeight="1" x14ac:dyDescent="0.2">
      <c r="A91" s="735" t="s">
        <v>366</v>
      </c>
      <c r="B91" s="736" t="s">
        <v>367</v>
      </c>
      <c r="C91" s="761">
        <v>0</v>
      </c>
      <c r="D91" s="761">
        <v>0</v>
      </c>
      <c r="E91" s="761">
        <v>0</v>
      </c>
      <c r="F91" s="761">
        <v>0</v>
      </c>
      <c r="G91" s="761">
        <v>0</v>
      </c>
      <c r="H91" s="761">
        <v>0</v>
      </c>
      <c r="I91" s="761">
        <v>0</v>
      </c>
      <c r="J91" s="761">
        <v>0</v>
      </c>
      <c r="K91" s="761">
        <v>0</v>
      </c>
      <c r="L91" s="761">
        <v>0</v>
      </c>
      <c r="M91" s="761">
        <v>0</v>
      </c>
      <c r="N91" s="761">
        <v>0</v>
      </c>
      <c r="O91" s="761">
        <f t="shared" si="19"/>
        <v>0</v>
      </c>
    </row>
    <row r="92" spans="1:15" s="309" customFormat="1" ht="13.5" customHeight="1" x14ac:dyDescent="0.2">
      <c r="A92" s="758" t="s">
        <v>368</v>
      </c>
      <c r="B92" s="732" t="s">
        <v>369</v>
      </c>
      <c r="C92" s="733">
        <f>C93</f>
        <v>0</v>
      </c>
      <c r="D92" s="733">
        <f t="shared" ref="D92:N92" si="24">D93</f>
        <v>0</v>
      </c>
      <c r="E92" s="733">
        <f t="shared" si="24"/>
        <v>0</v>
      </c>
      <c r="F92" s="733">
        <f t="shared" si="24"/>
        <v>0</v>
      </c>
      <c r="G92" s="733">
        <f t="shared" si="24"/>
        <v>0</v>
      </c>
      <c r="H92" s="733">
        <f t="shared" si="24"/>
        <v>0</v>
      </c>
      <c r="I92" s="733">
        <f t="shared" si="24"/>
        <v>0</v>
      </c>
      <c r="J92" s="733">
        <f t="shared" si="24"/>
        <v>0</v>
      </c>
      <c r="K92" s="733">
        <f t="shared" si="24"/>
        <v>0</v>
      </c>
      <c r="L92" s="733">
        <f t="shared" si="24"/>
        <v>0</v>
      </c>
      <c r="M92" s="733">
        <f t="shared" si="24"/>
        <v>0</v>
      </c>
      <c r="N92" s="733">
        <f t="shared" si="24"/>
        <v>0</v>
      </c>
      <c r="O92" s="733">
        <f t="shared" si="19"/>
        <v>0</v>
      </c>
    </row>
    <row r="93" spans="1:15" s="294" customFormat="1" ht="13.5" customHeight="1" x14ac:dyDescent="0.2">
      <c r="A93" s="735" t="s">
        <v>370</v>
      </c>
      <c r="B93" s="736" t="s">
        <v>371</v>
      </c>
      <c r="C93" s="761">
        <v>0</v>
      </c>
      <c r="D93" s="761">
        <v>0</v>
      </c>
      <c r="E93" s="761">
        <v>0</v>
      </c>
      <c r="F93" s="761">
        <v>0</v>
      </c>
      <c r="G93" s="761">
        <v>0</v>
      </c>
      <c r="H93" s="761">
        <v>0</v>
      </c>
      <c r="I93" s="761">
        <v>0</v>
      </c>
      <c r="J93" s="761">
        <v>0</v>
      </c>
      <c r="K93" s="761">
        <v>0</v>
      </c>
      <c r="L93" s="761">
        <v>0</v>
      </c>
      <c r="M93" s="761">
        <v>0</v>
      </c>
      <c r="N93" s="761">
        <v>0</v>
      </c>
      <c r="O93" s="761">
        <f t="shared" si="19"/>
        <v>0</v>
      </c>
    </row>
    <row r="94" spans="1:15" s="294" customFormat="1" ht="13.5" customHeight="1" x14ac:dyDescent="0.2">
      <c r="A94" s="758" t="s">
        <v>372</v>
      </c>
      <c r="B94" s="732" t="s">
        <v>373</v>
      </c>
      <c r="C94" s="733">
        <f>C95</f>
        <v>0</v>
      </c>
      <c r="D94" s="733">
        <f t="shared" ref="D94:N94" si="25">D95</f>
        <v>0</v>
      </c>
      <c r="E94" s="733">
        <f t="shared" si="25"/>
        <v>0</v>
      </c>
      <c r="F94" s="733">
        <f t="shared" si="25"/>
        <v>0</v>
      </c>
      <c r="G94" s="733">
        <f t="shared" si="25"/>
        <v>0</v>
      </c>
      <c r="H94" s="733">
        <f t="shared" si="25"/>
        <v>0</v>
      </c>
      <c r="I94" s="733">
        <f t="shared" si="25"/>
        <v>0</v>
      </c>
      <c r="J94" s="733">
        <f t="shared" si="25"/>
        <v>0</v>
      </c>
      <c r="K94" s="733">
        <f t="shared" si="25"/>
        <v>0</v>
      </c>
      <c r="L94" s="733">
        <f t="shared" si="25"/>
        <v>0</v>
      </c>
      <c r="M94" s="733">
        <f t="shared" si="25"/>
        <v>0</v>
      </c>
      <c r="N94" s="733">
        <f t="shared" si="25"/>
        <v>0</v>
      </c>
      <c r="O94" s="733">
        <f t="shared" si="19"/>
        <v>0</v>
      </c>
    </row>
    <row r="95" spans="1:15" ht="13.5" customHeight="1" x14ac:dyDescent="0.25">
      <c r="A95" s="735" t="s">
        <v>374</v>
      </c>
      <c r="B95" s="736" t="s">
        <v>375</v>
      </c>
      <c r="C95" s="761">
        <v>0</v>
      </c>
      <c r="D95" s="761">
        <v>0</v>
      </c>
      <c r="E95" s="761">
        <v>0</v>
      </c>
      <c r="F95" s="761">
        <v>0</v>
      </c>
      <c r="G95" s="761">
        <v>0</v>
      </c>
      <c r="H95" s="761">
        <v>0</v>
      </c>
      <c r="I95" s="761">
        <v>0</v>
      </c>
      <c r="J95" s="761">
        <v>0</v>
      </c>
      <c r="K95" s="761">
        <v>0</v>
      </c>
      <c r="L95" s="761">
        <v>0</v>
      </c>
      <c r="M95" s="761">
        <v>0</v>
      </c>
      <c r="N95" s="761">
        <v>0</v>
      </c>
      <c r="O95" s="761">
        <f t="shared" si="19"/>
        <v>0</v>
      </c>
    </row>
    <row r="96" spans="1:15" x14ac:dyDescent="0.25">
      <c r="A96" s="763"/>
      <c r="B96" s="720" t="s">
        <v>376</v>
      </c>
      <c r="C96" s="721">
        <f t="shared" ref="C96:N96" si="26">C10-C33</f>
        <v>-34961.275999999998</v>
      </c>
      <c r="D96" s="721">
        <f t="shared" si="26"/>
        <v>-12510.186268965521</v>
      </c>
      <c r="E96" s="721">
        <f t="shared" si="26"/>
        <v>-42745.079593103444</v>
      </c>
      <c r="F96" s="721">
        <f t="shared" si="26"/>
        <v>11969.71</v>
      </c>
      <c r="G96" s="721">
        <f t="shared" si="26"/>
        <v>22115.660468965521</v>
      </c>
      <c r="H96" s="721">
        <f t="shared" si="26"/>
        <v>9369.5494000000035</v>
      </c>
      <c r="I96" s="721">
        <f t="shared" si="26"/>
        <v>-37678.980800000005</v>
      </c>
      <c r="J96" s="721">
        <f t="shared" si="26"/>
        <v>-21214.210331034483</v>
      </c>
      <c r="K96" s="721">
        <f t="shared" si="26"/>
        <v>-6341.9767931034585</v>
      </c>
      <c r="L96" s="721">
        <f t="shared" si="26"/>
        <v>70772.596123230483</v>
      </c>
      <c r="M96" s="721">
        <f t="shared" si="26"/>
        <v>48324.992723230476</v>
      </c>
      <c r="N96" s="721">
        <f t="shared" si="26"/>
        <v>24468.785268058069</v>
      </c>
      <c r="O96" s="721">
        <f t="shared" si="19"/>
        <v>-12444.087768582376</v>
      </c>
    </row>
    <row r="97" spans="8:15" x14ac:dyDescent="0.25">
      <c r="H97" s="286"/>
      <c r="L97" s="286"/>
      <c r="M97" s="286"/>
      <c r="O97" s="285"/>
    </row>
  </sheetData>
  <autoFilter ref="A8:O95" xr:uid="{00000000-0009-0000-0000-000009000000}">
    <filterColumn colId="0" showButton="0"/>
  </autoFilter>
  <mergeCells count="15">
    <mergeCell ref="B1:N2"/>
    <mergeCell ref="C8:C9"/>
    <mergeCell ref="D8:D9"/>
    <mergeCell ref="E8:E9"/>
    <mergeCell ref="O8:O9"/>
    <mergeCell ref="A8:B9"/>
    <mergeCell ref="I8:I9"/>
    <mergeCell ref="J8:J9"/>
    <mergeCell ref="K8:K9"/>
    <mergeCell ref="L8:L9"/>
    <mergeCell ref="M8:M9"/>
    <mergeCell ref="F8:F9"/>
    <mergeCell ref="G8:G9"/>
    <mergeCell ref="H8:H9"/>
    <mergeCell ref="N8:N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82"/>
  <sheetViews>
    <sheetView topLeftCell="D49" zoomScale="95" zoomScaleNormal="95" workbookViewId="0">
      <selection activeCell="E44" sqref="E44"/>
    </sheetView>
  </sheetViews>
  <sheetFormatPr baseColWidth="10" defaultRowHeight="12.75" x14ac:dyDescent="0.2"/>
  <cols>
    <col min="1" max="1" width="5.140625" style="1" customWidth="1"/>
    <col min="2" max="2" width="9.85546875" style="1" customWidth="1"/>
    <col min="3" max="3" width="9.42578125" style="1" customWidth="1"/>
    <col min="4" max="4" width="42.85546875" style="1" customWidth="1"/>
    <col min="5" max="5" width="17.85546875" style="1" customWidth="1"/>
    <col min="6" max="6" width="18.7109375" style="1" customWidth="1"/>
    <col min="7" max="7" width="17.42578125" style="1" customWidth="1"/>
    <col min="8" max="8" width="15.85546875" style="1" customWidth="1"/>
    <col min="9" max="9" width="13.42578125" style="1" customWidth="1"/>
    <col min="10" max="10" width="11" style="1" customWidth="1"/>
    <col min="11" max="11" width="12.42578125" style="1" customWidth="1"/>
    <col min="12" max="12" width="9.85546875" style="1" customWidth="1"/>
    <col min="13" max="14" width="12.140625" style="1" bestFit="1" customWidth="1"/>
    <col min="15" max="15" width="13.7109375" style="1" customWidth="1"/>
    <col min="16" max="16" width="13" style="171" customWidth="1"/>
    <col min="17" max="17" width="8.42578125" style="171" customWidth="1"/>
    <col min="18" max="18" width="11.42578125" style="1"/>
    <col min="19" max="19" width="21.140625" style="1" customWidth="1"/>
    <col min="20" max="256" width="11.42578125" style="1"/>
    <col min="257" max="257" width="5.140625" style="1" customWidth="1"/>
    <col min="258" max="258" width="9.85546875" style="1" customWidth="1"/>
    <col min="259" max="259" width="9.42578125" style="1" customWidth="1"/>
    <col min="260" max="260" width="42.85546875" style="1" customWidth="1"/>
    <col min="261" max="261" width="17.85546875" style="1" customWidth="1"/>
    <col min="262" max="262" width="18.7109375" style="1" customWidth="1"/>
    <col min="263" max="263" width="17.42578125" style="1" customWidth="1"/>
    <col min="264" max="264" width="15.85546875" style="1" customWidth="1"/>
    <col min="265" max="265" width="13.42578125" style="1" customWidth="1"/>
    <col min="266" max="266" width="11" style="1" customWidth="1"/>
    <col min="267" max="267" width="12.42578125" style="1" customWidth="1"/>
    <col min="268" max="268" width="9.85546875" style="1" customWidth="1"/>
    <col min="269" max="270" width="12.140625" style="1" bestFit="1" customWidth="1"/>
    <col min="271" max="271" width="13.7109375" style="1" customWidth="1"/>
    <col min="272" max="272" width="13" style="1" customWidth="1"/>
    <col min="273" max="273" width="8.42578125" style="1" customWidth="1"/>
    <col min="274" max="274" width="11.42578125" style="1"/>
    <col min="275" max="275" width="21.140625" style="1" customWidth="1"/>
    <col min="276" max="512" width="11.42578125" style="1"/>
    <col min="513" max="513" width="5.140625" style="1" customWidth="1"/>
    <col min="514" max="514" width="9.85546875" style="1" customWidth="1"/>
    <col min="515" max="515" width="9.42578125" style="1" customWidth="1"/>
    <col min="516" max="516" width="42.85546875" style="1" customWidth="1"/>
    <col min="517" max="517" width="17.85546875" style="1" customWidth="1"/>
    <col min="518" max="518" width="18.7109375" style="1" customWidth="1"/>
    <col min="519" max="519" width="17.42578125" style="1" customWidth="1"/>
    <col min="520" max="520" width="15.85546875" style="1" customWidth="1"/>
    <col min="521" max="521" width="13.42578125" style="1" customWidth="1"/>
    <col min="522" max="522" width="11" style="1" customWidth="1"/>
    <col min="523" max="523" width="12.42578125" style="1" customWidth="1"/>
    <col min="524" max="524" width="9.85546875" style="1" customWidth="1"/>
    <col min="525" max="526" width="12.140625" style="1" bestFit="1" customWidth="1"/>
    <col min="527" max="527" width="13.7109375" style="1" customWidth="1"/>
    <col min="528" max="528" width="13" style="1" customWidth="1"/>
    <col min="529" max="529" width="8.42578125" style="1" customWidth="1"/>
    <col min="530" max="530" width="11.42578125" style="1"/>
    <col min="531" max="531" width="21.140625" style="1" customWidth="1"/>
    <col min="532" max="768" width="11.42578125" style="1"/>
    <col min="769" max="769" width="5.140625" style="1" customWidth="1"/>
    <col min="770" max="770" width="9.85546875" style="1" customWidth="1"/>
    <col min="771" max="771" width="9.42578125" style="1" customWidth="1"/>
    <col min="772" max="772" width="42.85546875" style="1" customWidth="1"/>
    <col min="773" max="773" width="17.85546875" style="1" customWidth="1"/>
    <col min="774" max="774" width="18.7109375" style="1" customWidth="1"/>
    <col min="775" max="775" width="17.42578125" style="1" customWidth="1"/>
    <col min="776" max="776" width="15.85546875" style="1" customWidth="1"/>
    <col min="777" max="777" width="13.42578125" style="1" customWidth="1"/>
    <col min="778" max="778" width="11" style="1" customWidth="1"/>
    <col min="779" max="779" width="12.42578125" style="1" customWidth="1"/>
    <col min="780" max="780" width="9.85546875" style="1" customWidth="1"/>
    <col min="781" max="782" width="12.140625" style="1" bestFit="1" customWidth="1"/>
    <col min="783" max="783" width="13.7109375" style="1" customWidth="1"/>
    <col min="784" max="784" width="13" style="1" customWidth="1"/>
    <col min="785" max="785" width="8.42578125" style="1" customWidth="1"/>
    <col min="786" max="786" width="11.42578125" style="1"/>
    <col min="787" max="787" width="21.140625" style="1" customWidth="1"/>
    <col min="788" max="1024" width="11.42578125" style="1"/>
    <col min="1025" max="1025" width="5.140625" style="1" customWidth="1"/>
    <col min="1026" max="1026" width="9.85546875" style="1" customWidth="1"/>
    <col min="1027" max="1027" width="9.42578125" style="1" customWidth="1"/>
    <col min="1028" max="1028" width="42.85546875" style="1" customWidth="1"/>
    <col min="1029" max="1029" width="17.85546875" style="1" customWidth="1"/>
    <col min="1030" max="1030" width="18.7109375" style="1" customWidth="1"/>
    <col min="1031" max="1031" width="17.42578125" style="1" customWidth="1"/>
    <col min="1032" max="1032" width="15.85546875" style="1" customWidth="1"/>
    <col min="1033" max="1033" width="13.42578125" style="1" customWidth="1"/>
    <col min="1034" max="1034" width="11" style="1" customWidth="1"/>
    <col min="1035" max="1035" width="12.42578125" style="1" customWidth="1"/>
    <col min="1036" max="1036" width="9.85546875" style="1" customWidth="1"/>
    <col min="1037" max="1038" width="12.140625" style="1" bestFit="1" customWidth="1"/>
    <col min="1039" max="1039" width="13.7109375" style="1" customWidth="1"/>
    <col min="1040" max="1040" width="13" style="1" customWidth="1"/>
    <col min="1041" max="1041" width="8.42578125" style="1" customWidth="1"/>
    <col min="1042" max="1042" width="11.42578125" style="1"/>
    <col min="1043" max="1043" width="21.140625" style="1" customWidth="1"/>
    <col min="1044" max="1280" width="11.42578125" style="1"/>
    <col min="1281" max="1281" width="5.140625" style="1" customWidth="1"/>
    <col min="1282" max="1282" width="9.85546875" style="1" customWidth="1"/>
    <col min="1283" max="1283" width="9.42578125" style="1" customWidth="1"/>
    <col min="1284" max="1284" width="42.85546875" style="1" customWidth="1"/>
    <col min="1285" max="1285" width="17.85546875" style="1" customWidth="1"/>
    <col min="1286" max="1286" width="18.7109375" style="1" customWidth="1"/>
    <col min="1287" max="1287" width="17.42578125" style="1" customWidth="1"/>
    <col min="1288" max="1288" width="15.85546875" style="1" customWidth="1"/>
    <col min="1289" max="1289" width="13.42578125" style="1" customWidth="1"/>
    <col min="1290" max="1290" width="11" style="1" customWidth="1"/>
    <col min="1291" max="1291" width="12.42578125" style="1" customWidth="1"/>
    <col min="1292" max="1292" width="9.85546875" style="1" customWidth="1"/>
    <col min="1293" max="1294" width="12.140625" style="1" bestFit="1" customWidth="1"/>
    <col min="1295" max="1295" width="13.7109375" style="1" customWidth="1"/>
    <col min="1296" max="1296" width="13" style="1" customWidth="1"/>
    <col min="1297" max="1297" width="8.42578125" style="1" customWidth="1"/>
    <col min="1298" max="1298" width="11.42578125" style="1"/>
    <col min="1299" max="1299" width="21.140625" style="1" customWidth="1"/>
    <col min="1300" max="1536" width="11.42578125" style="1"/>
    <col min="1537" max="1537" width="5.140625" style="1" customWidth="1"/>
    <col min="1538" max="1538" width="9.85546875" style="1" customWidth="1"/>
    <col min="1539" max="1539" width="9.42578125" style="1" customWidth="1"/>
    <col min="1540" max="1540" width="42.85546875" style="1" customWidth="1"/>
    <col min="1541" max="1541" width="17.85546875" style="1" customWidth="1"/>
    <col min="1542" max="1542" width="18.7109375" style="1" customWidth="1"/>
    <col min="1543" max="1543" width="17.42578125" style="1" customWidth="1"/>
    <col min="1544" max="1544" width="15.85546875" style="1" customWidth="1"/>
    <col min="1545" max="1545" width="13.42578125" style="1" customWidth="1"/>
    <col min="1546" max="1546" width="11" style="1" customWidth="1"/>
    <col min="1547" max="1547" width="12.42578125" style="1" customWidth="1"/>
    <col min="1548" max="1548" width="9.85546875" style="1" customWidth="1"/>
    <col min="1549" max="1550" width="12.140625" style="1" bestFit="1" customWidth="1"/>
    <col min="1551" max="1551" width="13.7109375" style="1" customWidth="1"/>
    <col min="1552" max="1552" width="13" style="1" customWidth="1"/>
    <col min="1553" max="1553" width="8.42578125" style="1" customWidth="1"/>
    <col min="1554" max="1554" width="11.42578125" style="1"/>
    <col min="1555" max="1555" width="21.140625" style="1" customWidth="1"/>
    <col min="1556" max="1792" width="11.42578125" style="1"/>
    <col min="1793" max="1793" width="5.140625" style="1" customWidth="1"/>
    <col min="1794" max="1794" width="9.85546875" style="1" customWidth="1"/>
    <col min="1795" max="1795" width="9.42578125" style="1" customWidth="1"/>
    <col min="1796" max="1796" width="42.85546875" style="1" customWidth="1"/>
    <col min="1797" max="1797" width="17.85546875" style="1" customWidth="1"/>
    <col min="1798" max="1798" width="18.7109375" style="1" customWidth="1"/>
    <col min="1799" max="1799" width="17.42578125" style="1" customWidth="1"/>
    <col min="1800" max="1800" width="15.85546875" style="1" customWidth="1"/>
    <col min="1801" max="1801" width="13.42578125" style="1" customWidth="1"/>
    <col min="1802" max="1802" width="11" style="1" customWidth="1"/>
    <col min="1803" max="1803" width="12.42578125" style="1" customWidth="1"/>
    <col min="1804" max="1804" width="9.85546875" style="1" customWidth="1"/>
    <col min="1805" max="1806" width="12.140625" style="1" bestFit="1" customWidth="1"/>
    <col min="1807" max="1807" width="13.7109375" style="1" customWidth="1"/>
    <col min="1808" max="1808" width="13" style="1" customWidth="1"/>
    <col min="1809" max="1809" width="8.42578125" style="1" customWidth="1"/>
    <col min="1810" max="1810" width="11.42578125" style="1"/>
    <col min="1811" max="1811" width="21.140625" style="1" customWidth="1"/>
    <col min="1812" max="2048" width="11.42578125" style="1"/>
    <col min="2049" max="2049" width="5.140625" style="1" customWidth="1"/>
    <col min="2050" max="2050" width="9.85546875" style="1" customWidth="1"/>
    <col min="2051" max="2051" width="9.42578125" style="1" customWidth="1"/>
    <col min="2052" max="2052" width="42.85546875" style="1" customWidth="1"/>
    <col min="2053" max="2053" width="17.85546875" style="1" customWidth="1"/>
    <col min="2054" max="2054" width="18.7109375" style="1" customWidth="1"/>
    <col min="2055" max="2055" width="17.42578125" style="1" customWidth="1"/>
    <col min="2056" max="2056" width="15.85546875" style="1" customWidth="1"/>
    <col min="2057" max="2057" width="13.42578125" style="1" customWidth="1"/>
    <col min="2058" max="2058" width="11" style="1" customWidth="1"/>
    <col min="2059" max="2059" width="12.42578125" style="1" customWidth="1"/>
    <col min="2060" max="2060" width="9.85546875" style="1" customWidth="1"/>
    <col min="2061" max="2062" width="12.140625" style="1" bestFit="1" customWidth="1"/>
    <col min="2063" max="2063" width="13.7109375" style="1" customWidth="1"/>
    <col min="2064" max="2064" width="13" style="1" customWidth="1"/>
    <col min="2065" max="2065" width="8.42578125" style="1" customWidth="1"/>
    <col min="2066" max="2066" width="11.42578125" style="1"/>
    <col min="2067" max="2067" width="21.140625" style="1" customWidth="1"/>
    <col min="2068" max="2304" width="11.42578125" style="1"/>
    <col min="2305" max="2305" width="5.140625" style="1" customWidth="1"/>
    <col min="2306" max="2306" width="9.85546875" style="1" customWidth="1"/>
    <col min="2307" max="2307" width="9.42578125" style="1" customWidth="1"/>
    <col min="2308" max="2308" width="42.85546875" style="1" customWidth="1"/>
    <col min="2309" max="2309" width="17.85546875" style="1" customWidth="1"/>
    <col min="2310" max="2310" width="18.7109375" style="1" customWidth="1"/>
    <col min="2311" max="2311" width="17.42578125" style="1" customWidth="1"/>
    <col min="2312" max="2312" width="15.85546875" style="1" customWidth="1"/>
    <col min="2313" max="2313" width="13.42578125" style="1" customWidth="1"/>
    <col min="2314" max="2314" width="11" style="1" customWidth="1"/>
    <col min="2315" max="2315" width="12.42578125" style="1" customWidth="1"/>
    <col min="2316" max="2316" width="9.85546875" style="1" customWidth="1"/>
    <col min="2317" max="2318" width="12.140625" style="1" bestFit="1" customWidth="1"/>
    <col min="2319" max="2319" width="13.7109375" style="1" customWidth="1"/>
    <col min="2320" max="2320" width="13" style="1" customWidth="1"/>
    <col min="2321" max="2321" width="8.42578125" style="1" customWidth="1"/>
    <col min="2322" max="2322" width="11.42578125" style="1"/>
    <col min="2323" max="2323" width="21.140625" style="1" customWidth="1"/>
    <col min="2324" max="2560" width="11.42578125" style="1"/>
    <col min="2561" max="2561" width="5.140625" style="1" customWidth="1"/>
    <col min="2562" max="2562" width="9.85546875" style="1" customWidth="1"/>
    <col min="2563" max="2563" width="9.42578125" style="1" customWidth="1"/>
    <col min="2564" max="2564" width="42.85546875" style="1" customWidth="1"/>
    <col min="2565" max="2565" width="17.85546875" style="1" customWidth="1"/>
    <col min="2566" max="2566" width="18.7109375" style="1" customWidth="1"/>
    <col min="2567" max="2567" width="17.42578125" style="1" customWidth="1"/>
    <col min="2568" max="2568" width="15.85546875" style="1" customWidth="1"/>
    <col min="2569" max="2569" width="13.42578125" style="1" customWidth="1"/>
    <col min="2570" max="2570" width="11" style="1" customWidth="1"/>
    <col min="2571" max="2571" width="12.42578125" style="1" customWidth="1"/>
    <col min="2572" max="2572" width="9.85546875" style="1" customWidth="1"/>
    <col min="2573" max="2574" width="12.140625" style="1" bestFit="1" customWidth="1"/>
    <col min="2575" max="2575" width="13.7109375" style="1" customWidth="1"/>
    <col min="2576" max="2576" width="13" style="1" customWidth="1"/>
    <col min="2577" max="2577" width="8.42578125" style="1" customWidth="1"/>
    <col min="2578" max="2578" width="11.42578125" style="1"/>
    <col min="2579" max="2579" width="21.140625" style="1" customWidth="1"/>
    <col min="2580" max="2816" width="11.42578125" style="1"/>
    <col min="2817" max="2817" width="5.140625" style="1" customWidth="1"/>
    <col min="2818" max="2818" width="9.85546875" style="1" customWidth="1"/>
    <col min="2819" max="2819" width="9.42578125" style="1" customWidth="1"/>
    <col min="2820" max="2820" width="42.85546875" style="1" customWidth="1"/>
    <col min="2821" max="2821" width="17.85546875" style="1" customWidth="1"/>
    <col min="2822" max="2822" width="18.7109375" style="1" customWidth="1"/>
    <col min="2823" max="2823" width="17.42578125" style="1" customWidth="1"/>
    <col min="2824" max="2824" width="15.85546875" style="1" customWidth="1"/>
    <col min="2825" max="2825" width="13.42578125" style="1" customWidth="1"/>
    <col min="2826" max="2826" width="11" style="1" customWidth="1"/>
    <col min="2827" max="2827" width="12.42578125" style="1" customWidth="1"/>
    <col min="2828" max="2828" width="9.85546875" style="1" customWidth="1"/>
    <col min="2829" max="2830" width="12.140625" style="1" bestFit="1" customWidth="1"/>
    <col min="2831" max="2831" width="13.7109375" style="1" customWidth="1"/>
    <col min="2832" max="2832" width="13" style="1" customWidth="1"/>
    <col min="2833" max="2833" width="8.42578125" style="1" customWidth="1"/>
    <col min="2834" max="2834" width="11.42578125" style="1"/>
    <col min="2835" max="2835" width="21.140625" style="1" customWidth="1"/>
    <col min="2836" max="3072" width="11.42578125" style="1"/>
    <col min="3073" max="3073" width="5.140625" style="1" customWidth="1"/>
    <col min="3074" max="3074" width="9.85546875" style="1" customWidth="1"/>
    <col min="3075" max="3075" width="9.42578125" style="1" customWidth="1"/>
    <col min="3076" max="3076" width="42.85546875" style="1" customWidth="1"/>
    <col min="3077" max="3077" width="17.85546875" style="1" customWidth="1"/>
    <col min="3078" max="3078" width="18.7109375" style="1" customWidth="1"/>
    <col min="3079" max="3079" width="17.42578125" style="1" customWidth="1"/>
    <col min="3080" max="3080" width="15.85546875" style="1" customWidth="1"/>
    <col min="3081" max="3081" width="13.42578125" style="1" customWidth="1"/>
    <col min="3082" max="3082" width="11" style="1" customWidth="1"/>
    <col min="3083" max="3083" width="12.42578125" style="1" customWidth="1"/>
    <col min="3084" max="3084" width="9.85546875" style="1" customWidth="1"/>
    <col min="3085" max="3086" width="12.140625" style="1" bestFit="1" customWidth="1"/>
    <col min="3087" max="3087" width="13.7109375" style="1" customWidth="1"/>
    <col min="3088" max="3088" width="13" style="1" customWidth="1"/>
    <col min="3089" max="3089" width="8.42578125" style="1" customWidth="1"/>
    <col min="3090" max="3090" width="11.42578125" style="1"/>
    <col min="3091" max="3091" width="21.140625" style="1" customWidth="1"/>
    <col min="3092" max="3328" width="11.42578125" style="1"/>
    <col min="3329" max="3329" width="5.140625" style="1" customWidth="1"/>
    <col min="3330" max="3330" width="9.85546875" style="1" customWidth="1"/>
    <col min="3331" max="3331" width="9.42578125" style="1" customWidth="1"/>
    <col min="3332" max="3332" width="42.85546875" style="1" customWidth="1"/>
    <col min="3333" max="3333" width="17.85546875" style="1" customWidth="1"/>
    <col min="3334" max="3334" width="18.7109375" style="1" customWidth="1"/>
    <col min="3335" max="3335" width="17.42578125" style="1" customWidth="1"/>
    <col min="3336" max="3336" width="15.85546875" style="1" customWidth="1"/>
    <col min="3337" max="3337" width="13.42578125" style="1" customWidth="1"/>
    <col min="3338" max="3338" width="11" style="1" customWidth="1"/>
    <col min="3339" max="3339" width="12.42578125" style="1" customWidth="1"/>
    <col min="3340" max="3340" width="9.85546875" style="1" customWidth="1"/>
    <col min="3341" max="3342" width="12.140625" style="1" bestFit="1" customWidth="1"/>
    <col min="3343" max="3343" width="13.7109375" style="1" customWidth="1"/>
    <col min="3344" max="3344" width="13" style="1" customWidth="1"/>
    <col min="3345" max="3345" width="8.42578125" style="1" customWidth="1"/>
    <col min="3346" max="3346" width="11.42578125" style="1"/>
    <col min="3347" max="3347" width="21.140625" style="1" customWidth="1"/>
    <col min="3348" max="3584" width="11.42578125" style="1"/>
    <col min="3585" max="3585" width="5.140625" style="1" customWidth="1"/>
    <col min="3586" max="3586" width="9.85546875" style="1" customWidth="1"/>
    <col min="3587" max="3587" width="9.42578125" style="1" customWidth="1"/>
    <col min="3588" max="3588" width="42.85546875" style="1" customWidth="1"/>
    <col min="3589" max="3589" width="17.85546875" style="1" customWidth="1"/>
    <col min="3590" max="3590" width="18.7109375" style="1" customWidth="1"/>
    <col min="3591" max="3591" width="17.42578125" style="1" customWidth="1"/>
    <col min="3592" max="3592" width="15.85546875" style="1" customWidth="1"/>
    <col min="3593" max="3593" width="13.42578125" style="1" customWidth="1"/>
    <col min="3594" max="3594" width="11" style="1" customWidth="1"/>
    <col min="3595" max="3595" width="12.42578125" style="1" customWidth="1"/>
    <col min="3596" max="3596" width="9.85546875" style="1" customWidth="1"/>
    <col min="3597" max="3598" width="12.140625" style="1" bestFit="1" customWidth="1"/>
    <col min="3599" max="3599" width="13.7109375" style="1" customWidth="1"/>
    <col min="3600" max="3600" width="13" style="1" customWidth="1"/>
    <col min="3601" max="3601" width="8.42578125" style="1" customWidth="1"/>
    <col min="3602" max="3602" width="11.42578125" style="1"/>
    <col min="3603" max="3603" width="21.140625" style="1" customWidth="1"/>
    <col min="3604" max="3840" width="11.42578125" style="1"/>
    <col min="3841" max="3841" width="5.140625" style="1" customWidth="1"/>
    <col min="3842" max="3842" width="9.85546875" style="1" customWidth="1"/>
    <col min="3843" max="3843" width="9.42578125" style="1" customWidth="1"/>
    <col min="3844" max="3844" width="42.85546875" style="1" customWidth="1"/>
    <col min="3845" max="3845" width="17.85546875" style="1" customWidth="1"/>
    <col min="3846" max="3846" width="18.7109375" style="1" customWidth="1"/>
    <col min="3847" max="3847" width="17.42578125" style="1" customWidth="1"/>
    <col min="3848" max="3848" width="15.85546875" style="1" customWidth="1"/>
    <col min="3849" max="3849" width="13.42578125" style="1" customWidth="1"/>
    <col min="3850" max="3850" width="11" style="1" customWidth="1"/>
    <col min="3851" max="3851" width="12.42578125" style="1" customWidth="1"/>
    <col min="3852" max="3852" width="9.85546875" style="1" customWidth="1"/>
    <col min="3853" max="3854" width="12.140625" style="1" bestFit="1" customWidth="1"/>
    <col min="3855" max="3855" width="13.7109375" style="1" customWidth="1"/>
    <col min="3856" max="3856" width="13" style="1" customWidth="1"/>
    <col min="3857" max="3857" width="8.42578125" style="1" customWidth="1"/>
    <col min="3858" max="3858" width="11.42578125" style="1"/>
    <col min="3859" max="3859" width="21.140625" style="1" customWidth="1"/>
    <col min="3860" max="4096" width="11.42578125" style="1"/>
    <col min="4097" max="4097" width="5.140625" style="1" customWidth="1"/>
    <col min="4098" max="4098" width="9.85546875" style="1" customWidth="1"/>
    <col min="4099" max="4099" width="9.42578125" style="1" customWidth="1"/>
    <col min="4100" max="4100" width="42.85546875" style="1" customWidth="1"/>
    <col min="4101" max="4101" width="17.85546875" style="1" customWidth="1"/>
    <col min="4102" max="4102" width="18.7109375" style="1" customWidth="1"/>
    <col min="4103" max="4103" width="17.42578125" style="1" customWidth="1"/>
    <col min="4104" max="4104" width="15.85546875" style="1" customWidth="1"/>
    <col min="4105" max="4105" width="13.42578125" style="1" customWidth="1"/>
    <col min="4106" max="4106" width="11" style="1" customWidth="1"/>
    <col min="4107" max="4107" width="12.42578125" style="1" customWidth="1"/>
    <col min="4108" max="4108" width="9.85546875" style="1" customWidth="1"/>
    <col min="4109" max="4110" width="12.140625" style="1" bestFit="1" customWidth="1"/>
    <col min="4111" max="4111" width="13.7109375" style="1" customWidth="1"/>
    <col min="4112" max="4112" width="13" style="1" customWidth="1"/>
    <col min="4113" max="4113" width="8.42578125" style="1" customWidth="1"/>
    <col min="4114" max="4114" width="11.42578125" style="1"/>
    <col min="4115" max="4115" width="21.140625" style="1" customWidth="1"/>
    <col min="4116" max="4352" width="11.42578125" style="1"/>
    <col min="4353" max="4353" width="5.140625" style="1" customWidth="1"/>
    <col min="4354" max="4354" width="9.85546875" style="1" customWidth="1"/>
    <col min="4355" max="4355" width="9.42578125" style="1" customWidth="1"/>
    <col min="4356" max="4356" width="42.85546875" style="1" customWidth="1"/>
    <col min="4357" max="4357" width="17.85546875" style="1" customWidth="1"/>
    <col min="4358" max="4358" width="18.7109375" style="1" customWidth="1"/>
    <col min="4359" max="4359" width="17.42578125" style="1" customWidth="1"/>
    <col min="4360" max="4360" width="15.85546875" style="1" customWidth="1"/>
    <col min="4361" max="4361" width="13.42578125" style="1" customWidth="1"/>
    <col min="4362" max="4362" width="11" style="1" customWidth="1"/>
    <col min="4363" max="4363" width="12.42578125" style="1" customWidth="1"/>
    <col min="4364" max="4364" width="9.85546875" style="1" customWidth="1"/>
    <col min="4365" max="4366" width="12.140625" style="1" bestFit="1" customWidth="1"/>
    <col min="4367" max="4367" width="13.7109375" style="1" customWidth="1"/>
    <col min="4368" max="4368" width="13" style="1" customWidth="1"/>
    <col min="4369" max="4369" width="8.42578125" style="1" customWidth="1"/>
    <col min="4370" max="4370" width="11.42578125" style="1"/>
    <col min="4371" max="4371" width="21.140625" style="1" customWidth="1"/>
    <col min="4372" max="4608" width="11.42578125" style="1"/>
    <col min="4609" max="4609" width="5.140625" style="1" customWidth="1"/>
    <col min="4610" max="4610" width="9.85546875" style="1" customWidth="1"/>
    <col min="4611" max="4611" width="9.42578125" style="1" customWidth="1"/>
    <col min="4612" max="4612" width="42.85546875" style="1" customWidth="1"/>
    <col min="4613" max="4613" width="17.85546875" style="1" customWidth="1"/>
    <col min="4614" max="4614" width="18.7109375" style="1" customWidth="1"/>
    <col min="4615" max="4615" width="17.42578125" style="1" customWidth="1"/>
    <col min="4616" max="4616" width="15.85546875" style="1" customWidth="1"/>
    <col min="4617" max="4617" width="13.42578125" style="1" customWidth="1"/>
    <col min="4618" max="4618" width="11" style="1" customWidth="1"/>
    <col min="4619" max="4619" width="12.42578125" style="1" customWidth="1"/>
    <col min="4620" max="4620" width="9.85546875" style="1" customWidth="1"/>
    <col min="4621" max="4622" width="12.140625" style="1" bestFit="1" customWidth="1"/>
    <col min="4623" max="4623" width="13.7109375" style="1" customWidth="1"/>
    <col min="4624" max="4624" width="13" style="1" customWidth="1"/>
    <col min="4625" max="4625" width="8.42578125" style="1" customWidth="1"/>
    <col min="4626" max="4626" width="11.42578125" style="1"/>
    <col min="4627" max="4627" width="21.140625" style="1" customWidth="1"/>
    <col min="4628" max="4864" width="11.42578125" style="1"/>
    <col min="4865" max="4865" width="5.140625" style="1" customWidth="1"/>
    <col min="4866" max="4866" width="9.85546875" style="1" customWidth="1"/>
    <col min="4867" max="4867" width="9.42578125" style="1" customWidth="1"/>
    <col min="4868" max="4868" width="42.85546875" style="1" customWidth="1"/>
    <col min="4869" max="4869" width="17.85546875" style="1" customWidth="1"/>
    <col min="4870" max="4870" width="18.7109375" style="1" customWidth="1"/>
    <col min="4871" max="4871" width="17.42578125" style="1" customWidth="1"/>
    <col min="4872" max="4872" width="15.85546875" style="1" customWidth="1"/>
    <col min="4873" max="4873" width="13.42578125" style="1" customWidth="1"/>
    <col min="4874" max="4874" width="11" style="1" customWidth="1"/>
    <col min="4875" max="4875" width="12.42578125" style="1" customWidth="1"/>
    <col min="4876" max="4876" width="9.85546875" style="1" customWidth="1"/>
    <col min="4877" max="4878" width="12.140625" style="1" bestFit="1" customWidth="1"/>
    <col min="4879" max="4879" width="13.7109375" style="1" customWidth="1"/>
    <col min="4880" max="4880" width="13" style="1" customWidth="1"/>
    <col min="4881" max="4881" width="8.42578125" style="1" customWidth="1"/>
    <col min="4882" max="4882" width="11.42578125" style="1"/>
    <col min="4883" max="4883" width="21.140625" style="1" customWidth="1"/>
    <col min="4884" max="5120" width="11.42578125" style="1"/>
    <col min="5121" max="5121" width="5.140625" style="1" customWidth="1"/>
    <col min="5122" max="5122" width="9.85546875" style="1" customWidth="1"/>
    <col min="5123" max="5123" width="9.42578125" style="1" customWidth="1"/>
    <col min="5124" max="5124" width="42.85546875" style="1" customWidth="1"/>
    <col min="5125" max="5125" width="17.85546875" style="1" customWidth="1"/>
    <col min="5126" max="5126" width="18.7109375" style="1" customWidth="1"/>
    <col min="5127" max="5127" width="17.42578125" style="1" customWidth="1"/>
    <col min="5128" max="5128" width="15.85546875" style="1" customWidth="1"/>
    <col min="5129" max="5129" width="13.42578125" style="1" customWidth="1"/>
    <col min="5130" max="5130" width="11" style="1" customWidth="1"/>
    <col min="5131" max="5131" width="12.42578125" style="1" customWidth="1"/>
    <col min="5132" max="5132" width="9.85546875" style="1" customWidth="1"/>
    <col min="5133" max="5134" width="12.140625" style="1" bestFit="1" customWidth="1"/>
    <col min="5135" max="5135" width="13.7109375" style="1" customWidth="1"/>
    <col min="5136" max="5136" width="13" style="1" customWidth="1"/>
    <col min="5137" max="5137" width="8.42578125" style="1" customWidth="1"/>
    <col min="5138" max="5138" width="11.42578125" style="1"/>
    <col min="5139" max="5139" width="21.140625" style="1" customWidth="1"/>
    <col min="5140" max="5376" width="11.42578125" style="1"/>
    <col min="5377" max="5377" width="5.140625" style="1" customWidth="1"/>
    <col min="5378" max="5378" width="9.85546875" style="1" customWidth="1"/>
    <col min="5379" max="5379" width="9.42578125" style="1" customWidth="1"/>
    <col min="5380" max="5380" width="42.85546875" style="1" customWidth="1"/>
    <col min="5381" max="5381" width="17.85546875" style="1" customWidth="1"/>
    <col min="5382" max="5382" width="18.7109375" style="1" customWidth="1"/>
    <col min="5383" max="5383" width="17.42578125" style="1" customWidth="1"/>
    <col min="5384" max="5384" width="15.85546875" style="1" customWidth="1"/>
    <col min="5385" max="5385" width="13.42578125" style="1" customWidth="1"/>
    <col min="5386" max="5386" width="11" style="1" customWidth="1"/>
    <col min="5387" max="5387" width="12.42578125" style="1" customWidth="1"/>
    <col min="5388" max="5388" width="9.85546875" style="1" customWidth="1"/>
    <col min="5389" max="5390" width="12.140625" style="1" bestFit="1" customWidth="1"/>
    <col min="5391" max="5391" width="13.7109375" style="1" customWidth="1"/>
    <col min="5392" max="5392" width="13" style="1" customWidth="1"/>
    <col min="5393" max="5393" width="8.42578125" style="1" customWidth="1"/>
    <col min="5394" max="5394" width="11.42578125" style="1"/>
    <col min="5395" max="5395" width="21.140625" style="1" customWidth="1"/>
    <col min="5396" max="5632" width="11.42578125" style="1"/>
    <col min="5633" max="5633" width="5.140625" style="1" customWidth="1"/>
    <col min="5634" max="5634" width="9.85546875" style="1" customWidth="1"/>
    <col min="5635" max="5635" width="9.42578125" style="1" customWidth="1"/>
    <col min="5636" max="5636" width="42.85546875" style="1" customWidth="1"/>
    <col min="5637" max="5637" width="17.85546875" style="1" customWidth="1"/>
    <col min="5638" max="5638" width="18.7109375" style="1" customWidth="1"/>
    <col min="5639" max="5639" width="17.42578125" style="1" customWidth="1"/>
    <col min="5640" max="5640" width="15.85546875" style="1" customWidth="1"/>
    <col min="5641" max="5641" width="13.42578125" style="1" customWidth="1"/>
    <col min="5642" max="5642" width="11" style="1" customWidth="1"/>
    <col min="5643" max="5643" width="12.42578125" style="1" customWidth="1"/>
    <col min="5644" max="5644" width="9.85546875" style="1" customWidth="1"/>
    <col min="5645" max="5646" width="12.140625" style="1" bestFit="1" customWidth="1"/>
    <col min="5647" max="5647" width="13.7109375" style="1" customWidth="1"/>
    <col min="5648" max="5648" width="13" style="1" customWidth="1"/>
    <col min="5649" max="5649" width="8.42578125" style="1" customWidth="1"/>
    <col min="5650" max="5650" width="11.42578125" style="1"/>
    <col min="5651" max="5651" width="21.140625" style="1" customWidth="1"/>
    <col min="5652" max="5888" width="11.42578125" style="1"/>
    <col min="5889" max="5889" width="5.140625" style="1" customWidth="1"/>
    <col min="5890" max="5890" width="9.85546875" style="1" customWidth="1"/>
    <col min="5891" max="5891" width="9.42578125" style="1" customWidth="1"/>
    <col min="5892" max="5892" width="42.85546875" style="1" customWidth="1"/>
    <col min="5893" max="5893" width="17.85546875" style="1" customWidth="1"/>
    <col min="5894" max="5894" width="18.7109375" style="1" customWidth="1"/>
    <col min="5895" max="5895" width="17.42578125" style="1" customWidth="1"/>
    <col min="5896" max="5896" width="15.85546875" style="1" customWidth="1"/>
    <col min="5897" max="5897" width="13.42578125" style="1" customWidth="1"/>
    <col min="5898" max="5898" width="11" style="1" customWidth="1"/>
    <col min="5899" max="5899" width="12.42578125" style="1" customWidth="1"/>
    <col min="5900" max="5900" width="9.85546875" style="1" customWidth="1"/>
    <col min="5901" max="5902" width="12.140625" style="1" bestFit="1" customWidth="1"/>
    <col min="5903" max="5903" width="13.7109375" style="1" customWidth="1"/>
    <col min="5904" max="5904" width="13" style="1" customWidth="1"/>
    <col min="5905" max="5905" width="8.42578125" style="1" customWidth="1"/>
    <col min="5906" max="5906" width="11.42578125" style="1"/>
    <col min="5907" max="5907" width="21.140625" style="1" customWidth="1"/>
    <col min="5908" max="6144" width="11.42578125" style="1"/>
    <col min="6145" max="6145" width="5.140625" style="1" customWidth="1"/>
    <col min="6146" max="6146" width="9.85546875" style="1" customWidth="1"/>
    <col min="6147" max="6147" width="9.42578125" style="1" customWidth="1"/>
    <col min="6148" max="6148" width="42.85546875" style="1" customWidth="1"/>
    <col min="6149" max="6149" width="17.85546875" style="1" customWidth="1"/>
    <col min="6150" max="6150" width="18.7109375" style="1" customWidth="1"/>
    <col min="6151" max="6151" width="17.42578125" style="1" customWidth="1"/>
    <col min="6152" max="6152" width="15.85546875" style="1" customWidth="1"/>
    <col min="6153" max="6153" width="13.42578125" style="1" customWidth="1"/>
    <col min="6154" max="6154" width="11" style="1" customWidth="1"/>
    <col min="6155" max="6155" width="12.42578125" style="1" customWidth="1"/>
    <col min="6156" max="6156" width="9.85546875" style="1" customWidth="1"/>
    <col min="6157" max="6158" width="12.140625" style="1" bestFit="1" customWidth="1"/>
    <col min="6159" max="6159" width="13.7109375" style="1" customWidth="1"/>
    <col min="6160" max="6160" width="13" style="1" customWidth="1"/>
    <col min="6161" max="6161" width="8.42578125" style="1" customWidth="1"/>
    <col min="6162" max="6162" width="11.42578125" style="1"/>
    <col min="6163" max="6163" width="21.140625" style="1" customWidth="1"/>
    <col min="6164" max="6400" width="11.42578125" style="1"/>
    <col min="6401" max="6401" width="5.140625" style="1" customWidth="1"/>
    <col min="6402" max="6402" width="9.85546875" style="1" customWidth="1"/>
    <col min="6403" max="6403" width="9.42578125" style="1" customWidth="1"/>
    <col min="6404" max="6404" width="42.85546875" style="1" customWidth="1"/>
    <col min="6405" max="6405" width="17.85546875" style="1" customWidth="1"/>
    <col min="6406" max="6406" width="18.7109375" style="1" customWidth="1"/>
    <col min="6407" max="6407" width="17.42578125" style="1" customWidth="1"/>
    <col min="6408" max="6408" width="15.85546875" style="1" customWidth="1"/>
    <col min="6409" max="6409" width="13.42578125" style="1" customWidth="1"/>
    <col min="6410" max="6410" width="11" style="1" customWidth="1"/>
    <col min="6411" max="6411" width="12.42578125" style="1" customWidth="1"/>
    <col min="6412" max="6412" width="9.85546875" style="1" customWidth="1"/>
    <col min="6413" max="6414" width="12.140625" style="1" bestFit="1" customWidth="1"/>
    <col min="6415" max="6415" width="13.7109375" style="1" customWidth="1"/>
    <col min="6416" max="6416" width="13" style="1" customWidth="1"/>
    <col min="6417" max="6417" width="8.42578125" style="1" customWidth="1"/>
    <col min="6418" max="6418" width="11.42578125" style="1"/>
    <col min="6419" max="6419" width="21.140625" style="1" customWidth="1"/>
    <col min="6420" max="6656" width="11.42578125" style="1"/>
    <col min="6657" max="6657" width="5.140625" style="1" customWidth="1"/>
    <col min="6658" max="6658" width="9.85546875" style="1" customWidth="1"/>
    <col min="6659" max="6659" width="9.42578125" style="1" customWidth="1"/>
    <col min="6660" max="6660" width="42.85546875" style="1" customWidth="1"/>
    <col min="6661" max="6661" width="17.85546875" style="1" customWidth="1"/>
    <col min="6662" max="6662" width="18.7109375" style="1" customWidth="1"/>
    <col min="6663" max="6663" width="17.42578125" style="1" customWidth="1"/>
    <col min="6664" max="6664" width="15.85546875" style="1" customWidth="1"/>
    <col min="6665" max="6665" width="13.42578125" style="1" customWidth="1"/>
    <col min="6666" max="6666" width="11" style="1" customWidth="1"/>
    <col min="6667" max="6667" width="12.42578125" style="1" customWidth="1"/>
    <col min="6668" max="6668" width="9.85546875" style="1" customWidth="1"/>
    <col min="6669" max="6670" width="12.140625" style="1" bestFit="1" customWidth="1"/>
    <col min="6671" max="6671" width="13.7109375" style="1" customWidth="1"/>
    <col min="6672" max="6672" width="13" style="1" customWidth="1"/>
    <col min="6673" max="6673" width="8.42578125" style="1" customWidth="1"/>
    <col min="6674" max="6674" width="11.42578125" style="1"/>
    <col min="6675" max="6675" width="21.140625" style="1" customWidth="1"/>
    <col min="6676" max="6912" width="11.42578125" style="1"/>
    <col min="6913" max="6913" width="5.140625" style="1" customWidth="1"/>
    <col min="6914" max="6914" width="9.85546875" style="1" customWidth="1"/>
    <col min="6915" max="6915" width="9.42578125" style="1" customWidth="1"/>
    <col min="6916" max="6916" width="42.85546875" style="1" customWidth="1"/>
    <col min="6917" max="6917" width="17.85546875" style="1" customWidth="1"/>
    <col min="6918" max="6918" width="18.7109375" style="1" customWidth="1"/>
    <col min="6919" max="6919" width="17.42578125" style="1" customWidth="1"/>
    <col min="6920" max="6920" width="15.85546875" style="1" customWidth="1"/>
    <col min="6921" max="6921" width="13.42578125" style="1" customWidth="1"/>
    <col min="6922" max="6922" width="11" style="1" customWidth="1"/>
    <col min="6923" max="6923" width="12.42578125" style="1" customWidth="1"/>
    <col min="6924" max="6924" width="9.85546875" style="1" customWidth="1"/>
    <col min="6925" max="6926" width="12.140625" style="1" bestFit="1" customWidth="1"/>
    <col min="6927" max="6927" width="13.7109375" style="1" customWidth="1"/>
    <col min="6928" max="6928" width="13" style="1" customWidth="1"/>
    <col min="6929" max="6929" width="8.42578125" style="1" customWidth="1"/>
    <col min="6930" max="6930" width="11.42578125" style="1"/>
    <col min="6931" max="6931" width="21.140625" style="1" customWidth="1"/>
    <col min="6932" max="7168" width="11.42578125" style="1"/>
    <col min="7169" max="7169" width="5.140625" style="1" customWidth="1"/>
    <col min="7170" max="7170" width="9.85546875" style="1" customWidth="1"/>
    <col min="7171" max="7171" width="9.42578125" style="1" customWidth="1"/>
    <col min="7172" max="7172" width="42.85546875" style="1" customWidth="1"/>
    <col min="7173" max="7173" width="17.85546875" style="1" customWidth="1"/>
    <col min="7174" max="7174" width="18.7109375" style="1" customWidth="1"/>
    <col min="7175" max="7175" width="17.42578125" style="1" customWidth="1"/>
    <col min="7176" max="7176" width="15.85546875" style="1" customWidth="1"/>
    <col min="7177" max="7177" width="13.42578125" style="1" customWidth="1"/>
    <col min="7178" max="7178" width="11" style="1" customWidth="1"/>
    <col min="7179" max="7179" width="12.42578125" style="1" customWidth="1"/>
    <col min="7180" max="7180" width="9.85546875" style="1" customWidth="1"/>
    <col min="7181" max="7182" width="12.140625" style="1" bestFit="1" customWidth="1"/>
    <col min="7183" max="7183" width="13.7109375" style="1" customWidth="1"/>
    <col min="7184" max="7184" width="13" style="1" customWidth="1"/>
    <col min="7185" max="7185" width="8.42578125" style="1" customWidth="1"/>
    <col min="7186" max="7186" width="11.42578125" style="1"/>
    <col min="7187" max="7187" width="21.140625" style="1" customWidth="1"/>
    <col min="7188" max="7424" width="11.42578125" style="1"/>
    <col min="7425" max="7425" width="5.140625" style="1" customWidth="1"/>
    <col min="7426" max="7426" width="9.85546875" style="1" customWidth="1"/>
    <col min="7427" max="7427" width="9.42578125" style="1" customWidth="1"/>
    <col min="7428" max="7428" width="42.85546875" style="1" customWidth="1"/>
    <col min="7429" max="7429" width="17.85546875" style="1" customWidth="1"/>
    <col min="7430" max="7430" width="18.7109375" style="1" customWidth="1"/>
    <col min="7431" max="7431" width="17.42578125" style="1" customWidth="1"/>
    <col min="7432" max="7432" width="15.85546875" style="1" customWidth="1"/>
    <col min="7433" max="7433" width="13.42578125" style="1" customWidth="1"/>
    <col min="7434" max="7434" width="11" style="1" customWidth="1"/>
    <col min="7435" max="7435" width="12.42578125" style="1" customWidth="1"/>
    <col min="7436" max="7436" width="9.85546875" style="1" customWidth="1"/>
    <col min="7437" max="7438" width="12.140625" style="1" bestFit="1" customWidth="1"/>
    <col min="7439" max="7439" width="13.7109375" style="1" customWidth="1"/>
    <col min="7440" max="7440" width="13" style="1" customWidth="1"/>
    <col min="7441" max="7441" width="8.42578125" style="1" customWidth="1"/>
    <col min="7442" max="7442" width="11.42578125" style="1"/>
    <col min="7443" max="7443" width="21.140625" style="1" customWidth="1"/>
    <col min="7444" max="7680" width="11.42578125" style="1"/>
    <col min="7681" max="7681" width="5.140625" style="1" customWidth="1"/>
    <col min="7682" max="7682" width="9.85546875" style="1" customWidth="1"/>
    <col min="7683" max="7683" width="9.42578125" style="1" customWidth="1"/>
    <col min="7684" max="7684" width="42.85546875" style="1" customWidth="1"/>
    <col min="7685" max="7685" width="17.85546875" style="1" customWidth="1"/>
    <col min="7686" max="7686" width="18.7109375" style="1" customWidth="1"/>
    <col min="7687" max="7687" width="17.42578125" style="1" customWidth="1"/>
    <col min="7688" max="7688" width="15.85546875" style="1" customWidth="1"/>
    <col min="7689" max="7689" width="13.42578125" style="1" customWidth="1"/>
    <col min="7690" max="7690" width="11" style="1" customWidth="1"/>
    <col min="7691" max="7691" width="12.42578125" style="1" customWidth="1"/>
    <col min="7692" max="7692" width="9.85546875" style="1" customWidth="1"/>
    <col min="7693" max="7694" width="12.140625" style="1" bestFit="1" customWidth="1"/>
    <col min="7695" max="7695" width="13.7109375" style="1" customWidth="1"/>
    <col min="7696" max="7696" width="13" style="1" customWidth="1"/>
    <col min="7697" max="7697" width="8.42578125" style="1" customWidth="1"/>
    <col min="7698" max="7698" width="11.42578125" style="1"/>
    <col min="7699" max="7699" width="21.140625" style="1" customWidth="1"/>
    <col min="7700" max="7936" width="11.42578125" style="1"/>
    <col min="7937" max="7937" width="5.140625" style="1" customWidth="1"/>
    <col min="7938" max="7938" width="9.85546875" style="1" customWidth="1"/>
    <col min="7939" max="7939" width="9.42578125" style="1" customWidth="1"/>
    <col min="7940" max="7940" width="42.85546875" style="1" customWidth="1"/>
    <col min="7941" max="7941" width="17.85546875" style="1" customWidth="1"/>
    <col min="7942" max="7942" width="18.7109375" style="1" customWidth="1"/>
    <col min="7943" max="7943" width="17.42578125" style="1" customWidth="1"/>
    <col min="7944" max="7944" width="15.85546875" style="1" customWidth="1"/>
    <col min="7945" max="7945" width="13.42578125" style="1" customWidth="1"/>
    <col min="7946" max="7946" width="11" style="1" customWidth="1"/>
    <col min="7947" max="7947" width="12.42578125" style="1" customWidth="1"/>
    <col min="7948" max="7948" width="9.85546875" style="1" customWidth="1"/>
    <col min="7949" max="7950" width="12.140625" style="1" bestFit="1" customWidth="1"/>
    <col min="7951" max="7951" width="13.7109375" style="1" customWidth="1"/>
    <col min="7952" max="7952" width="13" style="1" customWidth="1"/>
    <col min="7953" max="7953" width="8.42578125" style="1" customWidth="1"/>
    <col min="7954" max="7954" width="11.42578125" style="1"/>
    <col min="7955" max="7955" width="21.140625" style="1" customWidth="1"/>
    <col min="7956" max="8192" width="11.42578125" style="1"/>
    <col min="8193" max="8193" width="5.140625" style="1" customWidth="1"/>
    <col min="8194" max="8194" width="9.85546875" style="1" customWidth="1"/>
    <col min="8195" max="8195" width="9.42578125" style="1" customWidth="1"/>
    <col min="8196" max="8196" width="42.85546875" style="1" customWidth="1"/>
    <col min="8197" max="8197" width="17.85546875" style="1" customWidth="1"/>
    <col min="8198" max="8198" width="18.7109375" style="1" customWidth="1"/>
    <col min="8199" max="8199" width="17.42578125" style="1" customWidth="1"/>
    <col min="8200" max="8200" width="15.85546875" style="1" customWidth="1"/>
    <col min="8201" max="8201" width="13.42578125" style="1" customWidth="1"/>
    <col min="8202" max="8202" width="11" style="1" customWidth="1"/>
    <col min="8203" max="8203" width="12.42578125" style="1" customWidth="1"/>
    <col min="8204" max="8204" width="9.85546875" style="1" customWidth="1"/>
    <col min="8205" max="8206" width="12.140625" style="1" bestFit="1" customWidth="1"/>
    <col min="8207" max="8207" width="13.7109375" style="1" customWidth="1"/>
    <col min="8208" max="8208" width="13" style="1" customWidth="1"/>
    <col min="8209" max="8209" width="8.42578125" style="1" customWidth="1"/>
    <col min="8210" max="8210" width="11.42578125" style="1"/>
    <col min="8211" max="8211" width="21.140625" style="1" customWidth="1"/>
    <col min="8212" max="8448" width="11.42578125" style="1"/>
    <col min="8449" max="8449" width="5.140625" style="1" customWidth="1"/>
    <col min="8450" max="8450" width="9.85546875" style="1" customWidth="1"/>
    <col min="8451" max="8451" width="9.42578125" style="1" customWidth="1"/>
    <col min="8452" max="8452" width="42.85546875" style="1" customWidth="1"/>
    <col min="8453" max="8453" width="17.85546875" style="1" customWidth="1"/>
    <col min="8454" max="8454" width="18.7109375" style="1" customWidth="1"/>
    <col min="8455" max="8455" width="17.42578125" style="1" customWidth="1"/>
    <col min="8456" max="8456" width="15.85546875" style="1" customWidth="1"/>
    <col min="8457" max="8457" width="13.42578125" style="1" customWidth="1"/>
    <col min="8458" max="8458" width="11" style="1" customWidth="1"/>
    <col min="8459" max="8459" width="12.42578125" style="1" customWidth="1"/>
    <col min="8460" max="8460" width="9.85546875" style="1" customWidth="1"/>
    <col min="8461" max="8462" width="12.140625" style="1" bestFit="1" customWidth="1"/>
    <col min="8463" max="8463" width="13.7109375" style="1" customWidth="1"/>
    <col min="8464" max="8464" width="13" style="1" customWidth="1"/>
    <col min="8465" max="8465" width="8.42578125" style="1" customWidth="1"/>
    <col min="8466" max="8466" width="11.42578125" style="1"/>
    <col min="8467" max="8467" width="21.140625" style="1" customWidth="1"/>
    <col min="8468" max="8704" width="11.42578125" style="1"/>
    <col min="8705" max="8705" width="5.140625" style="1" customWidth="1"/>
    <col min="8706" max="8706" width="9.85546875" style="1" customWidth="1"/>
    <col min="8707" max="8707" width="9.42578125" style="1" customWidth="1"/>
    <col min="8708" max="8708" width="42.85546875" style="1" customWidth="1"/>
    <col min="8709" max="8709" width="17.85546875" style="1" customWidth="1"/>
    <col min="8710" max="8710" width="18.7109375" style="1" customWidth="1"/>
    <col min="8711" max="8711" width="17.42578125" style="1" customWidth="1"/>
    <col min="8712" max="8712" width="15.85546875" style="1" customWidth="1"/>
    <col min="8713" max="8713" width="13.42578125" style="1" customWidth="1"/>
    <col min="8714" max="8714" width="11" style="1" customWidth="1"/>
    <col min="8715" max="8715" width="12.42578125" style="1" customWidth="1"/>
    <col min="8716" max="8716" width="9.85546875" style="1" customWidth="1"/>
    <col min="8717" max="8718" width="12.140625" style="1" bestFit="1" customWidth="1"/>
    <col min="8719" max="8719" width="13.7109375" style="1" customWidth="1"/>
    <col min="8720" max="8720" width="13" style="1" customWidth="1"/>
    <col min="8721" max="8721" width="8.42578125" style="1" customWidth="1"/>
    <col min="8722" max="8722" width="11.42578125" style="1"/>
    <col min="8723" max="8723" width="21.140625" style="1" customWidth="1"/>
    <col min="8724" max="8960" width="11.42578125" style="1"/>
    <col min="8961" max="8961" width="5.140625" style="1" customWidth="1"/>
    <col min="8962" max="8962" width="9.85546875" style="1" customWidth="1"/>
    <col min="8963" max="8963" width="9.42578125" style="1" customWidth="1"/>
    <col min="8964" max="8964" width="42.85546875" style="1" customWidth="1"/>
    <col min="8965" max="8965" width="17.85546875" style="1" customWidth="1"/>
    <col min="8966" max="8966" width="18.7109375" style="1" customWidth="1"/>
    <col min="8967" max="8967" width="17.42578125" style="1" customWidth="1"/>
    <col min="8968" max="8968" width="15.85546875" style="1" customWidth="1"/>
    <col min="8969" max="8969" width="13.42578125" style="1" customWidth="1"/>
    <col min="8970" max="8970" width="11" style="1" customWidth="1"/>
    <col min="8971" max="8971" width="12.42578125" style="1" customWidth="1"/>
    <col min="8972" max="8972" width="9.85546875" style="1" customWidth="1"/>
    <col min="8973" max="8974" width="12.140625" style="1" bestFit="1" customWidth="1"/>
    <col min="8975" max="8975" width="13.7109375" style="1" customWidth="1"/>
    <col min="8976" max="8976" width="13" style="1" customWidth="1"/>
    <col min="8977" max="8977" width="8.42578125" style="1" customWidth="1"/>
    <col min="8978" max="8978" width="11.42578125" style="1"/>
    <col min="8979" max="8979" width="21.140625" style="1" customWidth="1"/>
    <col min="8980" max="9216" width="11.42578125" style="1"/>
    <col min="9217" max="9217" width="5.140625" style="1" customWidth="1"/>
    <col min="9218" max="9218" width="9.85546875" style="1" customWidth="1"/>
    <col min="9219" max="9219" width="9.42578125" style="1" customWidth="1"/>
    <col min="9220" max="9220" width="42.85546875" style="1" customWidth="1"/>
    <col min="9221" max="9221" width="17.85546875" style="1" customWidth="1"/>
    <col min="9222" max="9222" width="18.7109375" style="1" customWidth="1"/>
    <col min="9223" max="9223" width="17.42578125" style="1" customWidth="1"/>
    <col min="9224" max="9224" width="15.85546875" style="1" customWidth="1"/>
    <col min="9225" max="9225" width="13.42578125" style="1" customWidth="1"/>
    <col min="9226" max="9226" width="11" style="1" customWidth="1"/>
    <col min="9227" max="9227" width="12.42578125" style="1" customWidth="1"/>
    <col min="9228" max="9228" width="9.85546875" style="1" customWidth="1"/>
    <col min="9229" max="9230" width="12.140625" style="1" bestFit="1" customWidth="1"/>
    <col min="9231" max="9231" width="13.7109375" style="1" customWidth="1"/>
    <col min="9232" max="9232" width="13" style="1" customWidth="1"/>
    <col min="9233" max="9233" width="8.42578125" style="1" customWidth="1"/>
    <col min="9234" max="9234" width="11.42578125" style="1"/>
    <col min="9235" max="9235" width="21.140625" style="1" customWidth="1"/>
    <col min="9236" max="9472" width="11.42578125" style="1"/>
    <col min="9473" max="9473" width="5.140625" style="1" customWidth="1"/>
    <col min="9474" max="9474" width="9.85546875" style="1" customWidth="1"/>
    <col min="9475" max="9475" width="9.42578125" style="1" customWidth="1"/>
    <col min="9476" max="9476" width="42.85546875" style="1" customWidth="1"/>
    <col min="9477" max="9477" width="17.85546875" style="1" customWidth="1"/>
    <col min="9478" max="9478" width="18.7109375" style="1" customWidth="1"/>
    <col min="9479" max="9479" width="17.42578125" style="1" customWidth="1"/>
    <col min="9480" max="9480" width="15.85546875" style="1" customWidth="1"/>
    <col min="9481" max="9481" width="13.42578125" style="1" customWidth="1"/>
    <col min="9482" max="9482" width="11" style="1" customWidth="1"/>
    <col min="9483" max="9483" width="12.42578125" style="1" customWidth="1"/>
    <col min="9484" max="9484" width="9.85546875" style="1" customWidth="1"/>
    <col min="9485" max="9486" width="12.140625" style="1" bestFit="1" customWidth="1"/>
    <col min="9487" max="9487" width="13.7109375" style="1" customWidth="1"/>
    <col min="9488" max="9488" width="13" style="1" customWidth="1"/>
    <col min="9489" max="9489" width="8.42578125" style="1" customWidth="1"/>
    <col min="9490" max="9490" width="11.42578125" style="1"/>
    <col min="9491" max="9491" width="21.140625" style="1" customWidth="1"/>
    <col min="9492" max="9728" width="11.42578125" style="1"/>
    <col min="9729" max="9729" width="5.140625" style="1" customWidth="1"/>
    <col min="9730" max="9730" width="9.85546875" style="1" customWidth="1"/>
    <col min="9731" max="9731" width="9.42578125" style="1" customWidth="1"/>
    <col min="9732" max="9732" width="42.85546875" style="1" customWidth="1"/>
    <col min="9733" max="9733" width="17.85546875" style="1" customWidth="1"/>
    <col min="9734" max="9734" width="18.7109375" style="1" customWidth="1"/>
    <col min="9735" max="9735" width="17.42578125" style="1" customWidth="1"/>
    <col min="9736" max="9736" width="15.85546875" style="1" customWidth="1"/>
    <col min="9737" max="9737" width="13.42578125" style="1" customWidth="1"/>
    <col min="9738" max="9738" width="11" style="1" customWidth="1"/>
    <col min="9739" max="9739" width="12.42578125" style="1" customWidth="1"/>
    <col min="9740" max="9740" width="9.85546875" style="1" customWidth="1"/>
    <col min="9741" max="9742" width="12.140625" style="1" bestFit="1" customWidth="1"/>
    <col min="9743" max="9743" width="13.7109375" style="1" customWidth="1"/>
    <col min="9744" max="9744" width="13" style="1" customWidth="1"/>
    <col min="9745" max="9745" width="8.42578125" style="1" customWidth="1"/>
    <col min="9746" max="9746" width="11.42578125" style="1"/>
    <col min="9747" max="9747" width="21.140625" style="1" customWidth="1"/>
    <col min="9748" max="9984" width="11.42578125" style="1"/>
    <col min="9985" max="9985" width="5.140625" style="1" customWidth="1"/>
    <col min="9986" max="9986" width="9.85546875" style="1" customWidth="1"/>
    <col min="9987" max="9987" width="9.42578125" style="1" customWidth="1"/>
    <col min="9988" max="9988" width="42.85546875" style="1" customWidth="1"/>
    <col min="9989" max="9989" width="17.85546875" style="1" customWidth="1"/>
    <col min="9990" max="9990" width="18.7109375" style="1" customWidth="1"/>
    <col min="9991" max="9991" width="17.42578125" style="1" customWidth="1"/>
    <col min="9992" max="9992" width="15.85546875" style="1" customWidth="1"/>
    <col min="9993" max="9993" width="13.42578125" style="1" customWidth="1"/>
    <col min="9994" max="9994" width="11" style="1" customWidth="1"/>
    <col min="9995" max="9995" width="12.42578125" style="1" customWidth="1"/>
    <col min="9996" max="9996" width="9.85546875" style="1" customWidth="1"/>
    <col min="9997" max="9998" width="12.140625" style="1" bestFit="1" customWidth="1"/>
    <col min="9999" max="9999" width="13.7109375" style="1" customWidth="1"/>
    <col min="10000" max="10000" width="13" style="1" customWidth="1"/>
    <col min="10001" max="10001" width="8.42578125" style="1" customWidth="1"/>
    <col min="10002" max="10002" width="11.42578125" style="1"/>
    <col min="10003" max="10003" width="21.140625" style="1" customWidth="1"/>
    <col min="10004" max="10240" width="11.42578125" style="1"/>
    <col min="10241" max="10241" width="5.140625" style="1" customWidth="1"/>
    <col min="10242" max="10242" width="9.85546875" style="1" customWidth="1"/>
    <col min="10243" max="10243" width="9.42578125" style="1" customWidth="1"/>
    <col min="10244" max="10244" width="42.85546875" style="1" customWidth="1"/>
    <col min="10245" max="10245" width="17.85546875" style="1" customWidth="1"/>
    <col min="10246" max="10246" width="18.7109375" style="1" customWidth="1"/>
    <col min="10247" max="10247" width="17.42578125" style="1" customWidth="1"/>
    <col min="10248" max="10248" width="15.85546875" style="1" customWidth="1"/>
    <col min="10249" max="10249" width="13.42578125" style="1" customWidth="1"/>
    <col min="10250" max="10250" width="11" style="1" customWidth="1"/>
    <col min="10251" max="10251" width="12.42578125" style="1" customWidth="1"/>
    <col min="10252" max="10252" width="9.85546875" style="1" customWidth="1"/>
    <col min="10253" max="10254" width="12.140625" style="1" bestFit="1" customWidth="1"/>
    <col min="10255" max="10255" width="13.7109375" style="1" customWidth="1"/>
    <col min="10256" max="10256" width="13" style="1" customWidth="1"/>
    <col min="10257" max="10257" width="8.42578125" style="1" customWidth="1"/>
    <col min="10258" max="10258" width="11.42578125" style="1"/>
    <col min="10259" max="10259" width="21.140625" style="1" customWidth="1"/>
    <col min="10260" max="10496" width="11.42578125" style="1"/>
    <col min="10497" max="10497" width="5.140625" style="1" customWidth="1"/>
    <col min="10498" max="10498" width="9.85546875" style="1" customWidth="1"/>
    <col min="10499" max="10499" width="9.42578125" style="1" customWidth="1"/>
    <col min="10500" max="10500" width="42.85546875" style="1" customWidth="1"/>
    <col min="10501" max="10501" width="17.85546875" style="1" customWidth="1"/>
    <col min="10502" max="10502" width="18.7109375" style="1" customWidth="1"/>
    <col min="10503" max="10503" width="17.42578125" style="1" customWidth="1"/>
    <col min="10504" max="10504" width="15.85546875" style="1" customWidth="1"/>
    <col min="10505" max="10505" width="13.42578125" style="1" customWidth="1"/>
    <col min="10506" max="10506" width="11" style="1" customWidth="1"/>
    <col min="10507" max="10507" width="12.42578125" style="1" customWidth="1"/>
    <col min="10508" max="10508" width="9.85546875" style="1" customWidth="1"/>
    <col min="10509" max="10510" width="12.140625" style="1" bestFit="1" customWidth="1"/>
    <col min="10511" max="10511" width="13.7109375" style="1" customWidth="1"/>
    <col min="10512" max="10512" width="13" style="1" customWidth="1"/>
    <col min="10513" max="10513" width="8.42578125" style="1" customWidth="1"/>
    <col min="10514" max="10514" width="11.42578125" style="1"/>
    <col min="10515" max="10515" width="21.140625" style="1" customWidth="1"/>
    <col min="10516" max="10752" width="11.42578125" style="1"/>
    <col min="10753" max="10753" width="5.140625" style="1" customWidth="1"/>
    <col min="10754" max="10754" width="9.85546875" style="1" customWidth="1"/>
    <col min="10755" max="10755" width="9.42578125" style="1" customWidth="1"/>
    <col min="10756" max="10756" width="42.85546875" style="1" customWidth="1"/>
    <col min="10757" max="10757" width="17.85546875" style="1" customWidth="1"/>
    <col min="10758" max="10758" width="18.7109375" style="1" customWidth="1"/>
    <col min="10759" max="10759" width="17.42578125" style="1" customWidth="1"/>
    <col min="10760" max="10760" width="15.85546875" style="1" customWidth="1"/>
    <col min="10761" max="10761" width="13.42578125" style="1" customWidth="1"/>
    <col min="10762" max="10762" width="11" style="1" customWidth="1"/>
    <col min="10763" max="10763" width="12.42578125" style="1" customWidth="1"/>
    <col min="10764" max="10764" width="9.85546875" style="1" customWidth="1"/>
    <col min="10765" max="10766" width="12.140625" style="1" bestFit="1" customWidth="1"/>
    <col min="10767" max="10767" width="13.7109375" style="1" customWidth="1"/>
    <col min="10768" max="10768" width="13" style="1" customWidth="1"/>
    <col min="10769" max="10769" width="8.42578125" style="1" customWidth="1"/>
    <col min="10770" max="10770" width="11.42578125" style="1"/>
    <col min="10771" max="10771" width="21.140625" style="1" customWidth="1"/>
    <col min="10772" max="11008" width="11.42578125" style="1"/>
    <col min="11009" max="11009" width="5.140625" style="1" customWidth="1"/>
    <col min="11010" max="11010" width="9.85546875" style="1" customWidth="1"/>
    <col min="11011" max="11011" width="9.42578125" style="1" customWidth="1"/>
    <col min="11012" max="11012" width="42.85546875" style="1" customWidth="1"/>
    <col min="11013" max="11013" width="17.85546875" style="1" customWidth="1"/>
    <col min="11014" max="11014" width="18.7109375" style="1" customWidth="1"/>
    <col min="11015" max="11015" width="17.42578125" style="1" customWidth="1"/>
    <col min="11016" max="11016" width="15.85546875" style="1" customWidth="1"/>
    <col min="11017" max="11017" width="13.42578125" style="1" customWidth="1"/>
    <col min="11018" max="11018" width="11" style="1" customWidth="1"/>
    <col min="11019" max="11019" width="12.42578125" style="1" customWidth="1"/>
    <col min="11020" max="11020" width="9.85546875" style="1" customWidth="1"/>
    <col min="11021" max="11022" width="12.140625" style="1" bestFit="1" customWidth="1"/>
    <col min="11023" max="11023" width="13.7109375" style="1" customWidth="1"/>
    <col min="11024" max="11024" width="13" style="1" customWidth="1"/>
    <col min="11025" max="11025" width="8.42578125" style="1" customWidth="1"/>
    <col min="11026" max="11026" width="11.42578125" style="1"/>
    <col min="11027" max="11027" width="21.140625" style="1" customWidth="1"/>
    <col min="11028" max="11264" width="11.42578125" style="1"/>
    <col min="11265" max="11265" width="5.140625" style="1" customWidth="1"/>
    <col min="11266" max="11266" width="9.85546875" style="1" customWidth="1"/>
    <col min="11267" max="11267" width="9.42578125" style="1" customWidth="1"/>
    <col min="11268" max="11268" width="42.85546875" style="1" customWidth="1"/>
    <col min="11269" max="11269" width="17.85546875" style="1" customWidth="1"/>
    <col min="11270" max="11270" width="18.7109375" style="1" customWidth="1"/>
    <col min="11271" max="11271" width="17.42578125" style="1" customWidth="1"/>
    <col min="11272" max="11272" width="15.85546875" style="1" customWidth="1"/>
    <col min="11273" max="11273" width="13.42578125" style="1" customWidth="1"/>
    <col min="11274" max="11274" width="11" style="1" customWidth="1"/>
    <col min="11275" max="11275" width="12.42578125" style="1" customWidth="1"/>
    <col min="11276" max="11276" width="9.85546875" style="1" customWidth="1"/>
    <col min="11277" max="11278" width="12.140625" style="1" bestFit="1" customWidth="1"/>
    <col min="11279" max="11279" width="13.7109375" style="1" customWidth="1"/>
    <col min="11280" max="11280" width="13" style="1" customWidth="1"/>
    <col min="11281" max="11281" width="8.42578125" style="1" customWidth="1"/>
    <col min="11282" max="11282" width="11.42578125" style="1"/>
    <col min="11283" max="11283" width="21.140625" style="1" customWidth="1"/>
    <col min="11284" max="11520" width="11.42578125" style="1"/>
    <col min="11521" max="11521" width="5.140625" style="1" customWidth="1"/>
    <col min="11522" max="11522" width="9.85546875" style="1" customWidth="1"/>
    <col min="11523" max="11523" width="9.42578125" style="1" customWidth="1"/>
    <col min="11524" max="11524" width="42.85546875" style="1" customWidth="1"/>
    <col min="11525" max="11525" width="17.85546875" style="1" customWidth="1"/>
    <col min="11526" max="11526" width="18.7109375" style="1" customWidth="1"/>
    <col min="11527" max="11527" width="17.42578125" style="1" customWidth="1"/>
    <col min="11528" max="11528" width="15.85546875" style="1" customWidth="1"/>
    <col min="11529" max="11529" width="13.42578125" style="1" customWidth="1"/>
    <col min="11530" max="11530" width="11" style="1" customWidth="1"/>
    <col min="11531" max="11531" width="12.42578125" style="1" customWidth="1"/>
    <col min="11532" max="11532" width="9.85546875" style="1" customWidth="1"/>
    <col min="11533" max="11534" width="12.140625" style="1" bestFit="1" customWidth="1"/>
    <col min="11535" max="11535" width="13.7109375" style="1" customWidth="1"/>
    <col min="11536" max="11536" width="13" style="1" customWidth="1"/>
    <col min="11537" max="11537" width="8.42578125" style="1" customWidth="1"/>
    <col min="11538" max="11538" width="11.42578125" style="1"/>
    <col min="11539" max="11539" width="21.140625" style="1" customWidth="1"/>
    <col min="11540" max="11776" width="11.42578125" style="1"/>
    <col min="11777" max="11777" width="5.140625" style="1" customWidth="1"/>
    <col min="11778" max="11778" width="9.85546875" style="1" customWidth="1"/>
    <col min="11779" max="11779" width="9.42578125" style="1" customWidth="1"/>
    <col min="11780" max="11780" width="42.85546875" style="1" customWidth="1"/>
    <col min="11781" max="11781" width="17.85546875" style="1" customWidth="1"/>
    <col min="11782" max="11782" width="18.7109375" style="1" customWidth="1"/>
    <col min="11783" max="11783" width="17.42578125" style="1" customWidth="1"/>
    <col min="11784" max="11784" width="15.85546875" style="1" customWidth="1"/>
    <col min="11785" max="11785" width="13.42578125" style="1" customWidth="1"/>
    <col min="11786" max="11786" width="11" style="1" customWidth="1"/>
    <col min="11787" max="11787" width="12.42578125" style="1" customWidth="1"/>
    <col min="11788" max="11788" width="9.85546875" style="1" customWidth="1"/>
    <col min="11789" max="11790" width="12.140625" style="1" bestFit="1" customWidth="1"/>
    <col min="11791" max="11791" width="13.7109375" style="1" customWidth="1"/>
    <col min="11792" max="11792" width="13" style="1" customWidth="1"/>
    <col min="11793" max="11793" width="8.42578125" style="1" customWidth="1"/>
    <col min="11794" max="11794" width="11.42578125" style="1"/>
    <col min="11795" max="11795" width="21.140625" style="1" customWidth="1"/>
    <col min="11796" max="12032" width="11.42578125" style="1"/>
    <col min="12033" max="12033" width="5.140625" style="1" customWidth="1"/>
    <col min="12034" max="12034" width="9.85546875" style="1" customWidth="1"/>
    <col min="12035" max="12035" width="9.42578125" style="1" customWidth="1"/>
    <col min="12036" max="12036" width="42.85546875" style="1" customWidth="1"/>
    <col min="12037" max="12037" width="17.85546875" style="1" customWidth="1"/>
    <col min="12038" max="12038" width="18.7109375" style="1" customWidth="1"/>
    <col min="12039" max="12039" width="17.42578125" style="1" customWidth="1"/>
    <col min="12040" max="12040" width="15.85546875" style="1" customWidth="1"/>
    <col min="12041" max="12041" width="13.42578125" style="1" customWidth="1"/>
    <col min="12042" max="12042" width="11" style="1" customWidth="1"/>
    <col min="12043" max="12043" width="12.42578125" style="1" customWidth="1"/>
    <col min="12044" max="12044" width="9.85546875" style="1" customWidth="1"/>
    <col min="12045" max="12046" width="12.140625" style="1" bestFit="1" customWidth="1"/>
    <col min="12047" max="12047" width="13.7109375" style="1" customWidth="1"/>
    <col min="12048" max="12048" width="13" style="1" customWidth="1"/>
    <col min="12049" max="12049" width="8.42578125" style="1" customWidth="1"/>
    <col min="12050" max="12050" width="11.42578125" style="1"/>
    <col min="12051" max="12051" width="21.140625" style="1" customWidth="1"/>
    <col min="12052" max="12288" width="11.42578125" style="1"/>
    <col min="12289" max="12289" width="5.140625" style="1" customWidth="1"/>
    <col min="12290" max="12290" width="9.85546875" style="1" customWidth="1"/>
    <col min="12291" max="12291" width="9.42578125" style="1" customWidth="1"/>
    <col min="12292" max="12292" width="42.85546875" style="1" customWidth="1"/>
    <col min="12293" max="12293" width="17.85546875" style="1" customWidth="1"/>
    <col min="12294" max="12294" width="18.7109375" style="1" customWidth="1"/>
    <col min="12295" max="12295" width="17.42578125" style="1" customWidth="1"/>
    <col min="12296" max="12296" width="15.85546875" style="1" customWidth="1"/>
    <col min="12297" max="12297" width="13.42578125" style="1" customWidth="1"/>
    <col min="12298" max="12298" width="11" style="1" customWidth="1"/>
    <col min="12299" max="12299" width="12.42578125" style="1" customWidth="1"/>
    <col min="12300" max="12300" width="9.85546875" style="1" customWidth="1"/>
    <col min="12301" max="12302" width="12.140625" style="1" bestFit="1" customWidth="1"/>
    <col min="12303" max="12303" width="13.7109375" style="1" customWidth="1"/>
    <col min="12304" max="12304" width="13" style="1" customWidth="1"/>
    <col min="12305" max="12305" width="8.42578125" style="1" customWidth="1"/>
    <col min="12306" max="12306" width="11.42578125" style="1"/>
    <col min="12307" max="12307" width="21.140625" style="1" customWidth="1"/>
    <col min="12308" max="12544" width="11.42578125" style="1"/>
    <col min="12545" max="12545" width="5.140625" style="1" customWidth="1"/>
    <col min="12546" max="12546" width="9.85546875" style="1" customWidth="1"/>
    <col min="12547" max="12547" width="9.42578125" style="1" customWidth="1"/>
    <col min="12548" max="12548" width="42.85546875" style="1" customWidth="1"/>
    <col min="12549" max="12549" width="17.85546875" style="1" customWidth="1"/>
    <col min="12550" max="12550" width="18.7109375" style="1" customWidth="1"/>
    <col min="12551" max="12551" width="17.42578125" style="1" customWidth="1"/>
    <col min="12552" max="12552" width="15.85546875" style="1" customWidth="1"/>
    <col min="12553" max="12553" width="13.42578125" style="1" customWidth="1"/>
    <col min="12554" max="12554" width="11" style="1" customWidth="1"/>
    <col min="12555" max="12555" width="12.42578125" style="1" customWidth="1"/>
    <col min="12556" max="12556" width="9.85546875" style="1" customWidth="1"/>
    <col min="12557" max="12558" width="12.140625" style="1" bestFit="1" customWidth="1"/>
    <col min="12559" max="12559" width="13.7109375" style="1" customWidth="1"/>
    <col min="12560" max="12560" width="13" style="1" customWidth="1"/>
    <col min="12561" max="12561" width="8.42578125" style="1" customWidth="1"/>
    <col min="12562" max="12562" width="11.42578125" style="1"/>
    <col min="12563" max="12563" width="21.140625" style="1" customWidth="1"/>
    <col min="12564" max="12800" width="11.42578125" style="1"/>
    <col min="12801" max="12801" width="5.140625" style="1" customWidth="1"/>
    <col min="12802" max="12802" width="9.85546875" style="1" customWidth="1"/>
    <col min="12803" max="12803" width="9.42578125" style="1" customWidth="1"/>
    <col min="12804" max="12804" width="42.85546875" style="1" customWidth="1"/>
    <col min="12805" max="12805" width="17.85546875" style="1" customWidth="1"/>
    <col min="12806" max="12806" width="18.7109375" style="1" customWidth="1"/>
    <col min="12807" max="12807" width="17.42578125" style="1" customWidth="1"/>
    <col min="12808" max="12808" width="15.85546875" style="1" customWidth="1"/>
    <col min="12809" max="12809" width="13.42578125" style="1" customWidth="1"/>
    <col min="12810" max="12810" width="11" style="1" customWidth="1"/>
    <col min="12811" max="12811" width="12.42578125" style="1" customWidth="1"/>
    <col min="12812" max="12812" width="9.85546875" style="1" customWidth="1"/>
    <col min="12813" max="12814" width="12.140625" style="1" bestFit="1" customWidth="1"/>
    <col min="12815" max="12815" width="13.7109375" style="1" customWidth="1"/>
    <col min="12816" max="12816" width="13" style="1" customWidth="1"/>
    <col min="12817" max="12817" width="8.42578125" style="1" customWidth="1"/>
    <col min="12818" max="12818" width="11.42578125" style="1"/>
    <col min="12819" max="12819" width="21.140625" style="1" customWidth="1"/>
    <col min="12820" max="13056" width="11.42578125" style="1"/>
    <col min="13057" max="13057" width="5.140625" style="1" customWidth="1"/>
    <col min="13058" max="13058" width="9.85546875" style="1" customWidth="1"/>
    <col min="13059" max="13059" width="9.42578125" style="1" customWidth="1"/>
    <col min="13060" max="13060" width="42.85546875" style="1" customWidth="1"/>
    <col min="13061" max="13061" width="17.85546875" style="1" customWidth="1"/>
    <col min="13062" max="13062" width="18.7109375" style="1" customWidth="1"/>
    <col min="13063" max="13063" width="17.42578125" style="1" customWidth="1"/>
    <col min="13064" max="13064" width="15.85546875" style="1" customWidth="1"/>
    <col min="13065" max="13065" width="13.42578125" style="1" customWidth="1"/>
    <col min="13066" max="13066" width="11" style="1" customWidth="1"/>
    <col min="13067" max="13067" width="12.42578125" style="1" customWidth="1"/>
    <col min="13068" max="13068" width="9.85546875" style="1" customWidth="1"/>
    <col min="13069" max="13070" width="12.140625" style="1" bestFit="1" customWidth="1"/>
    <col min="13071" max="13071" width="13.7109375" style="1" customWidth="1"/>
    <col min="13072" max="13072" width="13" style="1" customWidth="1"/>
    <col min="13073" max="13073" width="8.42578125" style="1" customWidth="1"/>
    <col min="13074" max="13074" width="11.42578125" style="1"/>
    <col min="13075" max="13075" width="21.140625" style="1" customWidth="1"/>
    <col min="13076" max="13312" width="11.42578125" style="1"/>
    <col min="13313" max="13313" width="5.140625" style="1" customWidth="1"/>
    <col min="13314" max="13314" width="9.85546875" style="1" customWidth="1"/>
    <col min="13315" max="13315" width="9.42578125" style="1" customWidth="1"/>
    <col min="13316" max="13316" width="42.85546875" style="1" customWidth="1"/>
    <col min="13317" max="13317" width="17.85546875" style="1" customWidth="1"/>
    <col min="13318" max="13318" width="18.7109375" style="1" customWidth="1"/>
    <col min="13319" max="13319" width="17.42578125" style="1" customWidth="1"/>
    <col min="13320" max="13320" width="15.85546875" style="1" customWidth="1"/>
    <col min="13321" max="13321" width="13.42578125" style="1" customWidth="1"/>
    <col min="13322" max="13322" width="11" style="1" customWidth="1"/>
    <col min="13323" max="13323" width="12.42578125" style="1" customWidth="1"/>
    <col min="13324" max="13324" width="9.85546875" style="1" customWidth="1"/>
    <col min="13325" max="13326" width="12.140625" style="1" bestFit="1" customWidth="1"/>
    <col min="13327" max="13327" width="13.7109375" style="1" customWidth="1"/>
    <col min="13328" max="13328" width="13" style="1" customWidth="1"/>
    <col min="13329" max="13329" width="8.42578125" style="1" customWidth="1"/>
    <col min="13330" max="13330" width="11.42578125" style="1"/>
    <col min="13331" max="13331" width="21.140625" style="1" customWidth="1"/>
    <col min="13332" max="13568" width="11.42578125" style="1"/>
    <col min="13569" max="13569" width="5.140625" style="1" customWidth="1"/>
    <col min="13570" max="13570" width="9.85546875" style="1" customWidth="1"/>
    <col min="13571" max="13571" width="9.42578125" style="1" customWidth="1"/>
    <col min="13572" max="13572" width="42.85546875" style="1" customWidth="1"/>
    <col min="13573" max="13573" width="17.85546875" style="1" customWidth="1"/>
    <col min="13574" max="13574" width="18.7109375" style="1" customWidth="1"/>
    <col min="13575" max="13575" width="17.42578125" style="1" customWidth="1"/>
    <col min="13576" max="13576" width="15.85546875" style="1" customWidth="1"/>
    <col min="13577" max="13577" width="13.42578125" style="1" customWidth="1"/>
    <col min="13578" max="13578" width="11" style="1" customWidth="1"/>
    <col min="13579" max="13579" width="12.42578125" style="1" customWidth="1"/>
    <col min="13580" max="13580" width="9.85546875" style="1" customWidth="1"/>
    <col min="13581" max="13582" width="12.140625" style="1" bestFit="1" customWidth="1"/>
    <col min="13583" max="13583" width="13.7109375" style="1" customWidth="1"/>
    <col min="13584" max="13584" width="13" style="1" customWidth="1"/>
    <col min="13585" max="13585" width="8.42578125" style="1" customWidth="1"/>
    <col min="13586" max="13586" width="11.42578125" style="1"/>
    <col min="13587" max="13587" width="21.140625" style="1" customWidth="1"/>
    <col min="13588" max="13824" width="11.42578125" style="1"/>
    <col min="13825" max="13825" width="5.140625" style="1" customWidth="1"/>
    <col min="13826" max="13826" width="9.85546875" style="1" customWidth="1"/>
    <col min="13827" max="13827" width="9.42578125" style="1" customWidth="1"/>
    <col min="13828" max="13828" width="42.85546875" style="1" customWidth="1"/>
    <col min="13829" max="13829" width="17.85546875" style="1" customWidth="1"/>
    <col min="13830" max="13830" width="18.7109375" style="1" customWidth="1"/>
    <col min="13831" max="13831" width="17.42578125" style="1" customWidth="1"/>
    <col min="13832" max="13832" width="15.85546875" style="1" customWidth="1"/>
    <col min="13833" max="13833" width="13.42578125" style="1" customWidth="1"/>
    <col min="13834" max="13834" width="11" style="1" customWidth="1"/>
    <col min="13835" max="13835" width="12.42578125" style="1" customWidth="1"/>
    <col min="13836" max="13836" width="9.85546875" style="1" customWidth="1"/>
    <col min="13837" max="13838" width="12.140625" style="1" bestFit="1" customWidth="1"/>
    <col min="13839" max="13839" width="13.7109375" style="1" customWidth="1"/>
    <col min="13840" max="13840" width="13" style="1" customWidth="1"/>
    <col min="13841" max="13841" width="8.42578125" style="1" customWidth="1"/>
    <col min="13842" max="13842" width="11.42578125" style="1"/>
    <col min="13843" max="13843" width="21.140625" style="1" customWidth="1"/>
    <col min="13844" max="14080" width="11.42578125" style="1"/>
    <col min="14081" max="14081" width="5.140625" style="1" customWidth="1"/>
    <col min="14082" max="14082" width="9.85546875" style="1" customWidth="1"/>
    <col min="14083" max="14083" width="9.42578125" style="1" customWidth="1"/>
    <col min="14084" max="14084" width="42.85546875" style="1" customWidth="1"/>
    <col min="14085" max="14085" width="17.85546875" style="1" customWidth="1"/>
    <col min="14086" max="14086" width="18.7109375" style="1" customWidth="1"/>
    <col min="14087" max="14087" width="17.42578125" style="1" customWidth="1"/>
    <col min="14088" max="14088" width="15.85546875" style="1" customWidth="1"/>
    <col min="14089" max="14089" width="13.42578125" style="1" customWidth="1"/>
    <col min="14090" max="14090" width="11" style="1" customWidth="1"/>
    <col min="14091" max="14091" width="12.42578125" style="1" customWidth="1"/>
    <col min="14092" max="14092" width="9.85546875" style="1" customWidth="1"/>
    <col min="14093" max="14094" width="12.140625" style="1" bestFit="1" customWidth="1"/>
    <col min="14095" max="14095" width="13.7109375" style="1" customWidth="1"/>
    <col min="14096" max="14096" width="13" style="1" customWidth="1"/>
    <col min="14097" max="14097" width="8.42578125" style="1" customWidth="1"/>
    <col min="14098" max="14098" width="11.42578125" style="1"/>
    <col min="14099" max="14099" width="21.140625" style="1" customWidth="1"/>
    <col min="14100" max="14336" width="11.42578125" style="1"/>
    <col min="14337" max="14337" width="5.140625" style="1" customWidth="1"/>
    <col min="14338" max="14338" width="9.85546875" style="1" customWidth="1"/>
    <col min="14339" max="14339" width="9.42578125" style="1" customWidth="1"/>
    <col min="14340" max="14340" width="42.85546875" style="1" customWidth="1"/>
    <col min="14341" max="14341" width="17.85546875" style="1" customWidth="1"/>
    <col min="14342" max="14342" width="18.7109375" style="1" customWidth="1"/>
    <col min="14343" max="14343" width="17.42578125" style="1" customWidth="1"/>
    <col min="14344" max="14344" width="15.85546875" style="1" customWidth="1"/>
    <col min="14345" max="14345" width="13.42578125" style="1" customWidth="1"/>
    <col min="14346" max="14346" width="11" style="1" customWidth="1"/>
    <col min="14347" max="14347" width="12.42578125" style="1" customWidth="1"/>
    <col min="14348" max="14348" width="9.85546875" style="1" customWidth="1"/>
    <col min="14349" max="14350" width="12.140625" style="1" bestFit="1" customWidth="1"/>
    <col min="14351" max="14351" width="13.7109375" style="1" customWidth="1"/>
    <col min="14352" max="14352" width="13" style="1" customWidth="1"/>
    <col min="14353" max="14353" width="8.42578125" style="1" customWidth="1"/>
    <col min="14354" max="14354" width="11.42578125" style="1"/>
    <col min="14355" max="14355" width="21.140625" style="1" customWidth="1"/>
    <col min="14356" max="14592" width="11.42578125" style="1"/>
    <col min="14593" max="14593" width="5.140625" style="1" customWidth="1"/>
    <col min="14594" max="14594" width="9.85546875" style="1" customWidth="1"/>
    <col min="14595" max="14595" width="9.42578125" style="1" customWidth="1"/>
    <col min="14596" max="14596" width="42.85546875" style="1" customWidth="1"/>
    <col min="14597" max="14597" width="17.85546875" style="1" customWidth="1"/>
    <col min="14598" max="14598" width="18.7109375" style="1" customWidth="1"/>
    <col min="14599" max="14599" width="17.42578125" style="1" customWidth="1"/>
    <col min="14600" max="14600" width="15.85546875" style="1" customWidth="1"/>
    <col min="14601" max="14601" width="13.42578125" style="1" customWidth="1"/>
    <col min="14602" max="14602" width="11" style="1" customWidth="1"/>
    <col min="14603" max="14603" width="12.42578125" style="1" customWidth="1"/>
    <col min="14604" max="14604" width="9.85546875" style="1" customWidth="1"/>
    <col min="14605" max="14606" width="12.140625" style="1" bestFit="1" customWidth="1"/>
    <col min="14607" max="14607" width="13.7109375" style="1" customWidth="1"/>
    <col min="14608" max="14608" width="13" style="1" customWidth="1"/>
    <col min="14609" max="14609" width="8.42578125" style="1" customWidth="1"/>
    <col min="14610" max="14610" width="11.42578125" style="1"/>
    <col min="14611" max="14611" width="21.140625" style="1" customWidth="1"/>
    <col min="14612" max="14848" width="11.42578125" style="1"/>
    <col min="14849" max="14849" width="5.140625" style="1" customWidth="1"/>
    <col min="14850" max="14850" width="9.85546875" style="1" customWidth="1"/>
    <col min="14851" max="14851" width="9.42578125" style="1" customWidth="1"/>
    <col min="14852" max="14852" width="42.85546875" style="1" customWidth="1"/>
    <col min="14853" max="14853" width="17.85546875" style="1" customWidth="1"/>
    <col min="14854" max="14854" width="18.7109375" style="1" customWidth="1"/>
    <col min="14855" max="14855" width="17.42578125" style="1" customWidth="1"/>
    <col min="14856" max="14856" width="15.85546875" style="1" customWidth="1"/>
    <col min="14857" max="14857" width="13.42578125" style="1" customWidth="1"/>
    <col min="14858" max="14858" width="11" style="1" customWidth="1"/>
    <col min="14859" max="14859" width="12.42578125" style="1" customWidth="1"/>
    <col min="14860" max="14860" width="9.85546875" style="1" customWidth="1"/>
    <col min="14861" max="14862" width="12.140625" style="1" bestFit="1" customWidth="1"/>
    <col min="14863" max="14863" width="13.7109375" style="1" customWidth="1"/>
    <col min="14864" max="14864" width="13" style="1" customWidth="1"/>
    <col min="14865" max="14865" width="8.42578125" style="1" customWidth="1"/>
    <col min="14866" max="14866" width="11.42578125" style="1"/>
    <col min="14867" max="14867" width="21.140625" style="1" customWidth="1"/>
    <col min="14868" max="15104" width="11.42578125" style="1"/>
    <col min="15105" max="15105" width="5.140625" style="1" customWidth="1"/>
    <col min="15106" max="15106" width="9.85546875" style="1" customWidth="1"/>
    <col min="15107" max="15107" width="9.42578125" style="1" customWidth="1"/>
    <col min="15108" max="15108" width="42.85546875" style="1" customWidth="1"/>
    <col min="15109" max="15109" width="17.85546875" style="1" customWidth="1"/>
    <col min="15110" max="15110" width="18.7109375" style="1" customWidth="1"/>
    <col min="15111" max="15111" width="17.42578125" style="1" customWidth="1"/>
    <col min="15112" max="15112" width="15.85546875" style="1" customWidth="1"/>
    <col min="15113" max="15113" width="13.42578125" style="1" customWidth="1"/>
    <col min="15114" max="15114" width="11" style="1" customWidth="1"/>
    <col min="15115" max="15115" width="12.42578125" style="1" customWidth="1"/>
    <col min="15116" max="15116" width="9.85546875" style="1" customWidth="1"/>
    <col min="15117" max="15118" width="12.140625" style="1" bestFit="1" customWidth="1"/>
    <col min="15119" max="15119" width="13.7109375" style="1" customWidth="1"/>
    <col min="15120" max="15120" width="13" style="1" customWidth="1"/>
    <col min="15121" max="15121" width="8.42578125" style="1" customWidth="1"/>
    <col min="15122" max="15122" width="11.42578125" style="1"/>
    <col min="15123" max="15123" width="21.140625" style="1" customWidth="1"/>
    <col min="15124" max="15360" width="11.42578125" style="1"/>
    <col min="15361" max="15361" width="5.140625" style="1" customWidth="1"/>
    <col min="15362" max="15362" width="9.85546875" style="1" customWidth="1"/>
    <col min="15363" max="15363" width="9.42578125" style="1" customWidth="1"/>
    <col min="15364" max="15364" width="42.85546875" style="1" customWidth="1"/>
    <col min="15365" max="15365" width="17.85546875" style="1" customWidth="1"/>
    <col min="15366" max="15366" width="18.7109375" style="1" customWidth="1"/>
    <col min="15367" max="15367" width="17.42578125" style="1" customWidth="1"/>
    <col min="15368" max="15368" width="15.85546875" style="1" customWidth="1"/>
    <col min="15369" max="15369" width="13.42578125" style="1" customWidth="1"/>
    <col min="15370" max="15370" width="11" style="1" customWidth="1"/>
    <col min="15371" max="15371" width="12.42578125" style="1" customWidth="1"/>
    <col min="15372" max="15372" width="9.85546875" style="1" customWidth="1"/>
    <col min="15373" max="15374" width="12.140625" style="1" bestFit="1" customWidth="1"/>
    <col min="15375" max="15375" width="13.7109375" style="1" customWidth="1"/>
    <col min="15376" max="15376" width="13" style="1" customWidth="1"/>
    <col min="15377" max="15377" width="8.42578125" style="1" customWidth="1"/>
    <col min="15378" max="15378" width="11.42578125" style="1"/>
    <col min="15379" max="15379" width="21.140625" style="1" customWidth="1"/>
    <col min="15380" max="15616" width="11.42578125" style="1"/>
    <col min="15617" max="15617" width="5.140625" style="1" customWidth="1"/>
    <col min="15618" max="15618" width="9.85546875" style="1" customWidth="1"/>
    <col min="15619" max="15619" width="9.42578125" style="1" customWidth="1"/>
    <col min="15620" max="15620" width="42.85546875" style="1" customWidth="1"/>
    <col min="15621" max="15621" width="17.85546875" style="1" customWidth="1"/>
    <col min="15622" max="15622" width="18.7109375" style="1" customWidth="1"/>
    <col min="15623" max="15623" width="17.42578125" style="1" customWidth="1"/>
    <col min="15624" max="15624" width="15.85546875" style="1" customWidth="1"/>
    <col min="15625" max="15625" width="13.42578125" style="1" customWidth="1"/>
    <col min="15626" max="15626" width="11" style="1" customWidth="1"/>
    <col min="15627" max="15627" width="12.42578125" style="1" customWidth="1"/>
    <col min="15628" max="15628" width="9.85546875" style="1" customWidth="1"/>
    <col min="15629" max="15630" width="12.140625" style="1" bestFit="1" customWidth="1"/>
    <col min="15631" max="15631" width="13.7109375" style="1" customWidth="1"/>
    <col min="15632" max="15632" width="13" style="1" customWidth="1"/>
    <col min="15633" max="15633" width="8.42578125" style="1" customWidth="1"/>
    <col min="15634" max="15634" width="11.42578125" style="1"/>
    <col min="15635" max="15635" width="21.140625" style="1" customWidth="1"/>
    <col min="15636" max="15872" width="11.42578125" style="1"/>
    <col min="15873" max="15873" width="5.140625" style="1" customWidth="1"/>
    <col min="15874" max="15874" width="9.85546875" style="1" customWidth="1"/>
    <col min="15875" max="15875" width="9.42578125" style="1" customWidth="1"/>
    <col min="15876" max="15876" width="42.85546875" style="1" customWidth="1"/>
    <col min="15877" max="15877" width="17.85546875" style="1" customWidth="1"/>
    <col min="15878" max="15878" width="18.7109375" style="1" customWidth="1"/>
    <col min="15879" max="15879" width="17.42578125" style="1" customWidth="1"/>
    <col min="15880" max="15880" width="15.85546875" style="1" customWidth="1"/>
    <col min="15881" max="15881" width="13.42578125" style="1" customWidth="1"/>
    <col min="15882" max="15882" width="11" style="1" customWidth="1"/>
    <col min="15883" max="15883" width="12.42578125" style="1" customWidth="1"/>
    <col min="15884" max="15884" width="9.85546875" style="1" customWidth="1"/>
    <col min="15885" max="15886" width="12.140625" style="1" bestFit="1" customWidth="1"/>
    <col min="15887" max="15887" width="13.7109375" style="1" customWidth="1"/>
    <col min="15888" max="15888" width="13" style="1" customWidth="1"/>
    <col min="15889" max="15889" width="8.42578125" style="1" customWidth="1"/>
    <col min="15890" max="15890" width="11.42578125" style="1"/>
    <col min="15891" max="15891" width="21.140625" style="1" customWidth="1"/>
    <col min="15892" max="16128" width="11.42578125" style="1"/>
    <col min="16129" max="16129" width="5.140625" style="1" customWidth="1"/>
    <col min="16130" max="16130" width="9.85546875" style="1" customWidth="1"/>
    <col min="16131" max="16131" width="9.42578125" style="1" customWidth="1"/>
    <col min="16132" max="16132" width="42.85546875" style="1" customWidth="1"/>
    <col min="16133" max="16133" width="17.85546875" style="1" customWidth="1"/>
    <col min="16134" max="16134" width="18.7109375" style="1" customWidth="1"/>
    <col min="16135" max="16135" width="17.42578125" style="1" customWidth="1"/>
    <col min="16136" max="16136" width="15.85546875" style="1" customWidth="1"/>
    <col min="16137" max="16137" width="13.42578125" style="1" customWidth="1"/>
    <col min="16138" max="16138" width="11" style="1" customWidth="1"/>
    <col min="16139" max="16139" width="12.42578125" style="1" customWidth="1"/>
    <col min="16140" max="16140" width="9.85546875" style="1" customWidth="1"/>
    <col min="16141" max="16142" width="12.140625" style="1" bestFit="1" customWidth="1"/>
    <col min="16143" max="16143" width="13.7109375" style="1" customWidth="1"/>
    <col min="16144" max="16144" width="13" style="1" customWidth="1"/>
    <col min="16145" max="16145" width="8.42578125" style="1" customWidth="1"/>
    <col min="16146" max="16146" width="11.42578125" style="1"/>
    <col min="16147" max="16147" width="21.140625" style="1" customWidth="1"/>
    <col min="16148" max="16384" width="11.42578125" style="1"/>
  </cols>
  <sheetData>
    <row r="1" spans="2:14" ht="12.75" customHeight="1" x14ac:dyDescent="0.2">
      <c r="C1" s="1291" t="s">
        <v>431</v>
      </c>
      <c r="D1" s="1292"/>
      <c r="E1" s="1293" t="s">
        <v>0</v>
      </c>
      <c r="F1" s="1294"/>
      <c r="G1" s="1295"/>
      <c r="H1" s="1295"/>
      <c r="I1" s="1296"/>
    </row>
    <row r="2" spans="2:14" x14ac:dyDescent="0.2">
      <c r="C2" s="1300" t="s">
        <v>432</v>
      </c>
      <c r="D2" s="1301"/>
      <c r="E2" s="1297"/>
      <c r="F2" s="1298"/>
      <c r="G2" s="1298"/>
      <c r="H2" s="1298"/>
      <c r="I2" s="1299"/>
    </row>
    <row r="3" spans="2:14" x14ac:dyDescent="0.2">
      <c r="C3" s="1302" t="s">
        <v>433</v>
      </c>
      <c r="D3" s="1303"/>
      <c r="E3" s="1304" t="s">
        <v>1</v>
      </c>
      <c r="F3" s="1305"/>
      <c r="G3" s="1305"/>
      <c r="H3" s="1305"/>
      <c r="I3" s="1306"/>
    </row>
    <row r="4" spans="2:14" x14ac:dyDescent="0.2">
      <c r="C4" s="1310" t="s">
        <v>434</v>
      </c>
      <c r="D4" s="1301"/>
      <c r="E4" s="1307"/>
      <c r="F4" s="1308"/>
      <c r="G4" s="1308"/>
      <c r="H4" s="1308"/>
      <c r="I4" s="1309"/>
    </row>
    <row r="5" spans="2:14" x14ac:dyDescent="0.2">
      <c r="C5" s="1302" t="s">
        <v>435</v>
      </c>
      <c r="D5" s="1303"/>
      <c r="E5" s="1311" t="s">
        <v>436</v>
      </c>
      <c r="F5" s="1312"/>
      <c r="G5" s="1313"/>
      <c r="H5" s="1313"/>
      <c r="I5" s="1314"/>
    </row>
    <row r="6" spans="2:14" x14ac:dyDescent="0.2">
      <c r="C6" s="1321">
        <v>39006</v>
      </c>
      <c r="D6" s="1322"/>
      <c r="E6" s="1315"/>
      <c r="F6" s="1316"/>
      <c r="G6" s="1316"/>
      <c r="H6" s="1316"/>
      <c r="I6" s="1317"/>
    </row>
    <row r="7" spans="2:14" ht="13.5" thickBot="1" x14ac:dyDescent="0.25">
      <c r="C7" s="1323" t="s">
        <v>437</v>
      </c>
      <c r="D7" s="1324"/>
      <c r="E7" s="1318"/>
      <c r="F7" s="1319"/>
      <c r="G7" s="1319"/>
      <c r="H7" s="1319"/>
      <c r="I7" s="1320"/>
    </row>
    <row r="8" spans="2:14" x14ac:dyDescent="0.2">
      <c r="C8" s="3"/>
      <c r="D8" s="3"/>
      <c r="E8" s="4"/>
      <c r="F8" s="4"/>
      <c r="G8" s="4"/>
      <c r="H8" s="4"/>
      <c r="I8" s="4"/>
    </row>
    <row r="9" spans="2:14" s="5" customFormat="1" ht="23.25" x14ac:dyDescent="0.35">
      <c r="D9" s="167" t="s">
        <v>438</v>
      </c>
      <c r="E9" s="573" t="s">
        <v>439</v>
      </c>
      <c r="F9" s="573"/>
      <c r="G9" s="573"/>
      <c r="H9" s="573"/>
      <c r="I9" s="573"/>
    </row>
    <row r="10" spans="2:14" s="5" customFormat="1" ht="23.25" x14ac:dyDescent="0.35">
      <c r="D10" s="167" t="s">
        <v>440</v>
      </c>
      <c r="E10" s="1325" t="s">
        <v>441</v>
      </c>
      <c r="F10" s="1325"/>
      <c r="G10" s="1325"/>
      <c r="H10" s="1325"/>
    </row>
    <row r="11" spans="2:14" s="5" customFormat="1" ht="23.25" customHeight="1" x14ac:dyDescent="0.35">
      <c r="D11" s="167" t="s">
        <v>442</v>
      </c>
      <c r="E11" s="1290" t="s">
        <v>443</v>
      </c>
      <c r="F11" s="1290"/>
      <c r="G11" s="1290"/>
      <c r="H11" s="1290"/>
      <c r="I11" s="1290"/>
      <c r="J11" s="1290"/>
      <c r="K11" s="1290"/>
      <c r="L11" s="1290"/>
      <c r="M11" s="1290"/>
    </row>
    <row r="12" spans="2:14" s="5" customFormat="1" ht="23.25" customHeight="1" x14ac:dyDescent="0.35">
      <c r="D12" s="167" t="s">
        <v>444</v>
      </c>
      <c r="E12" s="1276" t="s">
        <v>445</v>
      </c>
      <c r="F12" s="1277"/>
      <c r="G12" s="1277"/>
      <c r="H12" s="1277"/>
    </row>
    <row r="13" spans="2:14" s="5" customFormat="1" ht="70.5" customHeight="1" x14ac:dyDescent="0.35">
      <c r="D13" s="167" t="s">
        <v>446</v>
      </c>
      <c r="E13" s="1276" t="s">
        <v>447</v>
      </c>
      <c r="F13" s="1276"/>
      <c r="G13" s="1276"/>
      <c r="H13" s="1276"/>
      <c r="I13" s="1276"/>
      <c r="J13" s="1276"/>
      <c r="K13" s="1276"/>
      <c r="L13" s="1276"/>
    </row>
    <row r="14" spans="2:14" s="5" customFormat="1" ht="23.25" customHeight="1" x14ac:dyDescent="0.35">
      <c r="D14" s="167" t="s">
        <v>448</v>
      </c>
      <c r="E14" s="1276" t="s">
        <v>449</v>
      </c>
      <c r="F14" s="1277"/>
      <c r="G14" s="1277"/>
      <c r="H14" s="1277"/>
    </row>
    <row r="15" spans="2:14" s="5" customFormat="1" ht="23.25" x14ac:dyDescent="0.35">
      <c r="D15" s="167"/>
      <c r="E15" s="167"/>
      <c r="F15" s="167"/>
    </row>
    <row r="16" spans="2:14" ht="28.5" x14ac:dyDescent="0.25">
      <c r="B16" s="1278" t="s">
        <v>15</v>
      </c>
      <c r="C16" s="1278"/>
      <c r="D16" s="574" t="s">
        <v>450</v>
      </c>
      <c r="E16" s="575" t="s">
        <v>17</v>
      </c>
      <c r="F16" s="168"/>
      <c r="G16" s="574" t="s">
        <v>451</v>
      </c>
      <c r="H16" s="575" t="s">
        <v>17</v>
      </c>
      <c r="I16" s="168"/>
      <c r="N16" s="175"/>
    </row>
    <row r="17" spans="2:17" ht="26.25" x14ac:dyDescent="0.25">
      <c r="D17" s="576" t="s">
        <v>452</v>
      </c>
      <c r="E17" s="577">
        <v>1</v>
      </c>
      <c r="F17" s="27"/>
      <c r="G17" s="578" t="s">
        <v>453</v>
      </c>
      <c r="H17" s="225">
        <v>3</v>
      </c>
      <c r="I17" s="27"/>
      <c r="N17" s="175"/>
    </row>
    <row r="18" spans="2:17" ht="15" x14ac:dyDescent="0.25">
      <c r="D18" s="579" t="s">
        <v>454</v>
      </c>
      <c r="E18" s="225">
        <v>1</v>
      </c>
      <c r="F18" s="27"/>
      <c r="I18" s="27"/>
      <c r="N18" s="175"/>
    </row>
    <row r="19" spans="2:17" ht="15" x14ac:dyDescent="0.25">
      <c r="D19" s="579" t="s">
        <v>455</v>
      </c>
      <c r="E19" s="225">
        <v>0</v>
      </c>
      <c r="F19" s="27"/>
      <c r="I19" s="27"/>
      <c r="N19" s="175"/>
    </row>
    <row r="20" spans="2:17" ht="15" x14ac:dyDescent="0.25">
      <c r="D20" s="579" t="s">
        <v>456</v>
      </c>
      <c r="E20" s="225">
        <v>0</v>
      </c>
      <c r="F20" s="27"/>
      <c r="G20" s="27"/>
      <c r="H20" s="27"/>
      <c r="I20" s="27"/>
      <c r="N20" s="175"/>
    </row>
    <row r="21" spans="2:17" ht="15.75" thickBot="1" x14ac:dyDescent="0.3">
      <c r="D21" s="580" t="s">
        <v>457</v>
      </c>
      <c r="E21" s="581">
        <v>0</v>
      </c>
      <c r="F21" s="27"/>
      <c r="G21" s="27"/>
      <c r="H21" s="27"/>
      <c r="I21" s="27"/>
      <c r="N21" s="175"/>
    </row>
    <row r="22" spans="2:17" ht="15.75" thickBot="1" x14ac:dyDescent="0.3">
      <c r="D22" s="582" t="s">
        <v>458</v>
      </c>
      <c r="E22" s="583">
        <f>SUM(E17:E21)</f>
        <v>2</v>
      </c>
      <c r="F22" s="27"/>
      <c r="G22" s="27"/>
      <c r="H22" s="27"/>
      <c r="I22" s="27"/>
      <c r="N22" s="175"/>
    </row>
    <row r="23" spans="2:17" ht="15" x14ac:dyDescent="0.25">
      <c r="D23" s="584"/>
      <c r="E23" s="37"/>
      <c r="F23" s="127"/>
      <c r="G23" s="37"/>
      <c r="H23" s="37"/>
      <c r="I23" s="37"/>
      <c r="N23" s="175"/>
    </row>
    <row r="24" spans="2:17" ht="15" x14ac:dyDescent="0.25">
      <c r="D24" s="585" t="s">
        <v>459</v>
      </c>
      <c r="E24" s="586">
        <v>6.96</v>
      </c>
      <c r="N24" s="175"/>
    </row>
    <row r="25" spans="2:17" s="30" customFormat="1" ht="15" x14ac:dyDescent="0.25">
      <c r="C25" s="27"/>
      <c r="D25" s="28"/>
      <c r="E25" s="29"/>
      <c r="N25" s="175"/>
      <c r="P25" s="178"/>
      <c r="Q25" s="178"/>
    </row>
    <row r="26" spans="2:17" s="30" customFormat="1" ht="15.75" thickBot="1" x14ac:dyDescent="0.3">
      <c r="C26" s="27"/>
      <c r="D26" s="587"/>
      <c r="E26" s="29"/>
      <c r="N26" s="175"/>
      <c r="P26" s="178"/>
      <c r="Q26" s="178"/>
    </row>
    <row r="27" spans="2:17" ht="15.75" thickBot="1" x14ac:dyDescent="0.3">
      <c r="B27" s="1279" t="s">
        <v>35</v>
      </c>
      <c r="C27" s="1280"/>
      <c r="D27" s="1281" t="s">
        <v>460</v>
      </c>
      <c r="E27" s="1282"/>
      <c r="F27" s="1282"/>
      <c r="G27" s="1282"/>
      <c r="H27" s="1282"/>
      <c r="I27" s="1283"/>
      <c r="N27" s="175"/>
      <c r="P27" s="1"/>
      <c r="Q27" s="1"/>
    </row>
    <row r="28" spans="2:17" ht="15.75" thickBot="1" x14ac:dyDescent="0.3">
      <c r="D28" s="15"/>
      <c r="N28" s="175"/>
      <c r="P28" s="1"/>
      <c r="Q28" s="1"/>
    </row>
    <row r="29" spans="2:17" ht="15" x14ac:dyDescent="0.25">
      <c r="C29" s="1272" t="s">
        <v>35</v>
      </c>
      <c r="D29" s="1284" t="s">
        <v>16</v>
      </c>
      <c r="E29" s="1286" t="s">
        <v>394</v>
      </c>
      <c r="F29" s="1288" t="s">
        <v>44</v>
      </c>
      <c r="G29" s="1288"/>
      <c r="H29" s="1288" t="s">
        <v>45</v>
      </c>
      <c r="I29" s="1289"/>
      <c r="N29" s="175"/>
      <c r="P29" s="1"/>
      <c r="Q29" s="1"/>
    </row>
    <row r="30" spans="2:17" ht="15.75" thickBot="1" x14ac:dyDescent="0.3">
      <c r="C30" s="1272"/>
      <c r="D30" s="1285"/>
      <c r="E30" s="1287"/>
      <c r="F30" s="588" t="s">
        <v>48</v>
      </c>
      <c r="G30" s="588" t="s">
        <v>114</v>
      </c>
      <c r="H30" s="589" t="s">
        <v>48</v>
      </c>
      <c r="I30" s="590" t="s">
        <v>114</v>
      </c>
      <c r="N30" s="175"/>
      <c r="P30" s="1"/>
      <c r="Q30" s="1"/>
    </row>
    <row r="31" spans="2:17" ht="15" x14ac:dyDescent="0.25">
      <c r="D31" s="591" t="s">
        <v>89</v>
      </c>
      <c r="E31" s="592">
        <v>50</v>
      </c>
      <c r="F31" s="593">
        <v>7.2100000000000011E-2</v>
      </c>
      <c r="G31" s="594">
        <f>F31/$E$24</f>
        <v>1.0359195402298852E-2</v>
      </c>
      <c r="H31" s="594">
        <f>E31*F31</f>
        <v>3.6050000000000004</v>
      </c>
      <c r="I31" s="595">
        <f>E31*G31</f>
        <v>0.51795977011494265</v>
      </c>
      <c r="N31" s="175"/>
      <c r="P31" s="1"/>
      <c r="Q31" s="1"/>
    </row>
    <row r="32" spans="2:17" ht="15" x14ac:dyDescent="0.25">
      <c r="D32" s="591" t="s">
        <v>461</v>
      </c>
      <c r="E32" s="592">
        <v>10</v>
      </c>
      <c r="F32" s="596">
        <v>0.16</v>
      </c>
      <c r="G32" s="594">
        <f t="shared" ref="G32:G45" si="0">F32/$E$24</f>
        <v>2.2988505747126436E-2</v>
      </c>
      <c r="H32" s="594">
        <f t="shared" ref="H32:H45" si="1">E32*F32</f>
        <v>1.6</v>
      </c>
      <c r="I32" s="595">
        <f t="shared" ref="I32:I45" si="2">E32*G32</f>
        <v>0.22988505747126436</v>
      </c>
      <c r="N32" s="175"/>
      <c r="P32" s="1"/>
      <c r="Q32" s="1"/>
    </row>
    <row r="33" spans="2:17" ht="15" x14ac:dyDescent="0.25">
      <c r="D33" s="591" t="s">
        <v>462</v>
      </c>
      <c r="E33" s="592">
        <v>30</v>
      </c>
      <c r="F33" s="596">
        <v>0.1545</v>
      </c>
      <c r="G33" s="594">
        <f t="shared" si="0"/>
        <v>2.2198275862068965E-2</v>
      </c>
      <c r="H33" s="594">
        <f t="shared" si="1"/>
        <v>4.6349999999999998</v>
      </c>
      <c r="I33" s="595">
        <f t="shared" si="2"/>
        <v>0.66594827586206895</v>
      </c>
      <c r="N33" s="175"/>
      <c r="P33" s="1"/>
      <c r="Q33" s="1"/>
    </row>
    <row r="34" spans="2:17" ht="15" x14ac:dyDescent="0.25">
      <c r="D34" s="597" t="s">
        <v>463</v>
      </c>
      <c r="E34" s="598">
        <f>1/50</f>
        <v>0.02</v>
      </c>
      <c r="F34" s="599">
        <v>751.9</v>
      </c>
      <c r="G34" s="594">
        <f t="shared" si="0"/>
        <v>108.0316091954023</v>
      </c>
      <c r="H34" s="594">
        <f t="shared" si="1"/>
        <v>15.038</v>
      </c>
      <c r="I34" s="595">
        <f t="shared" si="2"/>
        <v>2.1606321839080458</v>
      </c>
      <c r="L34" s="15"/>
      <c r="N34" s="600"/>
      <c r="O34" s="30"/>
      <c r="P34" s="30"/>
      <c r="Q34" s="30"/>
    </row>
    <row r="35" spans="2:17" x14ac:dyDescent="0.2">
      <c r="D35" s="601" t="s">
        <v>464</v>
      </c>
      <c r="E35" s="602">
        <v>3</v>
      </c>
      <c r="F35" s="599">
        <v>15</v>
      </c>
      <c r="G35" s="594">
        <f t="shared" si="0"/>
        <v>2.1551724137931036</v>
      </c>
      <c r="H35" s="594">
        <f t="shared" si="1"/>
        <v>45</v>
      </c>
      <c r="I35" s="595">
        <f t="shared" si="2"/>
        <v>6.4655172413793114</v>
      </c>
      <c r="L35" s="15"/>
      <c r="N35" s="30"/>
      <c r="O35" s="30"/>
      <c r="P35" s="30"/>
      <c r="Q35" s="30"/>
    </row>
    <row r="36" spans="2:17" x14ac:dyDescent="0.2">
      <c r="D36" s="603" t="s">
        <v>465</v>
      </c>
      <c r="E36" s="604">
        <v>1</v>
      </c>
      <c r="F36" s="599">
        <v>80</v>
      </c>
      <c r="G36" s="594">
        <f t="shared" si="0"/>
        <v>11.494252873563218</v>
      </c>
      <c r="H36" s="594">
        <f t="shared" si="1"/>
        <v>80</v>
      </c>
      <c r="I36" s="595">
        <f t="shared" si="2"/>
        <v>11.494252873563218</v>
      </c>
      <c r="N36" s="30"/>
      <c r="O36" s="30"/>
      <c r="P36" s="30"/>
      <c r="Q36" s="30"/>
    </row>
    <row r="37" spans="2:17" ht="15" x14ac:dyDescent="0.25">
      <c r="D37" s="605" t="s">
        <v>466</v>
      </c>
      <c r="E37" s="602">
        <v>50</v>
      </c>
      <c r="F37" s="606">
        <v>0.2</v>
      </c>
      <c r="G37" s="594">
        <f t="shared" si="0"/>
        <v>2.8735632183908049E-2</v>
      </c>
      <c r="H37" s="594">
        <f t="shared" si="1"/>
        <v>10</v>
      </c>
      <c r="I37" s="595">
        <f t="shared" si="2"/>
        <v>1.4367816091954024</v>
      </c>
      <c r="N37" s="175"/>
      <c r="P37" s="1"/>
      <c r="Q37" s="1"/>
    </row>
    <row r="38" spans="2:17" x14ac:dyDescent="0.2">
      <c r="D38" s="605" t="s">
        <v>467</v>
      </c>
      <c r="E38" s="602">
        <v>0.5</v>
      </c>
      <c r="F38" s="606">
        <v>500</v>
      </c>
      <c r="G38" s="594">
        <f t="shared" si="0"/>
        <v>71.839080459770116</v>
      </c>
      <c r="H38" s="594">
        <f t="shared" si="1"/>
        <v>250</v>
      </c>
      <c r="I38" s="595">
        <f t="shared" si="2"/>
        <v>35.919540229885058</v>
      </c>
      <c r="P38" s="1"/>
      <c r="Q38" s="1"/>
    </row>
    <row r="39" spans="2:17" x14ac:dyDescent="0.2">
      <c r="D39" s="605" t="s">
        <v>468</v>
      </c>
      <c r="E39" s="602">
        <v>1</v>
      </c>
      <c r="F39" s="606">
        <v>331.56</v>
      </c>
      <c r="G39" s="594">
        <f t="shared" si="0"/>
        <v>47.637931034482762</v>
      </c>
      <c r="H39" s="594">
        <f t="shared" si="1"/>
        <v>331.56</v>
      </c>
      <c r="I39" s="595">
        <f t="shared" si="2"/>
        <v>47.637931034482762</v>
      </c>
      <c r="P39" s="1"/>
      <c r="Q39" s="1"/>
    </row>
    <row r="40" spans="2:17" x14ac:dyDescent="0.2">
      <c r="D40" s="607" t="s">
        <v>469</v>
      </c>
      <c r="E40" s="602">
        <v>0</v>
      </c>
      <c r="F40" s="606">
        <v>309.95999999999998</v>
      </c>
      <c r="G40" s="594">
        <f t="shared" si="0"/>
        <v>44.53448275862069</v>
      </c>
      <c r="H40" s="594">
        <f t="shared" si="1"/>
        <v>0</v>
      </c>
      <c r="I40" s="595">
        <f t="shared" si="2"/>
        <v>0</v>
      </c>
      <c r="P40" s="1"/>
      <c r="Q40" s="1"/>
    </row>
    <row r="41" spans="2:17" x14ac:dyDescent="0.2">
      <c r="D41" s="605" t="s">
        <v>470</v>
      </c>
      <c r="E41" s="602">
        <v>0</v>
      </c>
      <c r="F41" s="606">
        <v>190.6</v>
      </c>
      <c r="G41" s="594">
        <f t="shared" si="0"/>
        <v>27.385057471264368</v>
      </c>
      <c r="H41" s="594">
        <f t="shared" si="1"/>
        <v>0</v>
      </c>
      <c r="I41" s="595">
        <f t="shared" si="2"/>
        <v>0</v>
      </c>
      <c r="P41" s="1"/>
      <c r="Q41" s="1"/>
    </row>
    <row r="42" spans="2:17" x14ac:dyDescent="0.2">
      <c r="D42" s="605" t="s">
        <v>471</v>
      </c>
      <c r="E42" s="602">
        <v>0.5</v>
      </c>
      <c r="F42" s="606">
        <v>100</v>
      </c>
      <c r="G42" s="594">
        <f t="shared" si="0"/>
        <v>14.367816091954023</v>
      </c>
      <c r="H42" s="594">
        <f t="shared" si="1"/>
        <v>50</v>
      </c>
      <c r="I42" s="595">
        <f t="shared" si="2"/>
        <v>7.1839080459770113</v>
      </c>
      <c r="P42" s="1"/>
      <c r="Q42" s="1"/>
    </row>
    <row r="43" spans="2:17" x14ac:dyDescent="0.2">
      <c r="D43" s="608" t="s">
        <v>472</v>
      </c>
      <c r="E43" s="602"/>
      <c r="F43" s="606">
        <v>50</v>
      </c>
      <c r="G43" s="594">
        <f t="shared" si="0"/>
        <v>7.1839080459770113</v>
      </c>
      <c r="H43" s="594">
        <f t="shared" si="1"/>
        <v>0</v>
      </c>
      <c r="I43" s="595">
        <f t="shared" si="2"/>
        <v>0</v>
      </c>
      <c r="P43" s="1"/>
      <c r="Q43" s="1"/>
    </row>
    <row r="44" spans="2:17" ht="13.5" thickBot="1" x14ac:dyDescent="0.25">
      <c r="D44" s="609" t="s">
        <v>473</v>
      </c>
      <c r="E44" s="602"/>
      <c r="F44" s="610"/>
      <c r="G44" s="594">
        <f t="shared" si="0"/>
        <v>0</v>
      </c>
      <c r="H44" s="594">
        <f t="shared" si="1"/>
        <v>0</v>
      </c>
      <c r="I44" s="595">
        <f t="shared" si="2"/>
        <v>0</v>
      </c>
      <c r="P44" s="1"/>
      <c r="Q44" s="1"/>
    </row>
    <row r="45" spans="2:17" ht="13.5" thickBot="1" x14ac:dyDescent="0.25">
      <c r="D45" s="611" t="s">
        <v>474</v>
      </c>
      <c r="E45" s="612">
        <v>1</v>
      </c>
      <c r="F45" s="606">
        <v>331.56</v>
      </c>
      <c r="G45" s="594">
        <f t="shared" si="0"/>
        <v>47.637931034482762</v>
      </c>
      <c r="H45" s="594">
        <f t="shared" si="1"/>
        <v>331.56</v>
      </c>
      <c r="I45" s="595">
        <f t="shared" si="2"/>
        <v>47.637931034482762</v>
      </c>
      <c r="K45" s="15"/>
      <c r="P45" s="1"/>
      <c r="Q45" s="1"/>
    </row>
    <row r="46" spans="2:17" ht="16.5" thickBot="1" x14ac:dyDescent="0.3">
      <c r="E46" s="613"/>
      <c r="F46" s="1274" t="s">
        <v>152</v>
      </c>
      <c r="G46" s="1275"/>
      <c r="H46" s="614">
        <f>SUM(H31:H45)</f>
        <v>1122.998</v>
      </c>
      <c r="I46" s="614">
        <f>SUM(I31:I45)</f>
        <v>161.35028735632184</v>
      </c>
      <c r="K46" s="15"/>
      <c r="P46" s="1"/>
      <c r="Q46" s="1"/>
    </row>
    <row r="47" spans="2:17" ht="13.5" thickBot="1" x14ac:dyDescent="0.25">
      <c r="D47" s="15"/>
      <c r="P47" s="1"/>
      <c r="Q47" s="1"/>
    </row>
    <row r="48" spans="2:17" ht="15" thickBot="1" x14ac:dyDescent="0.25">
      <c r="B48" s="1269" t="s">
        <v>167</v>
      </c>
      <c r="C48" s="1270"/>
      <c r="D48" s="1270" t="s">
        <v>475</v>
      </c>
      <c r="E48" s="1270"/>
      <c r="F48" s="1270"/>
      <c r="G48" s="1270"/>
      <c r="H48" s="1270"/>
      <c r="I48" s="1271"/>
      <c r="P48" s="1"/>
      <c r="Q48" s="1"/>
    </row>
    <row r="49" spans="3:17" x14ac:dyDescent="0.2">
      <c r="P49" s="1"/>
      <c r="Q49" s="1"/>
    </row>
    <row r="50" spans="3:17" ht="14.25" x14ac:dyDescent="0.2">
      <c r="C50" s="1272" t="s">
        <v>476</v>
      </c>
      <c r="D50" s="1273" t="s">
        <v>477</v>
      </c>
      <c r="E50" s="1273" t="s">
        <v>394</v>
      </c>
      <c r="F50" s="1273" t="s">
        <v>395</v>
      </c>
      <c r="G50" s="1273" t="s">
        <v>478</v>
      </c>
      <c r="H50" s="1273"/>
      <c r="I50" s="1273" t="s">
        <v>479</v>
      </c>
      <c r="J50" s="1273"/>
      <c r="P50" s="1"/>
      <c r="Q50" s="1"/>
    </row>
    <row r="51" spans="3:17" ht="14.25" x14ac:dyDescent="0.2">
      <c r="C51" s="1272"/>
      <c r="D51" s="1273"/>
      <c r="E51" s="1273"/>
      <c r="F51" s="1273"/>
      <c r="G51" s="615" t="s">
        <v>48</v>
      </c>
      <c r="H51" s="615" t="s">
        <v>114</v>
      </c>
      <c r="I51" s="615" t="s">
        <v>48</v>
      </c>
      <c r="J51" s="615" t="s">
        <v>114</v>
      </c>
      <c r="K51" s="616"/>
      <c r="P51" s="1"/>
      <c r="Q51" s="1"/>
    </row>
    <row r="52" spans="3:17" x14ac:dyDescent="0.2">
      <c r="D52" s="617" t="s">
        <v>397</v>
      </c>
      <c r="E52" s="618">
        <v>4</v>
      </c>
      <c r="F52" s="619" t="s">
        <v>391</v>
      </c>
      <c r="G52" s="620">
        <v>696</v>
      </c>
      <c r="H52" s="621">
        <f>G52/$E$24</f>
        <v>100</v>
      </c>
      <c r="I52" s="622">
        <f>E52*G52</f>
        <v>2784</v>
      </c>
      <c r="J52" s="621">
        <f>E52*H52</f>
        <v>400</v>
      </c>
      <c r="K52" s="623"/>
      <c r="P52" s="1"/>
      <c r="Q52" s="1"/>
    </row>
    <row r="53" spans="3:17" x14ac:dyDescent="0.2">
      <c r="D53" s="624" t="s">
        <v>398</v>
      </c>
      <c r="E53" s="625">
        <v>0</v>
      </c>
      <c r="F53" s="625" t="s">
        <v>392</v>
      </c>
      <c r="G53" s="626"/>
      <c r="H53" s="627">
        <f t="shared" ref="H53:H73" si="3">G53/$E$24</f>
        <v>0</v>
      </c>
      <c r="I53" s="628">
        <f t="shared" ref="I53:I73" si="4">E53*G53</f>
        <v>0</v>
      </c>
      <c r="J53" s="627">
        <f t="shared" ref="J53:J73" si="5">E53*H53</f>
        <v>0</v>
      </c>
      <c r="K53" s="623"/>
      <c r="P53" s="1"/>
      <c r="Q53" s="1"/>
    </row>
    <row r="54" spans="3:17" x14ac:dyDescent="0.2">
      <c r="D54" s="624" t="s">
        <v>399</v>
      </c>
      <c r="E54" s="625">
        <v>0</v>
      </c>
      <c r="F54" s="625" t="s">
        <v>393</v>
      </c>
      <c r="G54" s="626"/>
      <c r="H54" s="627">
        <f t="shared" si="3"/>
        <v>0</v>
      </c>
      <c r="I54" s="628">
        <f t="shared" si="4"/>
        <v>0</v>
      </c>
      <c r="J54" s="627">
        <f t="shared" si="5"/>
        <v>0</v>
      </c>
      <c r="K54" s="623"/>
      <c r="P54" s="1"/>
      <c r="Q54" s="1"/>
    </row>
    <row r="55" spans="3:17" x14ac:dyDescent="0.2">
      <c r="D55" s="629" t="s">
        <v>400</v>
      </c>
      <c r="E55" s="630">
        <v>4</v>
      </c>
      <c r="F55" s="619" t="s">
        <v>391</v>
      </c>
      <c r="G55" s="620">
        <v>696</v>
      </c>
      <c r="H55" s="631">
        <f t="shared" si="3"/>
        <v>100</v>
      </c>
      <c r="I55" s="632">
        <f t="shared" si="4"/>
        <v>2784</v>
      </c>
      <c r="J55" s="631">
        <f t="shared" si="5"/>
        <v>400</v>
      </c>
      <c r="K55" s="623"/>
      <c r="P55" s="1"/>
      <c r="Q55" s="1"/>
    </row>
    <row r="56" spans="3:17" x14ac:dyDescent="0.2">
      <c r="D56" s="624" t="s">
        <v>401</v>
      </c>
      <c r="E56" s="625">
        <v>0</v>
      </c>
      <c r="F56" s="625" t="s">
        <v>392</v>
      </c>
      <c r="G56" s="626">
        <v>0</v>
      </c>
      <c r="H56" s="627">
        <f t="shared" si="3"/>
        <v>0</v>
      </c>
      <c r="I56" s="628">
        <f t="shared" si="4"/>
        <v>0</v>
      </c>
      <c r="J56" s="627">
        <f t="shared" si="5"/>
        <v>0</v>
      </c>
      <c r="K56" s="623"/>
      <c r="P56" s="1"/>
      <c r="Q56" s="1"/>
    </row>
    <row r="57" spans="3:17" x14ac:dyDescent="0.2">
      <c r="D57" s="624" t="s">
        <v>402</v>
      </c>
      <c r="E57" s="633">
        <v>0</v>
      </c>
      <c r="F57" s="625" t="s">
        <v>393</v>
      </c>
      <c r="G57" s="626">
        <v>0</v>
      </c>
      <c r="H57" s="627">
        <f t="shared" si="3"/>
        <v>0</v>
      </c>
      <c r="I57" s="628">
        <f t="shared" si="4"/>
        <v>0</v>
      </c>
      <c r="J57" s="627">
        <f t="shared" si="5"/>
        <v>0</v>
      </c>
      <c r="K57" s="623"/>
      <c r="P57" s="1"/>
      <c r="Q57" s="1"/>
    </row>
    <row r="58" spans="3:17" x14ac:dyDescent="0.2">
      <c r="D58" s="624" t="s">
        <v>403</v>
      </c>
      <c r="E58" s="625">
        <v>0</v>
      </c>
      <c r="F58" s="626" t="s">
        <v>391</v>
      </c>
      <c r="G58" s="634">
        <v>70</v>
      </c>
      <c r="H58" s="627">
        <f t="shared" si="3"/>
        <v>10.057471264367816</v>
      </c>
      <c r="I58" s="628">
        <f t="shared" si="4"/>
        <v>0</v>
      </c>
      <c r="J58" s="627">
        <f t="shared" si="5"/>
        <v>0</v>
      </c>
      <c r="K58" s="623"/>
      <c r="P58" s="1"/>
      <c r="Q58" s="1"/>
    </row>
    <row r="59" spans="3:17" x14ac:dyDescent="0.2">
      <c r="D59" s="635" t="s">
        <v>404</v>
      </c>
      <c r="E59" s="625">
        <v>0</v>
      </c>
      <c r="F59" s="626" t="s">
        <v>391</v>
      </c>
      <c r="G59" s="634">
        <v>0</v>
      </c>
      <c r="H59" s="627">
        <f t="shared" si="3"/>
        <v>0</v>
      </c>
      <c r="I59" s="628">
        <f t="shared" si="4"/>
        <v>0</v>
      </c>
      <c r="J59" s="627">
        <f t="shared" si="5"/>
        <v>0</v>
      </c>
      <c r="K59" s="636"/>
      <c r="P59" s="1"/>
      <c r="Q59" s="1"/>
    </row>
    <row r="60" spans="3:17" x14ac:dyDescent="0.2">
      <c r="D60" s="624" t="s">
        <v>405</v>
      </c>
      <c r="E60" s="633">
        <v>0</v>
      </c>
      <c r="F60" s="625" t="s">
        <v>393</v>
      </c>
      <c r="G60" s="626"/>
      <c r="H60" s="627">
        <f t="shared" si="3"/>
        <v>0</v>
      </c>
      <c r="I60" s="628">
        <f t="shared" si="4"/>
        <v>0</v>
      </c>
      <c r="J60" s="627">
        <f t="shared" si="5"/>
        <v>0</v>
      </c>
      <c r="K60" s="636"/>
      <c r="P60" s="1"/>
      <c r="Q60" s="1"/>
    </row>
    <row r="61" spans="3:17" x14ac:dyDescent="0.2">
      <c r="D61" s="624" t="s">
        <v>406</v>
      </c>
      <c r="E61" s="625">
        <v>0</v>
      </c>
      <c r="F61" s="625" t="s">
        <v>116</v>
      </c>
      <c r="G61" s="626"/>
      <c r="H61" s="627">
        <f t="shared" si="3"/>
        <v>0</v>
      </c>
      <c r="I61" s="628">
        <f t="shared" si="4"/>
        <v>0</v>
      </c>
      <c r="J61" s="627">
        <f t="shared" si="5"/>
        <v>0</v>
      </c>
      <c r="K61" s="636"/>
      <c r="P61" s="1"/>
      <c r="Q61" s="1"/>
    </row>
    <row r="62" spans="3:17" x14ac:dyDescent="0.2">
      <c r="D62" s="624" t="s">
        <v>407</v>
      </c>
      <c r="E62" s="625">
        <v>0</v>
      </c>
      <c r="F62" s="626" t="s">
        <v>391</v>
      </c>
      <c r="G62" s="634">
        <v>0</v>
      </c>
      <c r="H62" s="627">
        <f t="shared" si="3"/>
        <v>0</v>
      </c>
      <c r="I62" s="628">
        <f t="shared" si="4"/>
        <v>0</v>
      </c>
      <c r="J62" s="627">
        <f t="shared" si="5"/>
        <v>0</v>
      </c>
      <c r="K62" s="636"/>
      <c r="P62" s="1"/>
      <c r="Q62" s="1"/>
    </row>
    <row r="63" spans="3:17" x14ac:dyDescent="0.2">
      <c r="D63" s="624" t="s">
        <v>408</v>
      </c>
      <c r="E63" s="625">
        <v>0</v>
      </c>
      <c r="F63" s="626" t="s">
        <v>391</v>
      </c>
      <c r="G63" s="637">
        <v>0</v>
      </c>
      <c r="H63" s="627">
        <f t="shared" si="3"/>
        <v>0</v>
      </c>
      <c r="I63" s="628">
        <f t="shared" si="4"/>
        <v>0</v>
      </c>
      <c r="J63" s="627">
        <f t="shared" si="5"/>
        <v>0</v>
      </c>
      <c r="K63" s="636"/>
      <c r="P63" s="1"/>
      <c r="Q63" s="1"/>
    </row>
    <row r="64" spans="3:17" x14ac:dyDescent="0.2">
      <c r="D64" s="624" t="s">
        <v>409</v>
      </c>
      <c r="E64" s="625">
        <v>0</v>
      </c>
      <c r="F64" s="625" t="s">
        <v>116</v>
      </c>
      <c r="G64" s="626"/>
      <c r="H64" s="627">
        <f t="shared" si="3"/>
        <v>0</v>
      </c>
      <c r="I64" s="628">
        <f t="shared" si="4"/>
        <v>0</v>
      </c>
      <c r="J64" s="627">
        <f t="shared" si="5"/>
        <v>0</v>
      </c>
      <c r="K64" s="636"/>
      <c r="P64" s="1"/>
      <c r="Q64" s="1"/>
    </row>
    <row r="65" spans="2:17" x14ac:dyDescent="0.2">
      <c r="D65" s="624" t="s">
        <v>410</v>
      </c>
      <c r="E65" s="625">
        <v>5</v>
      </c>
      <c r="F65" s="626" t="s">
        <v>391</v>
      </c>
      <c r="G65" s="637">
        <v>400</v>
      </c>
      <c r="H65" s="627">
        <f t="shared" si="3"/>
        <v>57.47126436781609</v>
      </c>
      <c r="I65" s="628">
        <f t="shared" si="4"/>
        <v>2000</v>
      </c>
      <c r="J65" s="627">
        <f t="shared" si="5"/>
        <v>287.35632183908046</v>
      </c>
      <c r="K65" s="636"/>
      <c r="P65" s="1"/>
      <c r="Q65" s="1"/>
    </row>
    <row r="66" spans="2:17" x14ac:dyDescent="0.2">
      <c r="D66" s="624" t="s">
        <v>411</v>
      </c>
      <c r="E66" s="625">
        <v>5</v>
      </c>
      <c r="F66" s="626" t="s">
        <v>391</v>
      </c>
      <c r="G66" s="637">
        <v>309.95999999999998</v>
      </c>
      <c r="H66" s="627">
        <f t="shared" si="3"/>
        <v>44.53448275862069</v>
      </c>
      <c r="I66" s="628">
        <f t="shared" si="4"/>
        <v>1549.8</v>
      </c>
      <c r="J66" s="627">
        <f t="shared" si="5"/>
        <v>222.67241379310346</v>
      </c>
      <c r="K66" s="636"/>
      <c r="P66" s="1"/>
      <c r="Q66" s="1"/>
    </row>
    <row r="67" spans="2:17" x14ac:dyDescent="0.2">
      <c r="D67" s="624" t="s">
        <v>412</v>
      </c>
      <c r="E67" s="625">
        <v>0</v>
      </c>
      <c r="F67" s="626" t="s">
        <v>391</v>
      </c>
      <c r="G67" s="637">
        <v>190.6</v>
      </c>
      <c r="H67" s="627">
        <f t="shared" si="3"/>
        <v>27.385057471264368</v>
      </c>
      <c r="I67" s="628">
        <f t="shared" si="4"/>
        <v>0</v>
      </c>
      <c r="J67" s="627">
        <f t="shared" si="5"/>
        <v>0</v>
      </c>
      <c r="K67" s="636"/>
      <c r="P67" s="1"/>
      <c r="Q67" s="1"/>
    </row>
    <row r="68" spans="2:17" x14ac:dyDescent="0.2">
      <c r="D68" s="624" t="s">
        <v>413</v>
      </c>
      <c r="E68" s="625">
        <v>0</v>
      </c>
      <c r="F68" s="626" t="s">
        <v>391</v>
      </c>
      <c r="G68" s="637">
        <v>400</v>
      </c>
      <c r="H68" s="627">
        <f t="shared" si="3"/>
        <v>57.47126436781609</v>
      </c>
      <c r="I68" s="628">
        <f t="shared" si="4"/>
        <v>0</v>
      </c>
      <c r="J68" s="627">
        <f t="shared" si="5"/>
        <v>0</v>
      </c>
      <c r="K68" s="636"/>
      <c r="P68" s="1"/>
      <c r="Q68" s="1"/>
    </row>
    <row r="69" spans="2:17" x14ac:dyDescent="0.2">
      <c r="D69" s="624" t="s">
        <v>414</v>
      </c>
      <c r="E69" s="625">
        <v>0</v>
      </c>
      <c r="F69" s="626" t="s">
        <v>391</v>
      </c>
      <c r="G69" s="637">
        <v>309.95999999999998</v>
      </c>
      <c r="H69" s="627">
        <f t="shared" si="3"/>
        <v>44.53448275862069</v>
      </c>
      <c r="I69" s="628">
        <f t="shared" si="4"/>
        <v>0</v>
      </c>
      <c r="J69" s="627">
        <f t="shared" si="5"/>
        <v>0</v>
      </c>
      <c r="K69" s="636"/>
      <c r="P69" s="1"/>
      <c r="Q69" s="1"/>
    </row>
    <row r="70" spans="2:17" x14ac:dyDescent="0.2">
      <c r="D70" s="624" t="s">
        <v>415</v>
      </c>
      <c r="E70" s="625">
        <v>0</v>
      </c>
      <c r="F70" s="626" t="s">
        <v>391</v>
      </c>
      <c r="G70" s="637">
        <v>190.6</v>
      </c>
      <c r="H70" s="627">
        <f t="shared" si="3"/>
        <v>27.385057471264368</v>
      </c>
      <c r="I70" s="628">
        <f t="shared" si="4"/>
        <v>0</v>
      </c>
      <c r="J70" s="627">
        <f t="shared" si="5"/>
        <v>0</v>
      </c>
      <c r="K70" s="636"/>
      <c r="P70" s="1"/>
      <c r="Q70" s="1"/>
    </row>
    <row r="71" spans="2:17" x14ac:dyDescent="0.2">
      <c r="D71" s="624" t="s">
        <v>416</v>
      </c>
      <c r="E71" s="625">
        <v>2</v>
      </c>
      <c r="F71" s="625" t="s">
        <v>393</v>
      </c>
      <c r="G71" s="626">
        <v>243</v>
      </c>
      <c r="H71" s="627">
        <f t="shared" si="3"/>
        <v>34.913793103448278</v>
      </c>
      <c r="I71" s="628">
        <f t="shared" si="4"/>
        <v>486</v>
      </c>
      <c r="J71" s="627">
        <f t="shared" si="5"/>
        <v>69.827586206896555</v>
      </c>
      <c r="K71" s="636"/>
      <c r="P71" s="1"/>
      <c r="Q71" s="1"/>
    </row>
    <row r="72" spans="2:17" x14ac:dyDescent="0.2">
      <c r="D72" s="624" t="s">
        <v>417</v>
      </c>
      <c r="E72" s="625">
        <v>0</v>
      </c>
      <c r="F72" s="626"/>
      <c r="G72" s="634">
        <v>2784</v>
      </c>
      <c r="H72" s="627">
        <f t="shared" si="3"/>
        <v>400</v>
      </c>
      <c r="I72" s="628">
        <f t="shared" si="4"/>
        <v>0</v>
      </c>
      <c r="J72" s="627">
        <f t="shared" si="5"/>
        <v>0</v>
      </c>
      <c r="K72" s="636"/>
      <c r="P72" s="1"/>
      <c r="Q72" s="1"/>
    </row>
    <row r="73" spans="2:17" x14ac:dyDescent="0.2">
      <c r="D73" s="624" t="s">
        <v>417</v>
      </c>
      <c r="E73" s="625">
        <v>0</v>
      </c>
      <c r="F73" s="626"/>
      <c r="G73" s="634"/>
      <c r="H73" s="627">
        <f t="shared" si="3"/>
        <v>0</v>
      </c>
      <c r="I73" s="628">
        <f t="shared" si="4"/>
        <v>0</v>
      </c>
      <c r="J73" s="627">
        <f t="shared" si="5"/>
        <v>0</v>
      </c>
      <c r="K73" s="636"/>
      <c r="P73" s="1"/>
      <c r="Q73" s="1"/>
    </row>
    <row r="74" spans="2:17" ht="15.75" x14ac:dyDescent="0.25">
      <c r="G74" s="1262" t="s">
        <v>152</v>
      </c>
      <c r="H74" s="1262"/>
      <c r="I74" s="638">
        <f>SUM(I52:I73)</f>
        <v>9603.7999999999993</v>
      </c>
      <c r="J74" s="639">
        <f>I74/E24</f>
        <v>1379.8563218390805</v>
      </c>
      <c r="P74" s="1"/>
      <c r="Q74" s="1"/>
    </row>
    <row r="75" spans="2:17" x14ac:dyDescent="0.2">
      <c r="E75" s="640"/>
      <c r="F75" s="641"/>
      <c r="G75" s="642"/>
      <c r="H75" s="643"/>
      <c r="I75" s="643"/>
      <c r="P75" s="1"/>
      <c r="Q75" s="1"/>
    </row>
    <row r="76" spans="2:17" ht="14.25" customHeight="1" x14ac:dyDescent="0.2">
      <c r="B76" s="1263" t="s">
        <v>174</v>
      </c>
      <c r="C76" s="1263"/>
      <c r="D76" s="1263" t="s">
        <v>480</v>
      </c>
      <c r="E76" s="1263"/>
      <c r="F76" s="1263"/>
      <c r="G76" s="1263"/>
      <c r="H76" s="1263"/>
      <c r="I76" s="1263"/>
      <c r="P76" s="1"/>
      <c r="Q76" s="1"/>
    </row>
    <row r="77" spans="2:17" ht="13.5" thickBot="1" x14ac:dyDescent="0.25">
      <c r="P77" s="1"/>
      <c r="Q77" s="1"/>
    </row>
    <row r="78" spans="2:17" ht="14.25" x14ac:dyDescent="0.2">
      <c r="D78" s="1264" t="s">
        <v>190</v>
      </c>
      <c r="E78" s="1266" t="s">
        <v>45</v>
      </c>
      <c r="F78" s="1267"/>
      <c r="G78" s="1268"/>
      <c r="H78" s="1268"/>
      <c r="P78" s="1"/>
      <c r="Q78" s="1"/>
    </row>
    <row r="79" spans="2:17" ht="13.5" customHeight="1" x14ac:dyDescent="0.2">
      <c r="D79" s="1265"/>
      <c r="E79" s="644" t="s">
        <v>48</v>
      </c>
      <c r="F79" s="645" t="s">
        <v>114</v>
      </c>
      <c r="G79" s="623"/>
      <c r="H79" s="623"/>
      <c r="P79" s="1"/>
      <c r="Q79" s="1"/>
    </row>
    <row r="80" spans="2:17" ht="12.75" customHeight="1" x14ac:dyDescent="0.2">
      <c r="D80" s="646" t="s">
        <v>481</v>
      </c>
      <c r="E80" s="187">
        <f>H46</f>
        <v>1122.998</v>
      </c>
      <c r="F80" s="647">
        <f>I46</f>
        <v>161.35028735632184</v>
      </c>
      <c r="G80" s="636"/>
      <c r="H80" s="636"/>
      <c r="P80" s="1"/>
      <c r="Q80" s="1"/>
    </row>
    <row r="81" spans="2:17" x14ac:dyDescent="0.2">
      <c r="D81" s="646" t="s">
        <v>482</v>
      </c>
      <c r="E81" s="187">
        <f>I74</f>
        <v>9603.7999999999993</v>
      </c>
      <c r="F81" s="647">
        <f>J74</f>
        <v>1379.8563218390805</v>
      </c>
      <c r="G81" s="636"/>
      <c r="H81" s="636"/>
      <c r="P81" s="1"/>
      <c r="Q81" s="1"/>
    </row>
    <row r="82" spans="2:17" x14ac:dyDescent="0.2">
      <c r="D82" s="646" t="s">
        <v>483</v>
      </c>
      <c r="E82" s="187">
        <f>SUM(E80:E81)</f>
        <v>10726.797999999999</v>
      </c>
      <c r="F82" s="647">
        <f>SUM(F80:F81)</f>
        <v>1541.2066091954023</v>
      </c>
      <c r="G82" s="636"/>
      <c r="H82" s="636"/>
      <c r="P82" s="1"/>
      <c r="Q82" s="1"/>
    </row>
    <row r="83" spans="2:17" ht="18" x14ac:dyDescent="0.2">
      <c r="D83" s="648" t="s">
        <v>484</v>
      </c>
      <c r="E83" s="649">
        <v>0.15</v>
      </c>
      <c r="F83" s="650"/>
      <c r="G83" s="27"/>
      <c r="H83" s="27"/>
      <c r="J83" s="528"/>
      <c r="P83" s="1"/>
      <c r="Q83" s="1"/>
    </row>
    <row r="84" spans="2:17" ht="13.5" thickBot="1" x14ac:dyDescent="0.25">
      <c r="D84" s="651" t="s">
        <v>485</v>
      </c>
      <c r="E84" s="229">
        <f>E82*(1+$E$83)</f>
        <v>12335.817699999998</v>
      </c>
      <c r="F84" s="652">
        <f>F82*(1+$E$83)</f>
        <v>1772.3876005747125</v>
      </c>
      <c r="G84" s="636"/>
      <c r="H84" s="636"/>
      <c r="J84" s="653"/>
      <c r="L84" s="233"/>
      <c r="P84" s="1"/>
      <c r="Q84" s="1"/>
    </row>
    <row r="85" spans="2:17" ht="13.5" thickBot="1" x14ac:dyDescent="0.25">
      <c r="C85" s="37"/>
      <c r="D85" s="584"/>
      <c r="E85" s="654"/>
      <c r="F85" s="642"/>
      <c r="G85" s="636"/>
      <c r="H85" s="636"/>
      <c r="J85" s="653"/>
      <c r="L85" s="233"/>
      <c r="P85" s="1"/>
      <c r="Q85" s="1"/>
    </row>
    <row r="86" spans="2:17" ht="13.5" thickBot="1" x14ac:dyDescent="0.25">
      <c r="D86" s="655" t="s">
        <v>98</v>
      </c>
      <c r="E86" s="656">
        <v>0.16</v>
      </c>
      <c r="J86" s="653"/>
      <c r="P86" s="1"/>
      <c r="Q86" s="1"/>
    </row>
    <row r="87" spans="2:17" x14ac:dyDescent="0.2">
      <c r="D87" s="83"/>
      <c r="E87" s="657"/>
      <c r="F87" s="657"/>
      <c r="G87" s="657"/>
      <c r="H87" s="657"/>
      <c r="J87" s="653"/>
      <c r="P87" s="1"/>
      <c r="Q87" s="1"/>
    </row>
    <row r="88" spans="2:17" ht="19.5" x14ac:dyDescent="0.3">
      <c r="B88" s="1256" t="s">
        <v>187</v>
      </c>
      <c r="C88" s="1256"/>
      <c r="D88" s="1256" t="s">
        <v>486</v>
      </c>
      <c r="E88" s="1256"/>
      <c r="F88" s="1256"/>
      <c r="G88" s="1256"/>
      <c r="H88" s="1256"/>
      <c r="I88" s="1256"/>
      <c r="J88" s="1256"/>
      <c r="K88" s="1256"/>
      <c r="L88" s="1256"/>
      <c r="M88" s="1256"/>
      <c r="N88" s="1256"/>
      <c r="O88" s="1256"/>
      <c r="P88" s="658"/>
      <c r="Q88" s="658"/>
    </row>
    <row r="89" spans="2:17" x14ac:dyDescent="0.2">
      <c r="D89" s="83"/>
      <c r="E89" s="657"/>
      <c r="F89" s="657"/>
      <c r="J89" s="653"/>
      <c r="M89" s="653"/>
      <c r="N89" s="653"/>
      <c r="O89" s="653"/>
      <c r="P89" s="659"/>
      <c r="Q89" s="659"/>
    </row>
    <row r="90" spans="2:17" ht="14.25" x14ac:dyDescent="0.2">
      <c r="D90" s="660"/>
      <c r="E90" s="661" t="s">
        <v>48</v>
      </c>
      <c r="F90" s="661" t="s">
        <v>114</v>
      </c>
      <c r="H90" s="15"/>
      <c r="J90" s="653"/>
      <c r="M90" s="653"/>
      <c r="N90" s="653"/>
      <c r="O90" s="653"/>
      <c r="P90" s="659"/>
      <c r="Q90" s="659"/>
    </row>
    <row r="91" spans="2:17" x14ac:dyDescent="0.2">
      <c r="D91" s="22" t="s">
        <v>487</v>
      </c>
      <c r="E91" s="662">
        <f>F91*E24</f>
        <v>1600.8</v>
      </c>
      <c r="F91" s="663">
        <v>230</v>
      </c>
      <c r="J91" s="653"/>
      <c r="M91" s="653"/>
      <c r="N91" s="653"/>
      <c r="O91" s="653"/>
      <c r="P91" s="659"/>
      <c r="Q91" s="659"/>
    </row>
    <row r="92" spans="2:17" x14ac:dyDescent="0.2">
      <c r="D92" s="83"/>
      <c r="E92" s="664"/>
      <c r="F92" s="665"/>
      <c r="J92" s="653"/>
      <c r="M92" s="653"/>
      <c r="N92" s="653"/>
      <c r="O92" s="653"/>
      <c r="P92" s="659"/>
      <c r="Q92" s="659"/>
    </row>
    <row r="93" spans="2:17" x14ac:dyDescent="0.2">
      <c r="D93" s="22" t="s">
        <v>488</v>
      </c>
      <c r="E93" s="662">
        <v>1</v>
      </c>
      <c r="F93" s="665"/>
      <c r="J93" s="653"/>
      <c r="M93" s="653"/>
      <c r="N93" s="653"/>
      <c r="O93" s="653"/>
      <c r="P93" s="659"/>
      <c r="Q93" s="659"/>
    </row>
    <row r="94" spans="2:17" ht="13.5" thickBot="1" x14ac:dyDescent="0.25">
      <c r="D94" s="83"/>
      <c r="E94" s="657"/>
      <c r="F94" s="657"/>
      <c r="J94" s="653"/>
      <c r="M94" s="653"/>
      <c r="N94" s="653"/>
      <c r="O94" s="653"/>
      <c r="P94" s="659"/>
      <c r="Q94" s="659"/>
    </row>
    <row r="95" spans="2:17" ht="32.25" customHeight="1" x14ac:dyDescent="0.2">
      <c r="D95" s="1257" t="s">
        <v>190</v>
      </c>
      <c r="E95" s="1259" t="s">
        <v>45</v>
      </c>
      <c r="F95" s="1259"/>
      <c r="G95" s="1259" t="s">
        <v>191</v>
      </c>
      <c r="H95" s="1259"/>
      <c r="I95" s="1259" t="s">
        <v>192</v>
      </c>
      <c r="J95" s="1259"/>
      <c r="K95" s="1259" t="s">
        <v>98</v>
      </c>
      <c r="L95" s="1259"/>
      <c r="M95" s="1259" t="s">
        <v>193</v>
      </c>
      <c r="N95" s="1259"/>
      <c r="O95" s="1260" t="s">
        <v>194</v>
      </c>
    </row>
    <row r="96" spans="2:17" ht="15" customHeight="1" x14ac:dyDescent="0.2">
      <c r="D96" s="1258"/>
      <c r="E96" s="661" t="s">
        <v>48</v>
      </c>
      <c r="F96" s="661" t="s">
        <v>114</v>
      </c>
      <c r="G96" s="661" t="s">
        <v>48</v>
      </c>
      <c r="H96" s="661" t="s">
        <v>114</v>
      </c>
      <c r="I96" s="661" t="s">
        <v>48</v>
      </c>
      <c r="J96" s="661" t="s">
        <v>114</v>
      </c>
      <c r="K96" s="661" t="s">
        <v>48</v>
      </c>
      <c r="L96" s="661" t="s">
        <v>114</v>
      </c>
      <c r="M96" s="661" t="s">
        <v>48</v>
      </c>
      <c r="N96" s="661" t="s">
        <v>114</v>
      </c>
      <c r="O96" s="1261"/>
    </row>
    <row r="97" spans="2:18" ht="16.5" customHeight="1" thickBot="1" x14ac:dyDescent="0.35">
      <c r="D97" s="666" t="s">
        <v>489</v>
      </c>
      <c r="E97" s="229">
        <v>11776.917699999998</v>
      </c>
      <c r="F97" s="652">
        <v>1692.0858764367813</v>
      </c>
      <c r="G97" s="667">
        <f>H97*6.96</f>
        <v>4802.3999999999996</v>
      </c>
      <c r="H97" s="668">
        <v>690</v>
      </c>
      <c r="I97" s="669">
        <f>G97-E97</f>
        <v>-6974.5176999999985</v>
      </c>
      <c r="J97" s="668">
        <f>H97-F97</f>
        <v>-1002.0858764367813</v>
      </c>
      <c r="K97" s="668">
        <f>G97*E86</f>
        <v>768.38400000000001</v>
      </c>
      <c r="L97" s="668">
        <f>H97*E86</f>
        <v>110.4</v>
      </c>
      <c r="M97" s="668">
        <f>I97-K97</f>
        <v>-7742.9016999999985</v>
      </c>
      <c r="N97" s="668">
        <f>J97-L97</f>
        <v>-1112.4858764367814</v>
      </c>
      <c r="O97" s="670">
        <f>(N97*100)/H97</f>
        <v>-161.22983716475093</v>
      </c>
      <c r="R97" s="671"/>
    </row>
    <row r="98" spans="2:18" x14ac:dyDescent="0.2">
      <c r="D98" s="83"/>
      <c r="E98" s="657"/>
      <c r="F98" s="657"/>
      <c r="G98" s="657"/>
      <c r="H98" s="657"/>
      <c r="J98" s="653"/>
      <c r="M98" s="653"/>
      <c r="N98" s="653"/>
      <c r="O98" s="653"/>
      <c r="P98" s="659"/>
      <c r="Q98" s="659"/>
    </row>
    <row r="99" spans="2:18" ht="23.25" customHeight="1" x14ac:dyDescent="0.2">
      <c r="B99" s="1249" t="s">
        <v>490</v>
      </c>
      <c r="C99" s="1249"/>
      <c r="D99" s="672"/>
      <c r="E99" s="672"/>
      <c r="F99" s="672" t="s">
        <v>491</v>
      </c>
      <c r="G99" s="672"/>
      <c r="H99" s="672"/>
      <c r="I99" s="672"/>
      <c r="J99" s="672"/>
      <c r="K99" s="672"/>
      <c r="L99" s="672"/>
      <c r="M99" s="672"/>
      <c r="N99" s="672"/>
      <c r="O99" s="672"/>
      <c r="P99" s="659"/>
      <c r="Q99" s="659"/>
    </row>
    <row r="100" spans="2:18" x14ac:dyDescent="0.2">
      <c r="D100" s="83"/>
      <c r="E100" s="657"/>
      <c r="F100" s="657"/>
      <c r="G100" s="657"/>
      <c r="H100" s="657"/>
      <c r="J100" s="653"/>
      <c r="M100" s="653"/>
      <c r="N100" s="653"/>
      <c r="O100" s="653"/>
      <c r="P100" s="659"/>
      <c r="Q100" s="659"/>
    </row>
    <row r="101" spans="2:18" s="30" customFormat="1" ht="15.75" thickBot="1" x14ac:dyDescent="0.3">
      <c r="C101" s="27"/>
      <c r="D101" s="28"/>
      <c r="E101" s="29"/>
      <c r="N101" s="175"/>
      <c r="P101" s="178"/>
      <c r="Q101" s="178"/>
    </row>
    <row r="102" spans="2:18" s="30" customFormat="1" ht="15" x14ac:dyDescent="0.25">
      <c r="B102" s="1250" t="s">
        <v>394</v>
      </c>
      <c r="C102" s="1251"/>
      <c r="D102" s="673"/>
      <c r="E102" s="1251" t="s">
        <v>492</v>
      </c>
      <c r="F102" s="1251"/>
      <c r="G102" s="1251" t="s">
        <v>102</v>
      </c>
      <c r="H102" s="1252"/>
      <c r="N102" s="175"/>
      <c r="P102" s="178"/>
      <c r="Q102" s="178"/>
    </row>
    <row r="103" spans="2:18" s="30" customFormat="1" ht="15" x14ac:dyDescent="0.25">
      <c r="B103" s="674" t="s">
        <v>493</v>
      </c>
      <c r="C103" s="675" t="s">
        <v>494</v>
      </c>
      <c r="D103" s="675" t="s">
        <v>495</v>
      </c>
      <c r="E103" s="675" t="s">
        <v>496</v>
      </c>
      <c r="F103" s="675" t="s">
        <v>497</v>
      </c>
      <c r="G103" s="675" t="s">
        <v>496</v>
      </c>
      <c r="H103" s="676" t="s">
        <v>497</v>
      </c>
      <c r="N103" s="175"/>
      <c r="P103" s="178"/>
      <c r="Q103" s="178"/>
    </row>
    <row r="104" spans="2:18" s="30" customFormat="1" ht="15" x14ac:dyDescent="0.25">
      <c r="B104" s="677">
        <v>0</v>
      </c>
      <c r="C104" s="25">
        <v>1</v>
      </c>
      <c r="D104" s="624" t="s">
        <v>498</v>
      </c>
      <c r="E104" s="370">
        <v>2000</v>
      </c>
      <c r="F104" s="678">
        <v>3000</v>
      </c>
      <c r="G104" s="679">
        <f t="shared" ref="G104:H108" si="6">B104*E104</f>
        <v>0</v>
      </c>
      <c r="H104" s="680">
        <f t="shared" si="6"/>
        <v>3000</v>
      </c>
      <c r="N104" s="175"/>
      <c r="P104" s="178"/>
      <c r="Q104" s="178"/>
    </row>
    <row r="105" spans="2:18" s="30" customFormat="1" ht="15" x14ac:dyDescent="0.25">
      <c r="B105" s="677">
        <v>0</v>
      </c>
      <c r="C105" s="25">
        <v>2</v>
      </c>
      <c r="D105" s="624" t="s">
        <v>499</v>
      </c>
      <c r="E105" s="370">
        <v>1500</v>
      </c>
      <c r="F105" s="678">
        <v>1000</v>
      </c>
      <c r="G105" s="679">
        <f t="shared" si="6"/>
        <v>0</v>
      </c>
      <c r="H105" s="680">
        <v>1000</v>
      </c>
      <c r="N105" s="175"/>
      <c r="P105" s="178"/>
      <c r="Q105" s="178"/>
    </row>
    <row r="106" spans="2:18" s="30" customFormat="1" ht="15" x14ac:dyDescent="0.25">
      <c r="B106" s="677">
        <v>0</v>
      </c>
      <c r="C106" s="25">
        <v>0</v>
      </c>
      <c r="D106" s="624" t="s">
        <v>500</v>
      </c>
      <c r="E106" s="370">
        <v>800</v>
      </c>
      <c r="F106" s="678"/>
      <c r="G106" s="679">
        <f t="shared" si="6"/>
        <v>0</v>
      </c>
      <c r="H106" s="680">
        <f t="shared" si="6"/>
        <v>0</v>
      </c>
      <c r="N106" s="175"/>
      <c r="P106" s="178"/>
      <c r="Q106" s="178"/>
    </row>
    <row r="107" spans="2:18" s="30" customFormat="1" ht="15" x14ac:dyDescent="0.25">
      <c r="B107" s="677">
        <v>0</v>
      </c>
      <c r="C107" s="25">
        <v>0</v>
      </c>
      <c r="D107" s="624" t="s">
        <v>501</v>
      </c>
      <c r="E107" s="370">
        <v>500</v>
      </c>
      <c r="F107" s="678"/>
      <c r="G107" s="679">
        <f t="shared" si="6"/>
        <v>0</v>
      </c>
      <c r="H107" s="680">
        <f t="shared" si="6"/>
        <v>0</v>
      </c>
      <c r="N107" s="175"/>
      <c r="P107" s="178"/>
      <c r="Q107" s="178"/>
    </row>
    <row r="108" spans="2:18" s="30" customFormat="1" ht="15.75" thickBot="1" x14ac:dyDescent="0.3">
      <c r="B108" s="681">
        <v>0</v>
      </c>
      <c r="C108" s="682">
        <v>0</v>
      </c>
      <c r="D108" s="683" t="s">
        <v>502</v>
      </c>
      <c r="E108" s="684">
        <v>500</v>
      </c>
      <c r="F108" s="685"/>
      <c r="G108" s="686">
        <f t="shared" si="6"/>
        <v>0</v>
      </c>
      <c r="H108" s="687">
        <f t="shared" si="6"/>
        <v>0</v>
      </c>
      <c r="N108" s="175"/>
      <c r="P108" s="178"/>
      <c r="Q108" s="178"/>
    </row>
    <row r="109" spans="2:18" s="30" customFormat="1" ht="15.75" thickBot="1" x14ac:dyDescent="0.3">
      <c r="C109" s="27"/>
      <c r="E109" s="29"/>
      <c r="F109" s="688" t="s">
        <v>152</v>
      </c>
      <c r="G109" s="689">
        <f>SUM(G104:G108)</f>
        <v>0</v>
      </c>
      <c r="H109" s="690">
        <f>SUM(H104:H108)</f>
        <v>4000</v>
      </c>
      <c r="N109" s="175"/>
      <c r="P109" s="178"/>
      <c r="Q109" s="178"/>
    </row>
    <row r="110" spans="2:18" s="37" customFormat="1" x14ac:dyDescent="0.2">
      <c r="C110" s="128"/>
      <c r="P110" s="248"/>
      <c r="Q110" s="248"/>
    </row>
    <row r="111" spans="2:18" s="37" customFormat="1" ht="21.75" customHeight="1" x14ac:dyDescent="0.2">
      <c r="B111" s="1253" t="s">
        <v>503</v>
      </c>
      <c r="C111" s="1254"/>
      <c r="D111" s="1255" t="s">
        <v>504</v>
      </c>
      <c r="E111" s="1255"/>
      <c r="F111" s="1255"/>
      <c r="G111" s="1255"/>
      <c r="H111" s="1255"/>
      <c r="I111" s="1255"/>
      <c r="J111" s="1255"/>
      <c r="K111" s="1255"/>
      <c r="L111" s="1255"/>
      <c r="M111" s="1255"/>
      <c r="N111" s="1255"/>
      <c r="O111" s="1255"/>
      <c r="P111" s="248"/>
      <c r="Q111" s="248"/>
    </row>
    <row r="112" spans="2:18" s="37" customFormat="1" ht="13.5" thickBot="1" x14ac:dyDescent="0.25">
      <c r="C112" s="128"/>
      <c r="P112" s="248"/>
      <c r="Q112" s="248"/>
    </row>
    <row r="113" spans="3:17" s="37" customFormat="1" x14ac:dyDescent="0.2">
      <c r="C113" s="1242" t="s">
        <v>505</v>
      </c>
      <c r="D113" s="691"/>
      <c r="E113" s="1245" t="s">
        <v>102</v>
      </c>
      <c r="F113" s="1248"/>
      <c r="G113" s="1245" t="s">
        <v>45</v>
      </c>
      <c r="H113" s="1246"/>
      <c r="I113" s="1245" t="s">
        <v>192</v>
      </c>
      <c r="J113" s="1246"/>
      <c r="K113" s="1245" t="s">
        <v>98</v>
      </c>
      <c r="L113" s="1246"/>
      <c r="M113" s="1245" t="s">
        <v>193</v>
      </c>
      <c r="N113" s="1247"/>
      <c r="O113" s="1239" t="s">
        <v>506</v>
      </c>
      <c r="P113" s="248"/>
      <c r="Q113" s="248"/>
    </row>
    <row r="114" spans="3:17" s="37" customFormat="1" x14ac:dyDescent="0.2">
      <c r="C114" s="1243"/>
      <c r="E114" s="692" t="s">
        <v>114</v>
      </c>
      <c r="F114" s="692" t="s">
        <v>48</v>
      </c>
      <c r="G114" s="692" t="s">
        <v>114</v>
      </c>
      <c r="H114" s="692" t="s">
        <v>48</v>
      </c>
      <c r="I114" s="692" t="s">
        <v>114</v>
      </c>
      <c r="J114" s="692" t="s">
        <v>48</v>
      </c>
      <c r="K114" s="692" t="s">
        <v>114</v>
      </c>
      <c r="L114" s="692" t="s">
        <v>48</v>
      </c>
      <c r="M114" s="692" t="s">
        <v>114</v>
      </c>
      <c r="N114" s="693" t="s">
        <v>48</v>
      </c>
      <c r="O114" s="1240"/>
      <c r="P114" s="248"/>
      <c r="Q114" s="248"/>
    </row>
    <row r="115" spans="3:17" s="37" customFormat="1" x14ac:dyDescent="0.2">
      <c r="C115" s="1243"/>
      <c r="D115" s="635" t="s">
        <v>507</v>
      </c>
      <c r="E115" s="694">
        <v>690</v>
      </c>
      <c r="F115" s="694">
        <f>E115*6.96</f>
        <v>4802.3999999999996</v>
      </c>
      <c r="G115" s="694">
        <f>F84</f>
        <v>1772.3876005747125</v>
      </c>
      <c r="H115" s="694">
        <f>E84</f>
        <v>12335.817699999998</v>
      </c>
      <c r="I115" s="695">
        <f>E115-G115</f>
        <v>-1082.3876005747125</v>
      </c>
      <c r="J115" s="695">
        <f>F115-H115</f>
        <v>-7533.4176999999981</v>
      </c>
      <c r="K115" s="696">
        <f>E86*E115</f>
        <v>110.4</v>
      </c>
      <c r="L115" s="694">
        <f>E86*F115</f>
        <v>768.38400000000001</v>
      </c>
      <c r="M115" s="695">
        <f>I115-K115</f>
        <v>-1192.7876005747125</v>
      </c>
      <c r="N115" s="697">
        <f>J115-L115</f>
        <v>-8301.8016999999982</v>
      </c>
      <c r="O115" s="698"/>
      <c r="P115" s="248"/>
      <c r="Q115" s="248"/>
    </row>
    <row r="116" spans="3:17" s="37" customFormat="1" x14ac:dyDescent="0.2">
      <c r="C116" s="1243"/>
      <c r="D116" s="635" t="s">
        <v>508</v>
      </c>
      <c r="E116" s="694">
        <v>4000</v>
      </c>
      <c r="F116" s="694">
        <f>E116*6.96</f>
        <v>27840</v>
      </c>
      <c r="G116" s="699">
        <v>0</v>
      </c>
      <c r="H116" s="699">
        <v>0</v>
      </c>
      <c r="I116" s="694">
        <f>E116-G116</f>
        <v>4000</v>
      </c>
      <c r="J116" s="694">
        <f>F116-H116</f>
        <v>27840</v>
      </c>
      <c r="K116" s="696">
        <f>E86*E116</f>
        <v>640</v>
      </c>
      <c r="L116" s="694">
        <f>E86*F116</f>
        <v>4454.4000000000005</v>
      </c>
      <c r="M116" s="695">
        <f>I116-K116</f>
        <v>3360</v>
      </c>
      <c r="N116" s="697">
        <f>J116-L116</f>
        <v>23385.599999999999</v>
      </c>
      <c r="O116" s="698"/>
      <c r="P116" s="248"/>
      <c r="Q116" s="248"/>
    </row>
    <row r="117" spans="3:17" s="37" customFormat="1" x14ac:dyDescent="0.2">
      <c r="C117" s="1243"/>
      <c r="D117" s="22" t="s">
        <v>509</v>
      </c>
      <c r="E117" s="699">
        <v>360</v>
      </c>
      <c r="F117" s="694">
        <f>E117*6.96</f>
        <v>2505.6</v>
      </c>
      <c r="G117" s="635"/>
      <c r="H117" s="635"/>
      <c r="I117" s="635"/>
      <c r="J117" s="635"/>
      <c r="K117" s="635"/>
      <c r="L117" s="635"/>
      <c r="M117" s="635"/>
      <c r="N117" s="700"/>
      <c r="O117" s="698"/>
      <c r="P117" s="248"/>
      <c r="Q117" s="248"/>
    </row>
    <row r="118" spans="3:17" s="705" customFormat="1" ht="16.5" customHeight="1" thickBot="1" x14ac:dyDescent="0.3">
      <c r="C118" s="1244"/>
      <c r="D118" s="701" t="s">
        <v>152</v>
      </c>
      <c r="E118" s="702">
        <f>SUM(E115:E117)</f>
        <v>5050</v>
      </c>
      <c r="F118" s="702">
        <f>SUM(F115:F117)</f>
        <v>35148</v>
      </c>
      <c r="G118" s="702">
        <f>SUM(G115:G117)</f>
        <v>1772.3876005747125</v>
      </c>
      <c r="H118" s="702">
        <f>SUM(H115:H117)</f>
        <v>12335.817699999998</v>
      </c>
      <c r="I118" s="702">
        <f>E118-G118</f>
        <v>3277.6123994252875</v>
      </c>
      <c r="J118" s="702">
        <f>F118-H118</f>
        <v>22812.1823</v>
      </c>
      <c r="K118" s="702">
        <f>E118*$E$86</f>
        <v>808</v>
      </c>
      <c r="L118" s="702">
        <f>F118*$E$86</f>
        <v>5623.68</v>
      </c>
      <c r="M118" s="702">
        <f>I118-K118</f>
        <v>2469.6123994252875</v>
      </c>
      <c r="N118" s="703">
        <f>J118-L118</f>
        <v>17188.5023</v>
      </c>
      <c r="O118" s="704">
        <f>(N118/F118)*100</f>
        <v>48.903215830203713</v>
      </c>
    </row>
    <row r="119" spans="3:17" s="37" customFormat="1" ht="13.5" thickBot="1" x14ac:dyDescent="0.25">
      <c r="C119" s="128"/>
      <c r="P119" s="248"/>
      <c r="Q119" s="248"/>
    </row>
    <row r="120" spans="3:17" s="37" customFormat="1" x14ac:dyDescent="0.2">
      <c r="C120" s="1242" t="s">
        <v>510</v>
      </c>
      <c r="D120" s="691"/>
      <c r="E120" s="1245" t="s">
        <v>102</v>
      </c>
      <c r="F120" s="1246"/>
      <c r="G120" s="1245" t="s">
        <v>45</v>
      </c>
      <c r="H120" s="1246"/>
      <c r="I120" s="1245" t="s">
        <v>192</v>
      </c>
      <c r="J120" s="1246"/>
      <c r="K120" s="1245" t="s">
        <v>98</v>
      </c>
      <c r="L120" s="1246"/>
      <c r="M120" s="1245" t="s">
        <v>193</v>
      </c>
      <c r="N120" s="1247"/>
      <c r="O120" s="1239" t="s">
        <v>506</v>
      </c>
      <c r="P120" s="248"/>
      <c r="Q120" s="248"/>
    </row>
    <row r="121" spans="3:17" s="37" customFormat="1" x14ac:dyDescent="0.2">
      <c r="C121" s="1243"/>
      <c r="E121" s="692" t="s">
        <v>114</v>
      </c>
      <c r="F121" s="692" t="s">
        <v>48</v>
      </c>
      <c r="G121" s="692" t="s">
        <v>114</v>
      </c>
      <c r="H121" s="692" t="s">
        <v>48</v>
      </c>
      <c r="I121" s="692" t="s">
        <v>114</v>
      </c>
      <c r="J121" s="692" t="s">
        <v>48</v>
      </c>
      <c r="K121" s="692" t="s">
        <v>114</v>
      </c>
      <c r="L121" s="692" t="s">
        <v>48</v>
      </c>
      <c r="M121" s="692" t="s">
        <v>114</v>
      </c>
      <c r="N121" s="693" t="s">
        <v>48</v>
      </c>
      <c r="O121" s="1240"/>
      <c r="P121" s="248"/>
      <c r="Q121" s="248"/>
    </row>
    <row r="122" spans="3:17" s="37" customFormat="1" x14ac:dyDescent="0.2">
      <c r="C122" s="1243"/>
      <c r="D122" s="635" t="s">
        <v>507</v>
      </c>
      <c r="E122" s="694">
        <f>I112</f>
        <v>0</v>
      </c>
      <c r="F122" s="694">
        <f>H112</f>
        <v>0</v>
      </c>
      <c r="G122" s="694">
        <f>G115</f>
        <v>1772.3876005747125</v>
      </c>
      <c r="H122" s="694">
        <f>H115</f>
        <v>12335.817699999998</v>
      </c>
      <c r="I122" s="695">
        <f>E122-G122</f>
        <v>-1772.3876005747125</v>
      </c>
      <c r="J122" s="695">
        <f>F122-H122</f>
        <v>-12335.817699999998</v>
      </c>
      <c r="K122" s="696"/>
      <c r="L122" s="694"/>
      <c r="M122" s="695"/>
      <c r="N122" s="697"/>
      <c r="O122" s="698"/>
      <c r="P122" s="248"/>
      <c r="Q122" s="248"/>
    </row>
    <row r="123" spans="3:17" s="37" customFormat="1" x14ac:dyDescent="0.2">
      <c r="C123" s="1243"/>
      <c r="D123" s="635" t="s">
        <v>508</v>
      </c>
      <c r="E123" s="694">
        <f>E116</f>
        <v>4000</v>
      </c>
      <c r="F123" s="694">
        <f>F116</f>
        <v>27840</v>
      </c>
      <c r="G123" s="699">
        <v>0</v>
      </c>
      <c r="H123" s="699">
        <v>0</v>
      </c>
      <c r="I123" s="694">
        <f>E123-G123</f>
        <v>4000</v>
      </c>
      <c r="J123" s="694">
        <f>F123-H123</f>
        <v>27840</v>
      </c>
      <c r="K123" s="696"/>
      <c r="L123" s="694"/>
      <c r="M123" s="695"/>
      <c r="N123" s="697"/>
      <c r="O123" s="698"/>
      <c r="P123" s="248"/>
      <c r="Q123" s="248"/>
    </row>
    <row r="124" spans="3:17" s="37" customFormat="1" x14ac:dyDescent="0.2">
      <c r="C124" s="1243"/>
      <c r="D124" s="22" t="s">
        <v>511</v>
      </c>
      <c r="E124" s="699">
        <v>1160</v>
      </c>
      <c r="F124" s="694">
        <f>E124*6.96</f>
        <v>8073.6</v>
      </c>
      <c r="G124" s="635"/>
      <c r="H124" s="635"/>
      <c r="I124" s="635"/>
      <c r="J124" s="635"/>
      <c r="K124" s="635"/>
      <c r="L124" s="635"/>
      <c r="M124" s="635"/>
      <c r="N124" s="700"/>
      <c r="O124" s="698"/>
      <c r="P124" s="248"/>
      <c r="Q124" s="248"/>
    </row>
    <row r="125" spans="3:17" s="705" customFormat="1" ht="19.5" customHeight="1" thickBot="1" x14ac:dyDescent="0.3">
      <c r="C125" s="1244"/>
      <c r="D125" s="701" t="s">
        <v>152</v>
      </c>
      <c r="E125" s="702">
        <f>SUM(E122:E124)</f>
        <v>5160</v>
      </c>
      <c r="F125" s="702">
        <f>SUM(F122:F124)</f>
        <v>35913.599999999999</v>
      </c>
      <c r="G125" s="702">
        <f>SUM(G122:G124)</f>
        <v>1772.3876005747125</v>
      </c>
      <c r="H125" s="702">
        <f>SUM(H122:H124)</f>
        <v>12335.817699999998</v>
      </c>
      <c r="I125" s="702">
        <f>E125-G125</f>
        <v>3387.6123994252875</v>
      </c>
      <c r="J125" s="702">
        <f>F125-H125</f>
        <v>23577.782299999999</v>
      </c>
      <c r="K125" s="702">
        <f>E125*$E$86</f>
        <v>825.6</v>
      </c>
      <c r="L125" s="702">
        <f>F125*$E$86</f>
        <v>5746.1759999999995</v>
      </c>
      <c r="M125" s="702">
        <f>I125-K125</f>
        <v>2562.0123994252876</v>
      </c>
      <c r="N125" s="703">
        <f>J125-L125</f>
        <v>17831.606299999999</v>
      </c>
      <c r="O125" s="704">
        <f>(N125/F125)*100</f>
        <v>49.651403089637355</v>
      </c>
    </row>
    <row r="126" spans="3:17" s="37" customFormat="1" ht="13.5" thickBot="1" x14ac:dyDescent="0.25">
      <c r="C126" s="128"/>
      <c r="P126" s="248"/>
      <c r="Q126" s="248"/>
    </row>
    <row r="127" spans="3:17" s="37" customFormat="1" x14ac:dyDescent="0.2">
      <c r="C127" s="1242" t="s">
        <v>512</v>
      </c>
      <c r="D127" s="691"/>
      <c r="E127" s="1245" t="s">
        <v>102</v>
      </c>
      <c r="F127" s="1246"/>
      <c r="G127" s="1245" t="s">
        <v>45</v>
      </c>
      <c r="H127" s="1246"/>
      <c r="I127" s="1245" t="s">
        <v>192</v>
      </c>
      <c r="J127" s="1246"/>
      <c r="K127" s="1245" t="s">
        <v>98</v>
      </c>
      <c r="L127" s="1246"/>
      <c r="M127" s="1245" t="s">
        <v>193</v>
      </c>
      <c r="N127" s="1247"/>
      <c r="O127" s="1239" t="s">
        <v>506</v>
      </c>
      <c r="P127" s="248"/>
      <c r="Q127" s="248"/>
    </row>
    <row r="128" spans="3:17" s="37" customFormat="1" x14ac:dyDescent="0.2">
      <c r="C128" s="1243"/>
      <c r="E128" s="692" t="s">
        <v>114</v>
      </c>
      <c r="F128" s="692" t="s">
        <v>48</v>
      </c>
      <c r="G128" s="692" t="s">
        <v>114</v>
      </c>
      <c r="H128" s="692" t="s">
        <v>48</v>
      </c>
      <c r="I128" s="692" t="s">
        <v>114</v>
      </c>
      <c r="J128" s="692" t="s">
        <v>48</v>
      </c>
      <c r="K128" s="692" t="s">
        <v>114</v>
      </c>
      <c r="L128" s="692" t="s">
        <v>48</v>
      </c>
      <c r="M128" s="692" t="s">
        <v>114</v>
      </c>
      <c r="N128" s="693" t="s">
        <v>48</v>
      </c>
      <c r="O128" s="1240"/>
      <c r="P128" s="248"/>
      <c r="Q128" s="248"/>
    </row>
    <row r="129" spans="3:17" s="37" customFormat="1" x14ac:dyDescent="0.2">
      <c r="C129" s="1243"/>
      <c r="D129" s="635" t="s">
        <v>507</v>
      </c>
      <c r="E129" s="694">
        <f>I119</f>
        <v>0</v>
      </c>
      <c r="F129" s="694">
        <f>H119</f>
        <v>0</v>
      </c>
      <c r="G129" s="694">
        <f>G122</f>
        <v>1772.3876005747125</v>
      </c>
      <c r="H129" s="694">
        <f>H122</f>
        <v>12335.817699999998</v>
      </c>
      <c r="I129" s="695">
        <f>E129-G129</f>
        <v>-1772.3876005747125</v>
      </c>
      <c r="J129" s="695">
        <f>F129-H129</f>
        <v>-12335.817699999998</v>
      </c>
      <c r="K129" s="696"/>
      <c r="L129" s="694"/>
      <c r="M129" s="695"/>
      <c r="N129" s="697"/>
      <c r="O129" s="698"/>
      <c r="P129" s="248"/>
      <c r="Q129" s="248"/>
    </row>
    <row r="130" spans="3:17" s="37" customFormat="1" x14ac:dyDescent="0.2">
      <c r="C130" s="1243"/>
      <c r="D130" s="635" t="s">
        <v>508</v>
      </c>
      <c r="E130" s="694">
        <f>E123</f>
        <v>4000</v>
      </c>
      <c r="F130" s="694">
        <f>F123</f>
        <v>27840</v>
      </c>
      <c r="G130" s="699">
        <v>0</v>
      </c>
      <c r="H130" s="699">
        <v>0</v>
      </c>
      <c r="I130" s="694">
        <f>E130-G130</f>
        <v>4000</v>
      </c>
      <c r="J130" s="694">
        <f>F130-H130</f>
        <v>27840</v>
      </c>
      <c r="K130" s="696"/>
      <c r="L130" s="694"/>
      <c r="M130" s="695"/>
      <c r="N130" s="697"/>
      <c r="O130" s="698"/>
      <c r="P130" s="248"/>
      <c r="Q130" s="248"/>
    </row>
    <row r="131" spans="3:17" s="37" customFormat="1" x14ac:dyDescent="0.2">
      <c r="C131" s="1243"/>
      <c r="D131" s="22" t="s">
        <v>511</v>
      </c>
      <c r="E131" s="699">
        <v>1160</v>
      </c>
      <c r="F131" s="694">
        <f>E131*6.96</f>
        <v>8073.6</v>
      </c>
      <c r="G131" s="635"/>
      <c r="H131" s="635"/>
      <c r="I131" s="635"/>
      <c r="J131" s="635"/>
      <c r="K131" s="635"/>
      <c r="L131" s="635"/>
      <c r="M131" s="635"/>
      <c r="N131" s="700"/>
      <c r="O131" s="698"/>
      <c r="P131" s="248"/>
      <c r="Q131" s="248"/>
    </row>
    <row r="132" spans="3:17" s="705" customFormat="1" ht="18" customHeight="1" thickBot="1" x14ac:dyDescent="0.3">
      <c r="C132" s="1244"/>
      <c r="D132" s="701" t="s">
        <v>152</v>
      </c>
      <c r="E132" s="706">
        <f>SUM(E129:E131)</f>
        <v>5160</v>
      </c>
      <c r="F132" s="702">
        <f>SUM(F129:F131)</f>
        <v>35913.599999999999</v>
      </c>
      <c r="G132" s="702">
        <f>SUM(G129:G131)</f>
        <v>1772.3876005747125</v>
      </c>
      <c r="H132" s="702">
        <f>SUM(H129:H131)</f>
        <v>12335.817699999998</v>
      </c>
      <c r="I132" s="702">
        <f>E132-G132</f>
        <v>3387.6123994252875</v>
      </c>
      <c r="J132" s="702">
        <f>F132-H132</f>
        <v>23577.782299999999</v>
      </c>
      <c r="K132" s="702">
        <f>E132*$E$86</f>
        <v>825.6</v>
      </c>
      <c r="L132" s="702">
        <f>F132*$E$86</f>
        <v>5746.1759999999995</v>
      </c>
      <c r="M132" s="702">
        <f>I132-K132</f>
        <v>2562.0123994252876</v>
      </c>
      <c r="N132" s="703">
        <f>J132-L132</f>
        <v>17831.606299999999</v>
      </c>
      <c r="O132" s="704">
        <f>(N132/F132)*100</f>
        <v>49.651403089637355</v>
      </c>
    </row>
    <row r="133" spans="3:17" s="37" customFormat="1" x14ac:dyDescent="0.2">
      <c r="C133" s="128"/>
      <c r="P133" s="248"/>
      <c r="Q133" s="248"/>
    </row>
    <row r="134" spans="3:17" s="37" customFormat="1" x14ac:dyDescent="0.2">
      <c r="C134" s="128"/>
      <c r="M134" s="707" t="s">
        <v>114</v>
      </c>
      <c r="N134" s="708" t="s">
        <v>48</v>
      </c>
      <c r="P134" s="248"/>
      <c r="Q134" s="248"/>
    </row>
    <row r="135" spans="3:17" s="37" customFormat="1" ht="15.75" x14ac:dyDescent="0.25">
      <c r="C135" s="128"/>
      <c r="H135" s="1241" t="s">
        <v>513</v>
      </c>
      <c r="I135" s="1241"/>
      <c r="J135" s="1241"/>
      <c r="K135" s="1241"/>
      <c r="L135" s="1241"/>
      <c r="M135" s="709">
        <f>M118+M125+M132</f>
        <v>7593.6371982758628</v>
      </c>
      <c r="N135" s="709">
        <f>N118+N125+N132</f>
        <v>52851.714899999999</v>
      </c>
      <c r="P135" s="248"/>
      <c r="Q135" s="248"/>
    </row>
    <row r="136" spans="3:17" s="37" customFormat="1" x14ac:dyDescent="0.2">
      <c r="C136" s="128"/>
      <c r="P136" s="248"/>
      <c r="Q136" s="248"/>
    </row>
    <row r="137" spans="3:17" s="37" customFormat="1" x14ac:dyDescent="0.2">
      <c r="C137" s="128"/>
      <c r="P137" s="248"/>
      <c r="Q137" s="248"/>
    </row>
    <row r="138" spans="3:17" s="37" customFormat="1" x14ac:dyDescent="0.2">
      <c r="C138" s="128"/>
      <c r="P138" s="248"/>
      <c r="Q138" s="248"/>
    </row>
    <row r="139" spans="3:17" s="37" customFormat="1" x14ac:dyDescent="0.2">
      <c r="C139" s="128"/>
      <c r="P139" s="248"/>
      <c r="Q139" s="248"/>
    </row>
    <row r="140" spans="3:17" s="37" customFormat="1" x14ac:dyDescent="0.2">
      <c r="C140" s="128"/>
      <c r="P140" s="248"/>
      <c r="Q140" s="248"/>
    </row>
    <row r="141" spans="3:17" s="37" customFormat="1" x14ac:dyDescent="0.2">
      <c r="C141" s="128"/>
      <c r="P141" s="248"/>
      <c r="Q141" s="248"/>
    </row>
    <row r="142" spans="3:17" s="37" customFormat="1" x14ac:dyDescent="0.2">
      <c r="C142" s="128"/>
      <c r="P142" s="248"/>
      <c r="Q142" s="248"/>
    </row>
    <row r="143" spans="3:17" s="37" customFormat="1" x14ac:dyDescent="0.2">
      <c r="C143" s="128"/>
      <c r="P143" s="248"/>
      <c r="Q143" s="248"/>
    </row>
    <row r="144" spans="3:17" s="37" customFormat="1" x14ac:dyDescent="0.2">
      <c r="C144" s="128"/>
      <c r="P144" s="248"/>
      <c r="Q144" s="248"/>
    </row>
    <row r="145" spans="3:17" s="37" customFormat="1" x14ac:dyDescent="0.2">
      <c r="C145" s="128"/>
      <c r="P145" s="248"/>
      <c r="Q145" s="248"/>
    </row>
    <row r="146" spans="3:17" s="37" customFormat="1" x14ac:dyDescent="0.2">
      <c r="C146" s="128"/>
      <c r="P146" s="248"/>
      <c r="Q146" s="248"/>
    </row>
    <row r="147" spans="3:17" s="37" customFormat="1" x14ac:dyDescent="0.2">
      <c r="C147" s="128"/>
      <c r="P147" s="248"/>
      <c r="Q147" s="248"/>
    </row>
    <row r="148" spans="3:17" s="37" customFormat="1" x14ac:dyDescent="0.2">
      <c r="C148" s="128"/>
      <c r="P148" s="248"/>
      <c r="Q148" s="248"/>
    </row>
    <row r="149" spans="3:17" s="37" customFormat="1" x14ac:dyDescent="0.2">
      <c r="C149" s="128"/>
      <c r="P149" s="248"/>
      <c r="Q149" s="248"/>
    </row>
    <row r="150" spans="3:17" s="37" customFormat="1" x14ac:dyDescent="0.2">
      <c r="C150" s="128"/>
      <c r="P150" s="248"/>
      <c r="Q150" s="248"/>
    </row>
    <row r="151" spans="3:17" s="37" customFormat="1" x14ac:dyDescent="0.2">
      <c r="C151" s="128"/>
      <c r="P151" s="248"/>
      <c r="Q151" s="248"/>
    </row>
    <row r="152" spans="3:17" s="37" customFormat="1" x14ac:dyDescent="0.2">
      <c r="C152" s="128"/>
      <c r="P152" s="248"/>
      <c r="Q152" s="248"/>
    </row>
    <row r="153" spans="3:17" s="37" customFormat="1" x14ac:dyDescent="0.2">
      <c r="C153" s="128"/>
      <c r="P153" s="248"/>
      <c r="Q153" s="248"/>
    </row>
    <row r="154" spans="3:17" s="37" customFormat="1" x14ac:dyDescent="0.2">
      <c r="C154" s="128"/>
      <c r="P154" s="248"/>
      <c r="Q154" s="248"/>
    </row>
    <row r="155" spans="3:17" s="37" customFormat="1" x14ac:dyDescent="0.2">
      <c r="C155" s="128"/>
      <c r="P155" s="248"/>
      <c r="Q155" s="248"/>
    </row>
    <row r="156" spans="3:17" s="37" customFormat="1" x14ac:dyDescent="0.2">
      <c r="C156" s="128"/>
      <c r="P156" s="248"/>
      <c r="Q156" s="248"/>
    </row>
    <row r="157" spans="3:17" s="37" customFormat="1" x14ac:dyDescent="0.2">
      <c r="C157" s="128"/>
      <c r="P157" s="248"/>
      <c r="Q157" s="248"/>
    </row>
    <row r="158" spans="3:17" s="37" customFormat="1" x14ac:dyDescent="0.2">
      <c r="C158" s="128"/>
      <c r="P158" s="248"/>
      <c r="Q158" s="248"/>
    </row>
    <row r="159" spans="3:17" s="37" customFormat="1" x14ac:dyDescent="0.2">
      <c r="C159" s="128"/>
      <c r="P159" s="248"/>
      <c r="Q159" s="248"/>
    </row>
    <row r="160" spans="3:17" s="37" customFormat="1" x14ac:dyDescent="0.2">
      <c r="C160" s="128"/>
      <c r="P160" s="248"/>
      <c r="Q160" s="248"/>
    </row>
    <row r="161" spans="3:17" s="37" customFormat="1" x14ac:dyDescent="0.2">
      <c r="C161" s="128"/>
      <c r="P161" s="248"/>
      <c r="Q161" s="248"/>
    </row>
    <row r="162" spans="3:17" s="37" customFormat="1" x14ac:dyDescent="0.2">
      <c r="C162" s="128"/>
      <c r="P162" s="248"/>
      <c r="Q162" s="248"/>
    </row>
    <row r="163" spans="3:17" s="37" customFormat="1" x14ac:dyDescent="0.2">
      <c r="C163" s="128"/>
      <c r="P163" s="248"/>
      <c r="Q163" s="248"/>
    </row>
    <row r="164" spans="3:17" s="37" customFormat="1" x14ac:dyDescent="0.2">
      <c r="C164" s="128"/>
      <c r="P164" s="248"/>
      <c r="Q164" s="248"/>
    </row>
    <row r="165" spans="3:17" s="37" customFormat="1" x14ac:dyDescent="0.2">
      <c r="C165" s="128"/>
      <c r="P165" s="248"/>
      <c r="Q165" s="248"/>
    </row>
    <row r="166" spans="3:17" s="37" customFormat="1" x14ac:dyDescent="0.2">
      <c r="C166" s="128"/>
      <c r="P166" s="248"/>
      <c r="Q166" s="248"/>
    </row>
    <row r="167" spans="3:17" s="37" customFormat="1" x14ac:dyDescent="0.2">
      <c r="C167" s="128"/>
      <c r="P167" s="248"/>
      <c r="Q167" s="248"/>
    </row>
    <row r="168" spans="3:17" s="37" customFormat="1" x14ac:dyDescent="0.2">
      <c r="C168" s="128"/>
      <c r="P168" s="248"/>
      <c r="Q168" s="248"/>
    </row>
    <row r="169" spans="3:17" s="37" customFormat="1" x14ac:dyDescent="0.2">
      <c r="C169" s="128"/>
      <c r="P169" s="248"/>
      <c r="Q169" s="248"/>
    </row>
    <row r="170" spans="3:17" s="37" customFormat="1" x14ac:dyDescent="0.2">
      <c r="C170" s="128"/>
      <c r="P170" s="248"/>
      <c r="Q170" s="248"/>
    </row>
    <row r="171" spans="3:17" s="37" customFormat="1" x14ac:dyDescent="0.2">
      <c r="C171" s="128"/>
      <c r="P171" s="248"/>
      <c r="Q171" s="248"/>
    </row>
    <row r="172" spans="3:17" s="37" customFormat="1" x14ac:dyDescent="0.2">
      <c r="C172" s="128"/>
      <c r="P172" s="248"/>
      <c r="Q172" s="248"/>
    </row>
    <row r="173" spans="3:17" s="37" customFormat="1" x14ac:dyDescent="0.2">
      <c r="C173" s="128"/>
      <c r="P173" s="248"/>
      <c r="Q173" s="248"/>
    </row>
    <row r="174" spans="3:17" s="37" customFormat="1" ht="13.5" thickBot="1" x14ac:dyDescent="0.25">
      <c r="C174" s="128"/>
      <c r="K174" s="144"/>
      <c r="L174" s="144"/>
      <c r="M174" s="144"/>
      <c r="N174" s="144"/>
      <c r="P174" s="248"/>
      <c r="Q174" s="248"/>
    </row>
    <row r="175" spans="3:17" s="37" customFormat="1" x14ac:dyDescent="0.2">
      <c r="C175" s="128"/>
      <c r="K175" s="1"/>
      <c r="L175" s="1"/>
      <c r="M175" s="1"/>
      <c r="N175" s="1"/>
      <c r="P175" s="248"/>
      <c r="Q175" s="248"/>
    </row>
    <row r="176" spans="3:17" s="37" customFormat="1" x14ac:dyDescent="0.2">
      <c r="C176" s="128"/>
      <c r="K176" s="1"/>
      <c r="L176" s="1"/>
      <c r="M176" s="1"/>
      <c r="N176" s="1"/>
      <c r="P176" s="248"/>
      <c r="Q176" s="248"/>
    </row>
    <row r="177" spans="3:17" s="37" customFormat="1" x14ac:dyDescent="0.2">
      <c r="C177" s="128"/>
      <c r="K177" s="1"/>
      <c r="L177" s="1"/>
      <c r="M177" s="1"/>
      <c r="N177" s="1"/>
      <c r="P177" s="248"/>
      <c r="Q177" s="248"/>
    </row>
    <row r="178" spans="3:17" s="37" customFormat="1" x14ac:dyDescent="0.2">
      <c r="C178" s="128"/>
      <c r="K178" s="1"/>
      <c r="L178" s="1"/>
      <c r="M178" s="1"/>
      <c r="N178" s="1"/>
      <c r="P178" s="248"/>
      <c r="Q178" s="248"/>
    </row>
    <row r="179" spans="3:17" s="37" customFormat="1" x14ac:dyDescent="0.2">
      <c r="C179" s="128"/>
      <c r="K179" s="1"/>
      <c r="L179" s="1"/>
      <c r="M179" s="1"/>
      <c r="N179" s="1"/>
      <c r="P179" s="248"/>
      <c r="Q179" s="248"/>
    </row>
    <row r="180" spans="3:17" s="37" customFormat="1" x14ac:dyDescent="0.2">
      <c r="C180" s="128"/>
      <c r="K180" s="1"/>
      <c r="L180" s="1"/>
      <c r="M180" s="1"/>
      <c r="N180" s="1"/>
      <c r="P180" s="248"/>
      <c r="Q180" s="248"/>
    </row>
    <row r="181" spans="3:17" s="37" customFormat="1" x14ac:dyDescent="0.2">
      <c r="C181" s="128"/>
      <c r="K181" s="1"/>
      <c r="L181" s="1"/>
      <c r="M181" s="1"/>
      <c r="N181" s="1"/>
      <c r="P181" s="248"/>
      <c r="Q181" s="248"/>
    </row>
    <row r="182" spans="3:17" s="144" customFormat="1" ht="13.5" thickBot="1" x14ac:dyDescent="0.25">
      <c r="C182" s="140"/>
      <c r="K182" s="1"/>
      <c r="L182" s="1"/>
      <c r="M182" s="1"/>
      <c r="N182" s="1"/>
      <c r="P182" s="272"/>
      <c r="Q182" s="272"/>
    </row>
  </sheetData>
  <sheetProtection selectLockedCells="1"/>
  <mergeCells count="75">
    <mergeCell ref="E11:M11"/>
    <mergeCell ref="C1:D1"/>
    <mergeCell ref="E1:I2"/>
    <mergeCell ref="C2:D2"/>
    <mergeCell ref="C3:D3"/>
    <mergeCell ref="E3:I4"/>
    <mergeCell ref="C4:D4"/>
    <mergeCell ref="C5:D5"/>
    <mergeCell ref="E5:I7"/>
    <mergeCell ref="C6:D6"/>
    <mergeCell ref="C7:D7"/>
    <mergeCell ref="E10:H10"/>
    <mergeCell ref="F46:G46"/>
    <mergeCell ref="E12:H12"/>
    <mergeCell ref="E13:L13"/>
    <mergeCell ref="E14:H14"/>
    <mergeCell ref="B16:C16"/>
    <mergeCell ref="B27:C27"/>
    <mergeCell ref="D27:I27"/>
    <mergeCell ref="C29:C30"/>
    <mergeCell ref="D29:D30"/>
    <mergeCell ref="E29:E30"/>
    <mergeCell ref="F29:G29"/>
    <mergeCell ref="H29:I29"/>
    <mergeCell ref="B48:C48"/>
    <mergeCell ref="D48:I48"/>
    <mergeCell ref="C50:C51"/>
    <mergeCell ref="D50:D51"/>
    <mergeCell ref="E50:E51"/>
    <mergeCell ref="F50:F51"/>
    <mergeCell ref="G50:H50"/>
    <mergeCell ref="I50:J50"/>
    <mergeCell ref="G74:H74"/>
    <mergeCell ref="B76:C76"/>
    <mergeCell ref="D76:I76"/>
    <mergeCell ref="D78:D79"/>
    <mergeCell ref="E78:F78"/>
    <mergeCell ref="G78:H78"/>
    <mergeCell ref="B88:C88"/>
    <mergeCell ref="D88:O88"/>
    <mergeCell ref="D95:D96"/>
    <mergeCell ref="E95:F95"/>
    <mergeCell ref="G95:H95"/>
    <mergeCell ref="I95:J95"/>
    <mergeCell ref="K95:L95"/>
    <mergeCell ref="M95:N95"/>
    <mergeCell ref="O95:O96"/>
    <mergeCell ref="B99:C99"/>
    <mergeCell ref="B102:C102"/>
    <mergeCell ref="E102:F102"/>
    <mergeCell ref="G102:H102"/>
    <mergeCell ref="B111:C111"/>
    <mergeCell ref="D111:O111"/>
    <mergeCell ref="O113:O114"/>
    <mergeCell ref="C120:C125"/>
    <mergeCell ref="E120:F120"/>
    <mergeCell ref="G120:H120"/>
    <mergeCell ref="I120:J120"/>
    <mergeCell ref="K120:L120"/>
    <mergeCell ref="M120:N120"/>
    <mergeCell ref="O120:O121"/>
    <mergeCell ref="C113:C118"/>
    <mergeCell ref="E113:F113"/>
    <mergeCell ref="G113:H113"/>
    <mergeCell ref="I113:J113"/>
    <mergeCell ref="K113:L113"/>
    <mergeCell ref="M113:N113"/>
    <mergeCell ref="O127:O128"/>
    <mergeCell ref="H135:L135"/>
    <mergeCell ref="C127:C132"/>
    <mergeCell ref="E127:F127"/>
    <mergeCell ref="G127:H127"/>
    <mergeCell ref="I127:J127"/>
    <mergeCell ref="K127:L127"/>
    <mergeCell ref="M127:N127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499984740745262"/>
    <pageSetUpPr fitToPage="1"/>
  </sheetPr>
  <dimension ref="A1:P88"/>
  <sheetViews>
    <sheetView zoomScaleNormal="100" workbookViewId="0">
      <selection activeCell="E44" sqref="E44"/>
    </sheetView>
  </sheetViews>
  <sheetFormatPr baseColWidth="10" defaultColWidth="11.42578125" defaultRowHeight="12.75" x14ac:dyDescent="0.2"/>
  <cols>
    <col min="1" max="1" width="4.5703125" style="30" bestFit="1" customWidth="1"/>
    <col min="2" max="2" width="18.7109375" style="404" customWidth="1"/>
    <col min="3" max="3" width="22.5703125" style="404" customWidth="1"/>
    <col min="4" max="4" width="17.140625" style="1" bestFit="1" customWidth="1"/>
    <col min="5" max="5" width="13.7109375" style="1" customWidth="1"/>
    <col min="6" max="6" width="14.140625" style="1" customWidth="1"/>
    <col min="7" max="7" width="13.7109375" style="1" customWidth="1"/>
    <col min="8" max="11" width="14.140625" style="1" customWidth="1"/>
    <col min="12" max="12" width="10.28515625" style="1" bestFit="1" customWidth="1"/>
    <col min="13" max="13" width="11.42578125" style="1" customWidth="1"/>
    <col min="14" max="14" width="19.28515625" style="1" customWidth="1"/>
    <col min="15" max="16384" width="11.42578125" style="1"/>
  </cols>
  <sheetData>
    <row r="1" spans="1:16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</row>
    <row r="2" spans="1:16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</row>
    <row r="3" spans="1:16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</row>
    <row r="4" spans="1:16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</row>
    <row r="5" spans="1:16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</row>
    <row r="6" spans="1:16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M6" s="2"/>
      <c r="N6" s="2"/>
      <c r="O6" s="2"/>
      <c r="P6" s="2"/>
    </row>
    <row r="7" spans="1:16" x14ac:dyDescent="0.2">
      <c r="B7" s="1"/>
      <c r="C7" s="1"/>
      <c r="D7" s="375" t="s">
        <v>26</v>
      </c>
      <c r="E7" s="375" t="s">
        <v>27</v>
      </c>
      <c r="F7" s="375" t="s">
        <v>53</v>
      </c>
      <c r="M7" s="2"/>
      <c r="N7" s="16" t="s">
        <v>28</v>
      </c>
      <c r="O7" s="17"/>
      <c r="P7" s="2"/>
    </row>
    <row r="8" spans="1:16" x14ac:dyDescent="0.2">
      <c r="B8" s="376" t="s">
        <v>29</v>
      </c>
      <c r="C8" s="353"/>
      <c r="D8" s="371"/>
      <c r="E8" s="371"/>
      <c r="F8" s="371">
        <v>1</v>
      </c>
      <c r="M8" s="2"/>
      <c r="N8" s="16"/>
      <c r="O8" s="17"/>
      <c r="P8" s="2"/>
    </row>
    <row r="9" spans="1:16" x14ac:dyDescent="0.2">
      <c r="B9" s="1031" t="s">
        <v>5</v>
      </c>
      <c r="C9" s="354"/>
      <c r="D9" s="371">
        <f>3*12</f>
        <v>36</v>
      </c>
      <c r="E9" s="372">
        <f>+D9/12</f>
        <v>3</v>
      </c>
      <c r="F9" s="373">
        <v>1</v>
      </c>
      <c r="M9" s="2"/>
      <c r="N9" s="16" t="s">
        <v>33</v>
      </c>
      <c r="O9" s="17"/>
      <c r="P9" s="2"/>
    </row>
    <row r="10" spans="1:16" x14ac:dyDescent="0.2">
      <c r="B10" s="1031"/>
      <c r="C10" s="354"/>
      <c r="D10" s="370">
        <f>(2+2+2+6+4+1+2)*3</f>
        <v>57</v>
      </c>
      <c r="E10" s="372">
        <f>+D10/12</f>
        <v>4.75</v>
      </c>
      <c r="F10" s="373">
        <v>1</v>
      </c>
      <c r="M10" s="2"/>
      <c r="N10" s="16"/>
      <c r="O10" s="17"/>
      <c r="P10" s="2"/>
    </row>
    <row r="11" spans="1:16" s="30" customFormat="1" ht="13.5" thickBot="1" x14ac:dyDescent="0.25">
      <c r="A11" s="27"/>
      <c r="B11" s="31"/>
      <c r="D11" s="374">
        <f>SUM(D8:D10)</f>
        <v>93</v>
      </c>
      <c r="E11" s="374">
        <f t="shared" ref="E11" si="0">SUM(E8:E10)</f>
        <v>7.75</v>
      </c>
      <c r="F11" s="374">
        <f>SUM(F8:F10)</f>
        <v>3</v>
      </c>
      <c r="M11" s="33"/>
      <c r="N11" s="33"/>
      <c r="O11" s="33"/>
      <c r="P11" s="33"/>
    </row>
    <row r="12" spans="1:16" s="30" customFormat="1" ht="13.5" thickTop="1" x14ac:dyDescent="0.2">
      <c r="A12" s="27"/>
      <c r="B12" s="125"/>
      <c r="C12" s="406"/>
      <c r="F12" s="31"/>
      <c r="G12" s="31"/>
      <c r="I12" s="366"/>
      <c r="J12" s="366"/>
      <c r="K12" s="367"/>
      <c r="M12" s="33"/>
      <c r="N12" s="33"/>
      <c r="O12" s="33"/>
      <c r="P12" s="33"/>
    </row>
    <row r="13" spans="1:16" ht="14.25" x14ac:dyDescent="0.2">
      <c r="A13" s="424"/>
      <c r="B13" s="1024" t="s">
        <v>36</v>
      </c>
      <c r="C13" s="1024"/>
      <c r="D13" s="1024"/>
      <c r="E13" s="1024"/>
      <c r="F13" s="1024"/>
      <c r="G13" s="1024"/>
      <c r="H13" s="1024"/>
      <c r="I13" s="1024"/>
      <c r="J13" s="1024"/>
      <c r="K13" s="1024"/>
      <c r="M13" s="2"/>
      <c r="N13" s="2"/>
      <c r="O13" s="2"/>
      <c r="P13" s="2"/>
    </row>
    <row r="14" spans="1:16" ht="13.5" thickBot="1" x14ac:dyDescent="0.25">
      <c r="B14" s="365"/>
      <c r="J14" s="37"/>
      <c r="M14" s="2"/>
      <c r="N14" s="2"/>
      <c r="O14" s="2"/>
      <c r="P14" s="2"/>
    </row>
    <row r="15" spans="1:16" s="38" customFormat="1" ht="14.25" x14ac:dyDescent="0.2">
      <c r="A15" s="440"/>
      <c r="B15" s="1032" t="s">
        <v>40</v>
      </c>
      <c r="C15" s="1172"/>
      <c r="D15" s="1174" t="s">
        <v>42</v>
      </c>
      <c r="E15" s="1033" t="s">
        <v>43</v>
      </c>
      <c r="F15" s="39" t="s">
        <v>386</v>
      </c>
      <c r="G15" s="1033" t="s">
        <v>43</v>
      </c>
      <c r="H15" s="1038" t="s">
        <v>46</v>
      </c>
      <c r="I15" s="1039"/>
      <c r="J15" s="1040" t="s">
        <v>47</v>
      </c>
      <c r="K15" s="1041"/>
    </row>
    <row r="16" spans="1:16" x14ac:dyDescent="0.2">
      <c r="B16" s="1034"/>
      <c r="C16" s="1173"/>
      <c r="D16" s="1175"/>
      <c r="E16" s="1035"/>
      <c r="F16" s="362" t="s">
        <v>48</v>
      </c>
      <c r="G16" s="1035"/>
      <c r="H16" s="362" t="s">
        <v>49</v>
      </c>
      <c r="I16" s="363" t="s">
        <v>48</v>
      </c>
      <c r="J16" s="362" t="s">
        <v>49</v>
      </c>
      <c r="K16" s="361" t="s">
        <v>48</v>
      </c>
    </row>
    <row r="17" spans="2:12" ht="13.5" thickBot="1" x14ac:dyDescent="0.25">
      <c r="B17" s="1210" t="s">
        <v>50</v>
      </c>
      <c r="C17" s="1211"/>
      <c r="D17" s="46"/>
      <c r="E17" s="47"/>
      <c r="F17" s="45"/>
      <c r="G17" s="47"/>
      <c r="H17" s="49"/>
      <c r="I17" s="46"/>
      <c r="J17" s="45"/>
      <c r="K17" s="47"/>
    </row>
    <row r="18" spans="2:12" s="31" customFormat="1" ht="13.5" thickBot="1" x14ac:dyDescent="0.25">
      <c r="B18" s="1027" t="s">
        <v>51</v>
      </c>
      <c r="C18" s="1327"/>
      <c r="D18" s="448">
        <f>SUM(D19:D20)</f>
        <v>43092.621111111119</v>
      </c>
      <c r="E18" s="416"/>
      <c r="F18" s="417">
        <f>+F19+F20</f>
        <v>43092.621111111119</v>
      </c>
      <c r="G18" s="416"/>
      <c r="H18" s="417"/>
      <c r="I18" s="423">
        <f>SUM(I19:I20)</f>
        <v>43092.621111111119</v>
      </c>
      <c r="J18" s="417"/>
      <c r="K18" s="416">
        <f>SUM(K19:K20)</f>
        <v>43092.621111111119</v>
      </c>
    </row>
    <row r="19" spans="2:12" ht="13.5" thickBot="1" x14ac:dyDescent="0.25">
      <c r="B19" s="1179" t="str">
        <f>+'OI-RLP'!B38</f>
        <v xml:space="preserve">       GASTOS PERSONAL DEPENDIENTE</v>
      </c>
      <c r="C19" s="1180"/>
      <c r="D19" s="462">
        <f>+'OI-RLP'!O38</f>
        <v>43068.261111111118</v>
      </c>
      <c r="E19" s="350" t="s">
        <v>27</v>
      </c>
      <c r="F19" s="420">
        <f>+D19</f>
        <v>43068.261111111118</v>
      </c>
      <c r="G19" s="438" t="s">
        <v>389</v>
      </c>
      <c r="H19" s="59" t="s">
        <v>54</v>
      </c>
      <c r="I19" s="60">
        <f>IF($H19="S",F19,0)</f>
        <v>43068.261111111118</v>
      </c>
      <c r="J19" s="59" t="s">
        <v>54</v>
      </c>
      <c r="K19" s="62">
        <f>IF($J19="S",F19,0)</f>
        <v>43068.261111111118</v>
      </c>
      <c r="L19" s="148"/>
    </row>
    <row r="20" spans="2:12" ht="13.5" thickBot="1" x14ac:dyDescent="0.25">
      <c r="B20" s="1170" t="str">
        <f>+'OI-RLP'!B46</f>
        <v xml:space="preserve">      GASTOS PERSONAL EXTERNO</v>
      </c>
      <c r="C20" s="1171"/>
      <c r="D20" s="463">
        <f>+'OI-RLP'!O46</f>
        <v>24.36</v>
      </c>
      <c r="E20" s="350" t="s">
        <v>27</v>
      </c>
      <c r="F20" s="421">
        <f>+D20</f>
        <v>24.36</v>
      </c>
      <c r="G20" s="438" t="s">
        <v>389</v>
      </c>
      <c r="H20" s="68" t="s">
        <v>54</v>
      </c>
      <c r="I20" s="60">
        <f>IF($H20="S",F20,0)</f>
        <v>24.36</v>
      </c>
      <c r="J20" s="355" t="s">
        <v>54</v>
      </c>
      <c r="K20" s="70">
        <f>IF($J20="S",F20,0)</f>
        <v>24.36</v>
      </c>
    </row>
    <row r="21" spans="2:12" s="31" customFormat="1" ht="13.5" thickBot="1" x14ac:dyDescent="0.25">
      <c r="B21" s="1044" t="s">
        <v>58</v>
      </c>
      <c r="C21" s="1326"/>
      <c r="D21" s="464">
        <f>SUM(D22:D51)</f>
        <v>21782.430421455945</v>
      </c>
      <c r="E21" s="416"/>
      <c r="F21" s="464">
        <f>SUM(F22:F51)</f>
        <v>21782.430421455945</v>
      </c>
      <c r="G21" s="416"/>
      <c r="H21" s="417"/>
      <c r="I21" s="464">
        <f>SUM(I22:I51)</f>
        <v>21782.430421455945</v>
      </c>
      <c r="J21" s="417"/>
      <c r="K21" s="464">
        <f>SUM(K22:K51)</f>
        <v>21782.430421455945</v>
      </c>
    </row>
    <row r="22" spans="2:12" s="31" customFormat="1" x14ac:dyDescent="0.2">
      <c r="B22" s="1227" t="str">
        <f>+'OI-RLP'!B52</f>
        <v xml:space="preserve">         MATERIAL DE ESCRITORIO</v>
      </c>
      <c r="C22" s="1328"/>
      <c r="D22" s="451">
        <f>+'OI-RLP'!O52</f>
        <v>324.79222222222216</v>
      </c>
      <c r="E22" s="422" t="s">
        <v>27</v>
      </c>
      <c r="F22" s="436">
        <f>+D22</f>
        <v>324.79222222222216</v>
      </c>
      <c r="G22" s="438" t="s">
        <v>389</v>
      </c>
      <c r="H22" s="59" t="s">
        <v>54</v>
      </c>
      <c r="I22" s="60">
        <f>IF($H22="S",F22,0)</f>
        <v>324.79222222222216</v>
      </c>
      <c r="J22" s="78" t="s">
        <v>54</v>
      </c>
      <c r="K22" s="62">
        <f>IF($J22="S",F22,0)</f>
        <v>324.79222222222216</v>
      </c>
    </row>
    <row r="23" spans="2:12" s="31" customFormat="1" x14ac:dyDescent="0.2">
      <c r="B23" s="1215" t="str">
        <f>+'OI-RLP'!B53</f>
        <v xml:space="preserve">         SERVICIOS EXTERNOS  </v>
      </c>
      <c r="C23" s="1216"/>
      <c r="D23" s="452">
        <f>+'OI-RLP'!O53</f>
        <v>6207.7811111111114</v>
      </c>
      <c r="E23" s="422" t="s">
        <v>27</v>
      </c>
      <c r="F23" s="436">
        <f t="shared" ref="F23:F51" si="1">+D23</f>
        <v>6207.7811111111114</v>
      </c>
      <c r="G23" s="432" t="s">
        <v>389</v>
      </c>
      <c r="H23" s="358" t="s">
        <v>54</v>
      </c>
      <c r="I23" s="60">
        <f>IF($H23="S",F23,0)</f>
        <v>6207.7811111111114</v>
      </c>
      <c r="J23" s="78" t="s">
        <v>54</v>
      </c>
      <c r="K23" s="62">
        <f t="shared" ref="K23:K51" si="2">IF($J23="S",F23,0)</f>
        <v>6207.7811111111114</v>
      </c>
    </row>
    <row r="24" spans="2:12" s="31" customFormat="1" x14ac:dyDescent="0.2">
      <c r="B24" s="1215" t="str">
        <f>+'OI-RLP'!B54</f>
        <v xml:space="preserve">         SERVICIO DE COURIER</v>
      </c>
      <c r="C24" s="1216"/>
      <c r="D24" s="452">
        <f>+'OI-RLP'!O54</f>
        <v>23.49</v>
      </c>
      <c r="E24" s="422" t="s">
        <v>27</v>
      </c>
      <c r="F24" s="436">
        <f t="shared" si="1"/>
        <v>23.49</v>
      </c>
      <c r="G24" s="432" t="s">
        <v>389</v>
      </c>
      <c r="H24" s="78" t="s">
        <v>54</v>
      </c>
      <c r="I24" s="60">
        <f t="shared" ref="I24:I51" si="3">IF($H24="S",F24,0)</f>
        <v>23.49</v>
      </c>
      <c r="J24" s="78" t="s">
        <v>54</v>
      </c>
      <c r="K24" s="62">
        <f t="shared" si="2"/>
        <v>23.49</v>
      </c>
    </row>
    <row r="25" spans="2:12" s="31" customFormat="1" x14ac:dyDescent="0.2">
      <c r="B25" s="1215" t="str">
        <f>+'OI-RLP'!B55</f>
        <v xml:space="preserve">         SERVICIOS Y COMUNICACIONES</v>
      </c>
      <c r="C25" s="1216"/>
      <c r="D25" s="452">
        <f>+'OI-RLP'!O55</f>
        <v>1514.6844444444444</v>
      </c>
      <c r="E25" s="422" t="s">
        <v>27</v>
      </c>
      <c r="F25" s="436">
        <f t="shared" si="1"/>
        <v>1514.6844444444444</v>
      </c>
      <c r="G25" s="432" t="s">
        <v>389</v>
      </c>
      <c r="H25" s="78" t="s">
        <v>54</v>
      </c>
      <c r="I25" s="60">
        <f t="shared" si="3"/>
        <v>1514.6844444444444</v>
      </c>
      <c r="J25" s="78" t="s">
        <v>54</v>
      </c>
      <c r="K25" s="62">
        <f t="shared" si="2"/>
        <v>1514.6844444444444</v>
      </c>
    </row>
    <row r="26" spans="2:12" s="31" customFormat="1" x14ac:dyDescent="0.2">
      <c r="B26" s="1215" t="str">
        <f>+'OI-RLP'!B56</f>
        <v xml:space="preserve">         SERVICIO DE SEGURIDAD</v>
      </c>
      <c r="C26" s="1216"/>
      <c r="D26" s="452">
        <f>+'OI-RLP'!O56</f>
        <v>634.29777777777792</v>
      </c>
      <c r="E26" s="422" t="s">
        <v>27</v>
      </c>
      <c r="F26" s="436">
        <f t="shared" si="1"/>
        <v>634.29777777777792</v>
      </c>
      <c r="G26" s="432" t="s">
        <v>389</v>
      </c>
      <c r="H26" s="78" t="s">
        <v>54</v>
      </c>
      <c r="I26" s="60">
        <f t="shared" si="3"/>
        <v>634.29777777777792</v>
      </c>
      <c r="J26" s="78" t="s">
        <v>54</v>
      </c>
      <c r="K26" s="62">
        <f t="shared" si="2"/>
        <v>634.29777777777792</v>
      </c>
    </row>
    <row r="27" spans="2:12" s="31" customFormat="1" x14ac:dyDescent="0.2">
      <c r="B27" s="1215" t="str">
        <f>+'OI-RLP'!B57</f>
        <v xml:space="preserve">         REFRIGERIOS CURSOS-COMITÉS-OTROS</v>
      </c>
      <c r="C27" s="1216"/>
      <c r="D27" s="452">
        <f>+'OI-RLP'!O57</f>
        <v>76.167777777777772</v>
      </c>
      <c r="E27" s="422" t="s">
        <v>27</v>
      </c>
      <c r="F27" s="436">
        <f t="shared" si="1"/>
        <v>76.167777777777772</v>
      </c>
      <c r="G27" s="432" t="s">
        <v>389</v>
      </c>
      <c r="H27" s="78" t="s">
        <v>54</v>
      </c>
      <c r="I27" s="60">
        <f t="shared" si="3"/>
        <v>76.167777777777772</v>
      </c>
      <c r="J27" s="78" t="s">
        <v>54</v>
      </c>
      <c r="K27" s="62">
        <f t="shared" si="2"/>
        <v>76.167777777777772</v>
      </c>
    </row>
    <row r="28" spans="2:12" s="31" customFormat="1" x14ac:dyDescent="0.2">
      <c r="B28" s="1215" t="str">
        <f>+'OI-RLP'!B58</f>
        <v xml:space="preserve">         REPARACION Y MANTENIMIENTO</v>
      </c>
      <c r="C28" s="1216"/>
      <c r="D28" s="452">
        <f>+'OI-RLP'!O58</f>
        <v>0</v>
      </c>
      <c r="E28" s="422" t="s">
        <v>27</v>
      </c>
      <c r="F28" s="436">
        <f t="shared" si="1"/>
        <v>0</v>
      </c>
      <c r="G28" s="432" t="s">
        <v>389</v>
      </c>
      <c r="H28" s="78" t="s">
        <v>54</v>
      </c>
      <c r="I28" s="60">
        <f t="shared" si="3"/>
        <v>0</v>
      </c>
      <c r="J28" s="78" t="s">
        <v>54</v>
      </c>
      <c r="K28" s="62">
        <f t="shared" si="2"/>
        <v>0</v>
      </c>
    </row>
    <row r="29" spans="2:12" s="31" customFormat="1" x14ac:dyDescent="0.2">
      <c r="B29" s="1215" t="str">
        <f>+'OI-RLP'!B59</f>
        <v xml:space="preserve">         ALQUILER OFICINAS</v>
      </c>
      <c r="C29" s="1216"/>
      <c r="D29" s="452">
        <f>+'OI-RLP'!O59</f>
        <v>0</v>
      </c>
      <c r="E29" s="422" t="s">
        <v>27</v>
      </c>
      <c r="F29" s="436">
        <f t="shared" si="1"/>
        <v>0</v>
      </c>
      <c r="G29" s="432" t="s">
        <v>389</v>
      </c>
      <c r="H29" s="78" t="s">
        <v>54</v>
      </c>
      <c r="I29" s="60">
        <f t="shared" si="3"/>
        <v>0</v>
      </c>
      <c r="J29" s="78" t="s">
        <v>54</v>
      </c>
      <c r="K29" s="62">
        <f t="shared" si="2"/>
        <v>0</v>
      </c>
    </row>
    <row r="30" spans="2:12" s="31" customFormat="1" x14ac:dyDescent="0.2">
      <c r="B30" s="1215" t="str">
        <f>+'OI-RLP'!B60</f>
        <v xml:space="preserve">         ALQUILER OTROS</v>
      </c>
      <c r="C30" s="1216"/>
      <c r="D30" s="452">
        <f>+'OI-RLP'!O60</f>
        <v>0</v>
      </c>
      <c r="E30" s="422" t="s">
        <v>27</v>
      </c>
      <c r="F30" s="436">
        <f t="shared" si="1"/>
        <v>0</v>
      </c>
      <c r="G30" s="432" t="s">
        <v>389</v>
      </c>
      <c r="H30" s="78" t="s">
        <v>54</v>
      </c>
      <c r="I30" s="60">
        <f t="shared" si="3"/>
        <v>0</v>
      </c>
      <c r="J30" s="78" t="s">
        <v>54</v>
      </c>
      <c r="K30" s="62">
        <f t="shared" si="2"/>
        <v>0</v>
      </c>
    </row>
    <row r="31" spans="2:12" s="31" customFormat="1" x14ac:dyDescent="0.2">
      <c r="B31" s="1215" t="str">
        <f>+'OI-RLP'!B61</f>
        <v xml:space="preserve">         SEGUROS</v>
      </c>
      <c r="C31" s="1216"/>
      <c r="D31" s="452">
        <f>+'OI-RLP'!O61</f>
        <v>226.06</v>
      </c>
      <c r="E31" s="422" t="s">
        <v>27</v>
      </c>
      <c r="F31" s="436">
        <f t="shared" si="1"/>
        <v>226.06</v>
      </c>
      <c r="G31" s="432" t="s">
        <v>389</v>
      </c>
      <c r="H31" s="78" t="s">
        <v>54</v>
      </c>
      <c r="I31" s="60">
        <f t="shared" si="3"/>
        <v>226.06</v>
      </c>
      <c r="J31" s="78" t="s">
        <v>54</v>
      </c>
      <c r="K31" s="62">
        <f t="shared" si="2"/>
        <v>226.06</v>
      </c>
    </row>
    <row r="32" spans="2:12" s="31" customFormat="1" x14ac:dyDescent="0.2">
      <c r="B32" s="1215" t="str">
        <f>+'OI-RLP'!B62</f>
        <v xml:space="preserve">         IMPUESTO A LAS TRANSACCIONES</v>
      </c>
      <c r="C32" s="1216"/>
      <c r="D32" s="452">
        <f>+'OI-RLP'!O62</f>
        <v>5027.0659770114944</v>
      </c>
      <c r="E32" s="422" t="s">
        <v>27</v>
      </c>
      <c r="F32" s="436">
        <f t="shared" si="1"/>
        <v>5027.0659770114944</v>
      </c>
      <c r="G32" s="432" t="s">
        <v>389</v>
      </c>
      <c r="H32" s="78" t="s">
        <v>54</v>
      </c>
      <c r="I32" s="60">
        <f t="shared" si="3"/>
        <v>5027.0659770114944</v>
      </c>
      <c r="J32" s="78" t="s">
        <v>54</v>
      </c>
      <c r="K32" s="62">
        <f t="shared" si="2"/>
        <v>5027.0659770114944</v>
      </c>
    </row>
    <row r="33" spans="2:11" s="31" customFormat="1" x14ac:dyDescent="0.2">
      <c r="B33" s="1215" t="str">
        <f>+'OI-RLP'!B63</f>
        <v xml:space="preserve">         DEPRECIACION DE ACTIVOS FIJOS</v>
      </c>
      <c r="C33" s="1216"/>
      <c r="D33" s="452">
        <f>+'OI-RLP'!O63</f>
        <v>0</v>
      </c>
      <c r="E33" s="422" t="s">
        <v>27</v>
      </c>
      <c r="F33" s="436">
        <f t="shared" si="1"/>
        <v>0</v>
      </c>
      <c r="G33" s="432" t="s">
        <v>389</v>
      </c>
      <c r="H33" s="78" t="s">
        <v>54</v>
      </c>
      <c r="I33" s="60">
        <f t="shared" si="3"/>
        <v>0</v>
      </c>
      <c r="J33" s="78" t="s">
        <v>54</v>
      </c>
      <c r="K33" s="62">
        <f t="shared" si="2"/>
        <v>0</v>
      </c>
    </row>
    <row r="34" spans="2:11" s="31" customFormat="1" x14ac:dyDescent="0.2">
      <c r="B34" s="1215" t="str">
        <f>+'OI-RLP'!B64</f>
        <v xml:space="preserve">         AMORTIZACION OTROS ACTIVOS</v>
      </c>
      <c r="C34" s="1216"/>
      <c r="D34" s="452">
        <f>+'OI-RLP'!O64</f>
        <v>0</v>
      </c>
      <c r="E34" s="422" t="s">
        <v>27</v>
      </c>
      <c r="F34" s="436">
        <f t="shared" si="1"/>
        <v>0</v>
      </c>
      <c r="G34" s="432" t="s">
        <v>389</v>
      </c>
      <c r="H34" s="78" t="s">
        <v>54</v>
      </c>
      <c r="I34" s="60">
        <f t="shared" si="3"/>
        <v>0</v>
      </c>
      <c r="J34" s="78" t="s">
        <v>54</v>
      </c>
      <c r="K34" s="62">
        <f t="shared" si="2"/>
        <v>0</v>
      </c>
    </row>
    <row r="35" spans="2:11" s="31" customFormat="1" x14ac:dyDescent="0.2">
      <c r="B35" s="1215" t="str">
        <f>+'OI-RLP'!B65</f>
        <v xml:space="preserve">         SERVICIO DE FOTOCOPIAS</v>
      </c>
      <c r="C35" s="1216"/>
      <c r="D35" s="452">
        <f>+'OI-RLP'!O65</f>
        <v>17.333333333333332</v>
      </c>
      <c r="E35" s="422" t="s">
        <v>27</v>
      </c>
      <c r="F35" s="436">
        <f t="shared" si="1"/>
        <v>17.333333333333332</v>
      </c>
      <c r="G35" s="432" t="s">
        <v>389</v>
      </c>
      <c r="H35" s="78" t="s">
        <v>54</v>
      </c>
      <c r="I35" s="60">
        <f t="shared" si="3"/>
        <v>17.333333333333332</v>
      </c>
      <c r="J35" s="78" t="s">
        <v>54</v>
      </c>
      <c r="K35" s="62">
        <f t="shared" si="2"/>
        <v>17.333333333333332</v>
      </c>
    </row>
    <row r="36" spans="2:11" s="31" customFormat="1" x14ac:dyDescent="0.2">
      <c r="B36" s="1215" t="str">
        <f>+'OI-RLP'!B66</f>
        <v xml:space="preserve">         PASAJES Y VIATICOS</v>
      </c>
      <c r="C36" s="1216"/>
      <c r="D36" s="452">
        <f>+'OI-RLP'!O66</f>
        <v>2469.2822222222221</v>
      </c>
      <c r="E36" s="422" t="s">
        <v>27</v>
      </c>
      <c r="F36" s="436">
        <f t="shared" si="1"/>
        <v>2469.2822222222221</v>
      </c>
      <c r="G36" s="432" t="s">
        <v>389</v>
      </c>
      <c r="H36" s="78" t="s">
        <v>54</v>
      </c>
      <c r="I36" s="60">
        <f t="shared" si="3"/>
        <v>2469.2822222222221</v>
      </c>
      <c r="J36" s="78" t="s">
        <v>54</v>
      </c>
      <c r="K36" s="62">
        <f t="shared" si="2"/>
        <v>2469.2822222222221</v>
      </c>
    </row>
    <row r="37" spans="2:11" s="31" customFormat="1" x14ac:dyDescent="0.2">
      <c r="B37" s="1215" t="str">
        <f>+'OI-RLP'!B67</f>
        <v xml:space="preserve">         GASTOS BANCARIOS</v>
      </c>
      <c r="C37" s="1216"/>
      <c r="D37" s="452">
        <f>+'OI-RLP'!O67</f>
        <v>20.783333333333335</v>
      </c>
      <c r="E37" s="422" t="s">
        <v>27</v>
      </c>
      <c r="F37" s="436">
        <f t="shared" si="1"/>
        <v>20.783333333333335</v>
      </c>
      <c r="G37" s="432" t="s">
        <v>389</v>
      </c>
      <c r="H37" s="78" t="s">
        <v>54</v>
      </c>
      <c r="I37" s="60">
        <f t="shared" si="3"/>
        <v>20.783333333333335</v>
      </c>
      <c r="J37" s="78" t="s">
        <v>54</v>
      </c>
      <c r="K37" s="62">
        <f t="shared" si="2"/>
        <v>20.783333333333335</v>
      </c>
    </row>
    <row r="38" spans="2:11" s="31" customFormat="1" x14ac:dyDescent="0.2">
      <c r="B38" s="1215" t="str">
        <f>+'OI-RLP'!B68</f>
        <v xml:space="preserve">         GASTOS DE IMPRENTA</v>
      </c>
      <c r="C38" s="1216"/>
      <c r="D38" s="452">
        <f>+'OI-RLP'!O68</f>
        <v>8.6999999999999993</v>
      </c>
      <c r="E38" s="422" t="s">
        <v>27</v>
      </c>
      <c r="F38" s="436">
        <f t="shared" si="1"/>
        <v>8.6999999999999993</v>
      </c>
      <c r="G38" s="432" t="s">
        <v>389</v>
      </c>
      <c r="H38" s="78" t="s">
        <v>54</v>
      </c>
      <c r="I38" s="60">
        <f t="shared" si="3"/>
        <v>8.6999999999999993</v>
      </c>
      <c r="J38" s="78" t="s">
        <v>54</v>
      </c>
      <c r="K38" s="62">
        <f t="shared" si="2"/>
        <v>8.6999999999999993</v>
      </c>
    </row>
    <row r="39" spans="2:11" s="31" customFormat="1" x14ac:dyDescent="0.2">
      <c r="B39" s="1215" t="str">
        <f>+'OI-RLP'!B69</f>
        <v xml:space="preserve">         GASTOS MOVILIDAD</v>
      </c>
      <c r="C39" s="1216"/>
      <c r="D39" s="452">
        <f>+'OI-RLP'!O69</f>
        <v>2139.2588888888886</v>
      </c>
      <c r="E39" s="422" t="s">
        <v>27</v>
      </c>
      <c r="F39" s="436">
        <f t="shared" si="1"/>
        <v>2139.2588888888886</v>
      </c>
      <c r="G39" s="432" t="s">
        <v>389</v>
      </c>
      <c r="H39" s="78" t="s">
        <v>54</v>
      </c>
      <c r="I39" s="60">
        <f t="shared" si="3"/>
        <v>2139.2588888888886</v>
      </c>
      <c r="J39" s="78" t="s">
        <v>54</v>
      </c>
      <c r="K39" s="62">
        <f t="shared" si="2"/>
        <v>2139.2588888888886</v>
      </c>
    </row>
    <row r="40" spans="2:11" s="31" customFormat="1" x14ac:dyDescent="0.2">
      <c r="B40" s="1215" t="str">
        <f>+'OI-RLP'!B70</f>
        <v xml:space="preserve">         SERVICIOS Y MATERIAL DE LIMPIEZA</v>
      </c>
      <c r="C40" s="1216"/>
      <c r="D40" s="452">
        <f>+'OI-RLP'!O70</f>
        <v>917.87777777777774</v>
      </c>
      <c r="E40" s="422" t="s">
        <v>27</v>
      </c>
      <c r="F40" s="436">
        <f t="shared" si="1"/>
        <v>917.87777777777774</v>
      </c>
      <c r="G40" s="432" t="s">
        <v>389</v>
      </c>
      <c r="H40" s="78" t="s">
        <v>54</v>
      </c>
      <c r="I40" s="60">
        <f t="shared" si="3"/>
        <v>917.87777777777774</v>
      </c>
      <c r="J40" s="78" t="s">
        <v>54</v>
      </c>
      <c r="K40" s="62">
        <f t="shared" si="2"/>
        <v>917.87777777777774</v>
      </c>
    </row>
    <row r="41" spans="2:11" s="31" customFormat="1" x14ac:dyDescent="0.2">
      <c r="B41" s="1215" t="str">
        <f>+'OI-RLP'!B71</f>
        <v xml:space="preserve">         GASTOS DE REPRESENTACION</v>
      </c>
      <c r="C41" s="1216"/>
      <c r="D41" s="452">
        <f>+'OI-RLP'!O71</f>
        <v>0</v>
      </c>
      <c r="E41" s="422" t="s">
        <v>27</v>
      </c>
      <c r="F41" s="436">
        <f t="shared" si="1"/>
        <v>0</v>
      </c>
      <c r="G41" s="432" t="s">
        <v>389</v>
      </c>
      <c r="H41" s="78" t="s">
        <v>54</v>
      </c>
      <c r="I41" s="60">
        <f t="shared" si="3"/>
        <v>0</v>
      </c>
      <c r="J41" s="78" t="s">
        <v>54</v>
      </c>
      <c r="K41" s="62">
        <f t="shared" si="2"/>
        <v>0</v>
      </c>
    </row>
    <row r="42" spans="2:11" s="31" customFormat="1" x14ac:dyDescent="0.2">
      <c r="B42" s="1215" t="str">
        <f>+'OI-RLP'!B72</f>
        <v xml:space="preserve">         SUSCRIPCIONES Y CUOTAS</v>
      </c>
      <c r="C42" s="1216"/>
      <c r="D42" s="452">
        <f>+'OI-RLP'!O72</f>
        <v>560.92777777777781</v>
      </c>
      <c r="E42" s="422" t="s">
        <v>27</v>
      </c>
      <c r="F42" s="436">
        <f t="shared" si="1"/>
        <v>560.92777777777781</v>
      </c>
      <c r="G42" s="432" t="s">
        <v>389</v>
      </c>
      <c r="H42" s="78" t="s">
        <v>54</v>
      </c>
      <c r="I42" s="60">
        <f t="shared" si="3"/>
        <v>560.92777777777781</v>
      </c>
      <c r="J42" s="78" t="s">
        <v>54</v>
      </c>
      <c r="K42" s="62">
        <f t="shared" si="2"/>
        <v>560.92777777777781</v>
      </c>
    </row>
    <row r="43" spans="2:11" s="31" customFormat="1" x14ac:dyDescent="0.2">
      <c r="B43" s="1215" t="str">
        <f>+'OI-RLP'!B73</f>
        <v xml:space="preserve">         INTERESES Y MULTAS</v>
      </c>
      <c r="C43" s="1216"/>
      <c r="D43" s="452">
        <f>+'OI-RLP'!O73</f>
        <v>0</v>
      </c>
      <c r="E43" s="422" t="s">
        <v>27</v>
      </c>
      <c r="F43" s="436">
        <f t="shared" si="1"/>
        <v>0</v>
      </c>
      <c r="G43" s="432" t="s">
        <v>389</v>
      </c>
      <c r="H43" s="78" t="s">
        <v>54</v>
      </c>
      <c r="I43" s="60">
        <f t="shared" si="3"/>
        <v>0</v>
      </c>
      <c r="J43" s="78" t="s">
        <v>54</v>
      </c>
      <c r="K43" s="62">
        <f t="shared" si="2"/>
        <v>0</v>
      </c>
    </row>
    <row r="44" spans="2:11" s="31" customFormat="1" x14ac:dyDescent="0.2">
      <c r="B44" s="1215" t="str">
        <f>+'OI-RLP'!B74</f>
        <v xml:space="preserve">         PATENTES MUNICIPALES</v>
      </c>
      <c r="C44" s="1216"/>
      <c r="D44" s="452">
        <f>+'OI-RLP'!O74</f>
        <v>0</v>
      </c>
      <c r="E44" s="422" t="s">
        <v>27</v>
      </c>
      <c r="F44" s="436">
        <f t="shared" si="1"/>
        <v>0</v>
      </c>
      <c r="G44" s="432" t="s">
        <v>389</v>
      </c>
      <c r="H44" s="78" t="s">
        <v>54</v>
      </c>
      <c r="I44" s="60">
        <f t="shared" si="3"/>
        <v>0</v>
      </c>
      <c r="J44" s="78" t="s">
        <v>54</v>
      </c>
      <c r="K44" s="62">
        <f t="shared" si="2"/>
        <v>0</v>
      </c>
    </row>
    <row r="45" spans="2:11" s="31" customFormat="1" x14ac:dyDescent="0.2">
      <c r="B45" s="1215" t="str">
        <f>+'OI-RLP'!B75</f>
        <v xml:space="preserve">         CAPACITACION PERSONAL</v>
      </c>
      <c r="C45" s="1216"/>
      <c r="D45" s="452">
        <f>+'OI-RLP'!O75</f>
        <v>0</v>
      </c>
      <c r="E45" s="422" t="s">
        <v>27</v>
      </c>
      <c r="F45" s="436">
        <f t="shared" si="1"/>
        <v>0</v>
      </c>
      <c r="G45" s="432" t="s">
        <v>389</v>
      </c>
      <c r="H45" s="78" t="s">
        <v>54</v>
      </c>
      <c r="I45" s="60">
        <f t="shared" si="3"/>
        <v>0</v>
      </c>
      <c r="J45" s="78" t="s">
        <v>54</v>
      </c>
      <c r="K45" s="62">
        <f t="shared" si="2"/>
        <v>0</v>
      </c>
    </row>
    <row r="46" spans="2:11" s="31" customFormat="1" x14ac:dyDescent="0.2">
      <c r="B46" s="1215" t="str">
        <f>+'OI-RLP'!B76</f>
        <v xml:space="preserve">         MEJORAS Y ARREGLOS A LAS INSTALACIONES</v>
      </c>
      <c r="C46" s="1216"/>
      <c r="D46" s="452">
        <f>+'OI-RLP'!O76</f>
        <v>55.68</v>
      </c>
      <c r="E46" s="422" t="s">
        <v>27</v>
      </c>
      <c r="F46" s="436">
        <f t="shared" si="1"/>
        <v>55.68</v>
      </c>
      <c r="G46" s="432" t="s">
        <v>389</v>
      </c>
      <c r="H46" s="78" t="s">
        <v>54</v>
      </c>
      <c r="I46" s="60">
        <f t="shared" si="3"/>
        <v>55.68</v>
      </c>
      <c r="J46" s="78" t="s">
        <v>54</v>
      </c>
      <c r="K46" s="62">
        <f t="shared" si="2"/>
        <v>55.68</v>
      </c>
    </row>
    <row r="47" spans="2:11" s="31" customFormat="1" x14ac:dyDescent="0.2">
      <c r="B47" s="1215" t="str">
        <f>+'OI-RLP'!B77</f>
        <v xml:space="preserve">         SERVICIOS PUBLICITARIOS</v>
      </c>
      <c r="C47" s="1216"/>
      <c r="D47" s="452">
        <f>+'OI-RLP'!O77</f>
        <v>0</v>
      </c>
      <c r="E47" s="422" t="s">
        <v>27</v>
      </c>
      <c r="F47" s="436">
        <f t="shared" si="1"/>
        <v>0</v>
      </c>
      <c r="G47" s="432" t="s">
        <v>389</v>
      </c>
      <c r="H47" s="78" t="s">
        <v>54</v>
      </c>
      <c r="I47" s="60">
        <f t="shared" si="3"/>
        <v>0</v>
      </c>
      <c r="J47" s="78" t="s">
        <v>54</v>
      </c>
      <c r="K47" s="62">
        <f t="shared" si="2"/>
        <v>0</v>
      </c>
    </row>
    <row r="48" spans="2:11" s="31" customFormat="1" x14ac:dyDescent="0.2">
      <c r="B48" s="1215" t="str">
        <f>+'OI-RLP'!B78</f>
        <v xml:space="preserve">         IMPUESTO A LAS TRANSCCIONES FINANCIERAS</v>
      </c>
      <c r="C48" s="1216"/>
      <c r="D48" s="452">
        <f>+'OI-RLP'!O78</f>
        <v>0</v>
      </c>
      <c r="E48" s="422" t="s">
        <v>27</v>
      </c>
      <c r="F48" s="436">
        <f t="shared" si="1"/>
        <v>0</v>
      </c>
      <c r="G48" s="432" t="s">
        <v>389</v>
      </c>
      <c r="H48" s="78" t="s">
        <v>54</v>
      </c>
      <c r="I48" s="60">
        <f t="shared" si="3"/>
        <v>0</v>
      </c>
      <c r="J48" s="78" t="s">
        <v>54</v>
      </c>
      <c r="K48" s="62">
        <f t="shared" si="2"/>
        <v>0</v>
      </c>
    </row>
    <row r="49" spans="2:11" s="31" customFormat="1" x14ac:dyDescent="0.2">
      <c r="B49" s="1215" t="str">
        <f>+'OI-RLP'!B79</f>
        <v xml:space="preserve">         PERDIDA EN INVENTARIOS</v>
      </c>
      <c r="C49" s="1216"/>
      <c r="D49" s="452">
        <f>+'OI-RLP'!O79</f>
        <v>0</v>
      </c>
      <c r="E49" s="422" t="s">
        <v>27</v>
      </c>
      <c r="F49" s="436">
        <f t="shared" si="1"/>
        <v>0</v>
      </c>
      <c r="G49" s="432" t="s">
        <v>389</v>
      </c>
      <c r="H49" s="78" t="s">
        <v>54</v>
      </c>
      <c r="I49" s="60">
        <f t="shared" si="3"/>
        <v>0</v>
      </c>
      <c r="J49" s="78" t="s">
        <v>54</v>
      </c>
      <c r="K49" s="62">
        <f t="shared" si="2"/>
        <v>0</v>
      </c>
    </row>
    <row r="50" spans="2:11" s="31" customFormat="1" x14ac:dyDescent="0.2">
      <c r="B50" s="1215" t="str">
        <f>+'OI-RLP'!B80</f>
        <v xml:space="preserve">         AUSPICIOS Y EVENTOS</v>
      </c>
      <c r="C50" s="1216"/>
      <c r="D50" s="452">
        <f>+'OI-RLP'!O80</f>
        <v>0</v>
      </c>
      <c r="E50" s="422" t="s">
        <v>27</v>
      </c>
      <c r="F50" s="436">
        <f t="shared" si="1"/>
        <v>0</v>
      </c>
      <c r="G50" s="432" t="s">
        <v>389</v>
      </c>
      <c r="H50" s="78" t="s">
        <v>54</v>
      </c>
      <c r="I50" s="60">
        <f t="shared" si="3"/>
        <v>0</v>
      </c>
      <c r="J50" s="78" t="s">
        <v>54</v>
      </c>
      <c r="K50" s="62">
        <f t="shared" si="2"/>
        <v>0</v>
      </c>
    </row>
    <row r="51" spans="2:11" s="31" customFormat="1" ht="13.5" thickBot="1" x14ac:dyDescent="0.25">
      <c r="B51" s="1215" t="str">
        <f>+'OI-RLP'!B81</f>
        <v xml:space="preserve">         GASTOS VARIOS</v>
      </c>
      <c r="C51" s="1216"/>
      <c r="D51" s="452">
        <f>+'OI-RLP'!O81</f>
        <v>1558.2477777777779</v>
      </c>
      <c r="E51" s="422" t="s">
        <v>27</v>
      </c>
      <c r="F51" s="436">
        <f t="shared" si="1"/>
        <v>1558.2477777777779</v>
      </c>
      <c r="G51" s="432" t="s">
        <v>389</v>
      </c>
      <c r="H51" s="78" t="s">
        <v>54</v>
      </c>
      <c r="I51" s="60">
        <f t="shared" si="3"/>
        <v>1558.2477777777779</v>
      </c>
      <c r="J51" s="78" t="s">
        <v>54</v>
      </c>
      <c r="K51" s="62">
        <f t="shared" si="2"/>
        <v>1558.2477777777779</v>
      </c>
    </row>
    <row r="52" spans="2:11" ht="13.5" thickBot="1" x14ac:dyDescent="0.25">
      <c r="B52" s="996" t="s">
        <v>76</v>
      </c>
      <c r="C52" s="997"/>
      <c r="D52" s="391">
        <f>+D21+D18</f>
        <v>64875.051532567064</v>
      </c>
      <c r="E52" s="475"/>
      <c r="F52" s="467">
        <f>+F18+F21</f>
        <v>64875.051532567064</v>
      </c>
      <c r="G52" s="475"/>
      <c r="H52" s="467"/>
      <c r="I52" s="467">
        <f>+I18+I21</f>
        <v>64875.051532567064</v>
      </c>
      <c r="J52" s="467"/>
      <c r="K52" s="775">
        <f>+K18+K21</f>
        <v>64875.051532567064</v>
      </c>
    </row>
    <row r="53" spans="2:11" s="31" customFormat="1" x14ac:dyDescent="0.2">
      <c r="B53" s="1227" t="str">
        <f>+'OI-RLP'!B82</f>
        <v xml:space="preserve">         GASTOS SA</v>
      </c>
      <c r="C53" s="1228"/>
      <c r="D53" s="778">
        <f>+'OI-RLP'!O82</f>
        <v>21407.913822222225</v>
      </c>
      <c r="E53" s="779" t="s">
        <v>27</v>
      </c>
      <c r="F53" s="778">
        <f>+D53</f>
        <v>21407.913822222225</v>
      </c>
      <c r="G53" s="780" t="s">
        <v>389</v>
      </c>
      <c r="H53" s="781" t="s">
        <v>54</v>
      </c>
      <c r="I53" s="782">
        <f>IF($H53="S",F53,0)</f>
        <v>21407.913822222225</v>
      </c>
      <c r="J53" s="781" t="s">
        <v>54</v>
      </c>
      <c r="K53" s="783">
        <f>IF($J53="S",F53,0)</f>
        <v>21407.913822222225</v>
      </c>
    </row>
    <row r="54" spans="2:11" ht="13.5" thickBot="1" x14ac:dyDescent="0.25">
      <c r="B54" s="1329" t="str">
        <f>+'OI-RLP'!B83</f>
        <v xml:space="preserve">         GASTOS DN </v>
      </c>
      <c r="C54" s="1330"/>
      <c r="D54" s="790">
        <f>+'OI-RLP'!O83</f>
        <v>30961.694333333329</v>
      </c>
      <c r="E54" s="791" t="s">
        <v>78</v>
      </c>
      <c r="F54" s="792">
        <f>D54</f>
        <v>30961.694333333329</v>
      </c>
      <c r="G54" s="791" t="s">
        <v>78</v>
      </c>
      <c r="H54" s="792"/>
      <c r="I54" s="792">
        <f>+F54</f>
        <v>30961.694333333329</v>
      </c>
      <c r="J54" s="792"/>
      <c r="K54" s="793">
        <f>+F54</f>
        <v>30961.694333333329</v>
      </c>
    </row>
    <row r="55" spans="2:11" ht="13.5" thickBot="1" x14ac:dyDescent="0.25">
      <c r="B55" s="1185" t="s">
        <v>80</v>
      </c>
      <c r="C55" s="1186"/>
      <c r="D55" s="787">
        <f>SUM(D52:D54)</f>
        <v>117244.65968812261</v>
      </c>
      <c r="E55" s="788"/>
      <c r="F55" s="789"/>
      <c r="G55" s="788"/>
      <c r="H55" s="414"/>
      <c r="I55" s="457">
        <f>SUM(I52:I54)</f>
        <v>117244.65968812261</v>
      </c>
      <c r="J55" s="789"/>
      <c r="K55" s="437">
        <f>SUM(K52:K54)</f>
        <v>117244.65968812261</v>
      </c>
    </row>
    <row r="56" spans="2:11" ht="13.5" thickBot="1" x14ac:dyDescent="0.25">
      <c r="B56" s="1004" t="s">
        <v>81</v>
      </c>
      <c r="C56" s="1005"/>
      <c r="D56" s="87"/>
      <c r="E56" s="88"/>
      <c r="F56" s="87"/>
      <c r="G56" s="88"/>
      <c r="H56" s="87"/>
      <c r="I56" s="99"/>
      <c r="J56" s="87"/>
      <c r="K56" s="88"/>
    </row>
    <row r="57" spans="2:11" x14ac:dyDescent="0.2">
      <c r="B57" s="1010"/>
      <c r="C57" s="1196"/>
      <c r="D57" s="456"/>
      <c r="E57" s="398"/>
      <c r="F57" s="397"/>
      <c r="G57" s="398"/>
      <c r="H57" s="59" t="s">
        <v>54</v>
      </c>
      <c r="I57" s="60">
        <f>IF($H57="S",F57,0)</f>
        <v>0</v>
      </c>
      <c r="J57" s="59" t="s">
        <v>54</v>
      </c>
      <c r="K57" s="62">
        <f>IF($J57="S",F57,0)</f>
        <v>0</v>
      </c>
    </row>
    <row r="58" spans="2:11" x14ac:dyDescent="0.2">
      <c r="B58" s="1006"/>
      <c r="C58" s="1195"/>
      <c r="D58" s="107"/>
      <c r="E58" s="91"/>
      <c r="F58" s="108"/>
      <c r="G58" s="91"/>
      <c r="H58" s="78" t="s">
        <v>54</v>
      </c>
      <c r="I58" s="81">
        <f t="shared" ref="I58:I68" si="4">IF($H58="S",F58,0)</f>
        <v>0</v>
      </c>
      <c r="J58" s="78" t="s">
        <v>54</v>
      </c>
      <c r="K58" s="82">
        <f t="shared" ref="K58:K68" si="5">IF($J58="S",F58,0)</f>
        <v>0</v>
      </c>
    </row>
    <row r="59" spans="2:11" x14ac:dyDescent="0.2">
      <c r="B59" s="1006"/>
      <c r="C59" s="1195"/>
      <c r="D59" s="107"/>
      <c r="E59" s="91"/>
      <c r="F59" s="108"/>
      <c r="G59" s="91"/>
      <c r="H59" s="78" t="s">
        <v>54</v>
      </c>
      <c r="I59" s="81">
        <f t="shared" si="4"/>
        <v>0</v>
      </c>
      <c r="J59" s="78" t="s">
        <v>54</v>
      </c>
      <c r="K59" s="82">
        <f t="shared" si="5"/>
        <v>0</v>
      </c>
    </row>
    <row r="60" spans="2:11" x14ac:dyDescent="0.2">
      <c r="B60" s="1006"/>
      <c r="C60" s="1195"/>
      <c r="D60" s="107"/>
      <c r="E60" s="91"/>
      <c r="F60" s="108"/>
      <c r="G60" s="91"/>
      <c r="H60" s="78" t="s">
        <v>54</v>
      </c>
      <c r="I60" s="81">
        <f t="shared" si="4"/>
        <v>0</v>
      </c>
      <c r="J60" s="78" t="s">
        <v>54</v>
      </c>
      <c r="K60" s="82">
        <f t="shared" si="5"/>
        <v>0</v>
      </c>
    </row>
    <row r="61" spans="2:11" x14ac:dyDescent="0.2">
      <c r="B61" s="1006"/>
      <c r="C61" s="1195"/>
      <c r="D61" s="107"/>
      <c r="E61" s="91"/>
      <c r="F61" s="108"/>
      <c r="G61" s="91"/>
      <c r="H61" s="78" t="s">
        <v>54</v>
      </c>
      <c r="I61" s="81">
        <f t="shared" si="4"/>
        <v>0</v>
      </c>
      <c r="J61" s="78" t="s">
        <v>54</v>
      </c>
      <c r="K61" s="82">
        <f t="shared" si="5"/>
        <v>0</v>
      </c>
    </row>
    <row r="62" spans="2:11" x14ac:dyDescent="0.2">
      <c r="B62" s="1006"/>
      <c r="C62" s="1195"/>
      <c r="D62" s="107"/>
      <c r="E62" s="91"/>
      <c r="F62" s="108"/>
      <c r="G62" s="91"/>
      <c r="H62" s="78" t="s">
        <v>54</v>
      </c>
      <c r="I62" s="81">
        <f t="shared" si="4"/>
        <v>0</v>
      </c>
      <c r="J62" s="78" t="s">
        <v>54</v>
      </c>
      <c r="K62" s="82">
        <f t="shared" si="5"/>
        <v>0</v>
      </c>
    </row>
    <row r="63" spans="2:11" x14ac:dyDescent="0.2">
      <c r="B63" s="1006"/>
      <c r="C63" s="1195"/>
      <c r="D63" s="107"/>
      <c r="E63" s="91"/>
      <c r="F63" s="108"/>
      <c r="G63" s="91"/>
      <c r="H63" s="78" t="s">
        <v>54</v>
      </c>
      <c r="I63" s="81">
        <f t="shared" si="4"/>
        <v>0</v>
      </c>
      <c r="J63" s="78" t="s">
        <v>54</v>
      </c>
      <c r="K63" s="82">
        <f t="shared" si="5"/>
        <v>0</v>
      </c>
    </row>
    <row r="64" spans="2:11" x14ac:dyDescent="0.2">
      <c r="B64" s="1006"/>
      <c r="C64" s="1195"/>
      <c r="D64" s="107"/>
      <c r="E64" s="91"/>
      <c r="F64" s="108"/>
      <c r="G64" s="91"/>
      <c r="H64" s="78" t="s">
        <v>54</v>
      </c>
      <c r="I64" s="81">
        <f t="shared" si="4"/>
        <v>0</v>
      </c>
      <c r="J64" s="78" t="s">
        <v>54</v>
      </c>
      <c r="K64" s="82">
        <f t="shared" si="5"/>
        <v>0</v>
      </c>
    </row>
    <row r="65" spans="1:11" x14ac:dyDescent="0.2">
      <c r="B65" s="1006"/>
      <c r="C65" s="1195"/>
      <c r="D65" s="107"/>
      <c r="E65" s="91"/>
      <c r="F65" s="111"/>
      <c r="G65" s="91"/>
      <c r="H65" s="78" t="s">
        <v>54</v>
      </c>
      <c r="I65" s="81">
        <f t="shared" si="4"/>
        <v>0</v>
      </c>
      <c r="J65" s="78" t="s">
        <v>54</v>
      </c>
      <c r="K65" s="82">
        <f t="shared" si="5"/>
        <v>0</v>
      </c>
    </row>
    <row r="66" spans="1:11" x14ac:dyDescent="0.2">
      <c r="B66" s="1006"/>
      <c r="C66" s="1195"/>
      <c r="D66" s="107"/>
      <c r="E66" s="91"/>
      <c r="F66" s="112"/>
      <c r="G66" s="91"/>
      <c r="H66" s="78" t="s">
        <v>54</v>
      </c>
      <c r="I66" s="81">
        <f t="shared" si="4"/>
        <v>0</v>
      </c>
      <c r="J66" s="78" t="s">
        <v>54</v>
      </c>
      <c r="K66" s="82">
        <f t="shared" si="5"/>
        <v>0</v>
      </c>
    </row>
    <row r="67" spans="1:11" x14ac:dyDescent="0.2">
      <c r="B67" s="1006"/>
      <c r="C67" s="1195"/>
      <c r="D67" s="107"/>
      <c r="E67" s="91"/>
      <c r="F67" s="108"/>
      <c r="G67" s="91"/>
      <c r="H67" s="78" t="s">
        <v>54</v>
      </c>
      <c r="I67" s="81">
        <f t="shared" si="4"/>
        <v>0</v>
      </c>
      <c r="J67" s="78" t="s">
        <v>54</v>
      </c>
      <c r="K67" s="82">
        <f t="shared" si="5"/>
        <v>0</v>
      </c>
    </row>
    <row r="68" spans="1:11" x14ac:dyDescent="0.2">
      <c r="B68" s="1187"/>
      <c r="C68" s="1191"/>
      <c r="D68" s="107"/>
      <c r="E68" s="113"/>
      <c r="F68" s="112"/>
      <c r="G68" s="113"/>
      <c r="H68" s="78" t="s">
        <v>54</v>
      </c>
      <c r="I68" s="81">
        <f t="shared" si="4"/>
        <v>0</v>
      </c>
      <c r="J68" s="78" t="s">
        <v>54</v>
      </c>
      <c r="K68" s="82">
        <f t="shared" si="5"/>
        <v>0</v>
      </c>
    </row>
    <row r="69" spans="1:11" s="27" customFormat="1" x14ac:dyDescent="0.2">
      <c r="B69" s="1192" t="s">
        <v>96</v>
      </c>
      <c r="C69" s="1193"/>
      <c r="D69" s="114"/>
      <c r="E69" s="115"/>
      <c r="F69" s="116"/>
      <c r="G69" s="115"/>
      <c r="H69" s="118"/>
      <c r="I69" s="117">
        <f>SUM(I57:I68)</f>
        <v>0</v>
      </c>
      <c r="J69" s="114"/>
      <c r="K69" s="453">
        <f>SUM(K57:K68)</f>
        <v>0</v>
      </c>
    </row>
    <row r="70" spans="1:11" s="27" customFormat="1" ht="13.5" thickBot="1" x14ac:dyDescent="0.25">
      <c r="B70" s="992" t="s">
        <v>45</v>
      </c>
      <c r="C70" s="1194"/>
      <c r="D70" s="454"/>
      <c r="E70" s="454"/>
      <c r="F70" s="454"/>
      <c r="G70" s="454"/>
      <c r="H70" s="454"/>
      <c r="I70" s="454">
        <f>+I69+I55</f>
        <v>117244.65968812261</v>
      </c>
      <c r="J70" s="454"/>
      <c r="K70" s="455">
        <f>+K69+K55</f>
        <v>117244.65968812261</v>
      </c>
    </row>
    <row r="71" spans="1:11" s="37" customFormat="1" ht="13.5" thickBot="1" x14ac:dyDescent="0.25">
      <c r="A71" s="441"/>
      <c r="B71" s="405"/>
      <c r="C71" s="405"/>
      <c r="D71" s="83"/>
      <c r="E71" s="83"/>
      <c r="G71" s="83"/>
      <c r="H71" s="134"/>
      <c r="I71" s="135"/>
      <c r="J71" s="136"/>
    </row>
    <row r="72" spans="1:11" s="37" customFormat="1" ht="34.5" thickBot="1" x14ac:dyDescent="0.25">
      <c r="A72" s="441"/>
      <c r="B72" s="405"/>
      <c r="C72" s="405"/>
      <c r="E72" s="364" t="s">
        <v>382</v>
      </c>
      <c r="F72" s="364" t="s">
        <v>383</v>
      </c>
      <c r="G72" s="364" t="s">
        <v>47</v>
      </c>
      <c r="H72" s="364" t="s">
        <v>384</v>
      </c>
    </row>
    <row r="73" spans="1:11" s="37" customFormat="1" ht="13.5" thickBot="1" x14ac:dyDescent="0.25">
      <c r="A73" s="441"/>
      <c r="B73" s="1004" t="s">
        <v>80</v>
      </c>
      <c r="C73" s="1005"/>
      <c r="D73" s="24"/>
      <c r="E73" s="24">
        <f>+(I55-$F$20)/$F$11+$F$20</f>
        <v>39097.793229374205</v>
      </c>
      <c r="G73" s="24">
        <f>+(K55-$F$20)/$F$11+$F$20</f>
        <v>39097.793229374205</v>
      </c>
      <c r="H73" s="24"/>
    </row>
    <row r="74" spans="1:11" s="144" customFormat="1" ht="13.5" thickBot="1" x14ac:dyDescent="0.25">
      <c r="A74" s="442"/>
      <c r="B74" s="996" t="s">
        <v>81</v>
      </c>
      <c r="C74" s="997"/>
      <c r="D74" s="141"/>
      <c r="E74" s="141">
        <f>+I69</f>
        <v>0</v>
      </c>
      <c r="F74" s="141"/>
      <c r="G74" s="141">
        <f>+K69</f>
        <v>0</v>
      </c>
      <c r="H74" s="141"/>
    </row>
    <row r="75" spans="1:11" ht="13.5" thickBot="1" x14ac:dyDescent="0.25">
      <c r="B75" s="998" t="s">
        <v>45</v>
      </c>
      <c r="C75" s="999"/>
      <c r="D75" s="145"/>
      <c r="E75" s="145">
        <f>SUM(E73:E74)</f>
        <v>39097.793229374205</v>
      </c>
      <c r="F75" s="145">
        <f>+E77*E79</f>
        <v>39097.793229374205</v>
      </c>
      <c r="G75" s="145">
        <f>SUM(G73:G74)</f>
        <v>39097.793229374205</v>
      </c>
      <c r="H75" s="145"/>
    </row>
    <row r="76" spans="1:11" x14ac:dyDescent="0.2">
      <c r="B76" s="1000" t="s">
        <v>103</v>
      </c>
      <c r="C76" s="1001"/>
      <c r="D76" s="147">
        <v>0</v>
      </c>
      <c r="E76" s="148"/>
      <c r="F76" s="148"/>
      <c r="G76" s="148">
        <f>+G75/(1-$D$76)</f>
        <v>39097.793229374205</v>
      </c>
      <c r="H76" s="148"/>
    </row>
    <row r="77" spans="1:11" x14ac:dyDescent="0.2">
      <c r="B77" s="1219" t="s">
        <v>106</v>
      </c>
      <c r="C77" s="407" t="s">
        <v>107</v>
      </c>
      <c r="D77" s="151" t="s">
        <v>108</v>
      </c>
      <c r="E77" s="152">
        <v>580</v>
      </c>
      <c r="F77" s="153">
        <v>500</v>
      </c>
      <c r="G77" s="158"/>
      <c r="H77" s="153"/>
    </row>
    <row r="78" spans="1:11" x14ac:dyDescent="0.2">
      <c r="B78" s="1220"/>
      <c r="C78" s="407" t="s">
        <v>109</v>
      </c>
      <c r="D78" s="151" t="s">
        <v>108</v>
      </c>
      <c r="E78" s="155">
        <v>600</v>
      </c>
      <c r="F78" s="154"/>
      <c r="G78" s="15"/>
      <c r="H78" s="154"/>
    </row>
    <row r="79" spans="1:11" x14ac:dyDescent="0.2">
      <c r="B79" s="1189" t="s">
        <v>110</v>
      </c>
      <c r="C79" s="1190"/>
      <c r="D79" s="156" t="s">
        <v>111</v>
      </c>
      <c r="E79" s="359">
        <f>+E75/E77</f>
        <v>67.409988326507246</v>
      </c>
      <c r="F79" s="357">
        <f>E75/F77</f>
        <v>78.195586458748409</v>
      </c>
      <c r="G79" s="154"/>
      <c r="H79" s="158"/>
    </row>
    <row r="80" spans="1:11" x14ac:dyDescent="0.2">
      <c r="D80" s="156" t="s">
        <v>112</v>
      </c>
      <c r="E80" s="359">
        <f>+E75/E78</f>
        <v>65.162988715623669</v>
      </c>
      <c r="F80" s="154">
        <f>+F79*E77</f>
        <v>45353.440146074077</v>
      </c>
      <c r="H80" s="15"/>
    </row>
    <row r="81" spans="4:8" x14ac:dyDescent="0.2">
      <c r="D81" s="1" t="s">
        <v>380</v>
      </c>
      <c r="E81" s="356">
        <f>+E79*E77</f>
        <v>39097.793229374205</v>
      </c>
      <c r="F81" s="356">
        <f>+F79*F77</f>
        <v>39097.793229374205</v>
      </c>
      <c r="G81" s="356"/>
      <c r="H81" s="360"/>
    </row>
    <row r="82" spans="4:8" ht="13.5" thickBot="1" x14ac:dyDescent="0.25">
      <c r="D82" s="1" t="s">
        <v>381</v>
      </c>
      <c r="E82" s="356">
        <f>+E80*E78</f>
        <v>39097.793229374205</v>
      </c>
      <c r="F82" s="369">
        <f>+F80-F81</f>
        <v>6255.6469166998722</v>
      </c>
    </row>
    <row r="83" spans="4:8" ht="13.5" thickTop="1" x14ac:dyDescent="0.2">
      <c r="E83" s="356"/>
      <c r="F83" s="356">
        <f>+F81/F80</f>
        <v>0.86206896551724144</v>
      </c>
      <c r="H83" s="356"/>
    </row>
    <row r="84" spans="4:8" x14ac:dyDescent="0.2">
      <c r="E84" s="356"/>
      <c r="F84" s="360">
        <f>+F82/F80</f>
        <v>0.13793103448275862</v>
      </c>
      <c r="H84" s="356"/>
    </row>
    <row r="85" spans="4:8" x14ac:dyDescent="0.2">
      <c r="D85" s="356"/>
    </row>
    <row r="88" spans="4:8" x14ac:dyDescent="0.2">
      <c r="D88" s="368"/>
    </row>
  </sheetData>
  <sheetProtection selectLockedCells="1"/>
  <mergeCells count="71">
    <mergeCell ref="B76:C76"/>
    <mergeCell ref="B77:B78"/>
    <mergeCell ref="B79:C79"/>
    <mergeCell ref="B53:C53"/>
    <mergeCell ref="B54:C54"/>
    <mergeCell ref="B69:C69"/>
    <mergeCell ref="B70:C70"/>
    <mergeCell ref="B73:C73"/>
    <mergeCell ref="B74:C74"/>
    <mergeCell ref="B75:C75"/>
    <mergeCell ref="B63:C63"/>
    <mergeCell ref="B64:C64"/>
    <mergeCell ref="B65:C65"/>
    <mergeCell ref="B66:C66"/>
    <mergeCell ref="B67:C67"/>
    <mergeCell ref="B68:C68"/>
    <mergeCell ref="B62:C62"/>
    <mergeCell ref="B52:C52"/>
    <mergeCell ref="B55:C55"/>
    <mergeCell ref="B56:C56"/>
    <mergeCell ref="B46:C46"/>
    <mergeCell ref="B47:C47"/>
    <mergeCell ref="B48:C48"/>
    <mergeCell ref="B49:C49"/>
    <mergeCell ref="B50:C50"/>
    <mergeCell ref="B51:C51"/>
    <mergeCell ref="B57:C57"/>
    <mergeCell ref="B58:C58"/>
    <mergeCell ref="B59:C59"/>
    <mergeCell ref="B60:C60"/>
    <mergeCell ref="B61:C61"/>
    <mergeCell ref="B45:C45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33:C3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21:C21"/>
    <mergeCell ref="B1:K2"/>
    <mergeCell ref="B3:K4"/>
    <mergeCell ref="B5:K6"/>
    <mergeCell ref="B9:B10"/>
    <mergeCell ref="B13:K13"/>
    <mergeCell ref="B15:C16"/>
    <mergeCell ref="D15:D16"/>
    <mergeCell ref="E15:E16"/>
    <mergeCell ref="G15:G16"/>
    <mergeCell ref="H15:I15"/>
    <mergeCell ref="J15:K15"/>
    <mergeCell ref="B17:C17"/>
    <mergeCell ref="B18:C18"/>
    <mergeCell ref="B19:C19"/>
    <mergeCell ref="B20:C20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C00"/>
  </sheetPr>
  <dimension ref="A1:Q97"/>
  <sheetViews>
    <sheetView topLeftCell="A61" workbookViewId="0">
      <selection activeCell="N79" sqref="C1:N1048576"/>
    </sheetView>
  </sheetViews>
  <sheetFormatPr baseColWidth="10" defaultColWidth="10" defaultRowHeight="15" x14ac:dyDescent="0.25"/>
  <cols>
    <col min="1" max="1" width="9.7109375" style="285" bestFit="1" customWidth="1"/>
    <col min="2" max="2" width="40.140625" style="382" bestFit="1" customWidth="1"/>
    <col min="3" max="3" width="11.7109375" style="285" hidden="1" customWidth="1"/>
    <col min="4" max="7" width="9.85546875" style="285" hidden="1" customWidth="1"/>
    <col min="8" max="8" width="10.85546875" style="285" hidden="1" customWidth="1"/>
    <col min="9" max="11" width="10.140625" style="285" hidden="1" customWidth="1"/>
    <col min="12" max="13" width="10.85546875" style="285" hidden="1" customWidth="1"/>
    <col min="14" max="14" width="9.85546875" style="285" hidden="1" customWidth="1"/>
    <col min="15" max="15" width="12.28515625" style="286" customWidth="1"/>
    <col min="16" max="255" width="10" style="285"/>
    <col min="256" max="256" width="9.7109375" style="285" bestFit="1" customWidth="1"/>
    <col min="257" max="257" width="40.140625" style="285" bestFit="1" customWidth="1"/>
    <col min="258" max="258" width="11.7109375" style="285" customWidth="1"/>
    <col min="259" max="269" width="9.85546875" style="285" customWidth="1"/>
    <col min="270" max="270" width="13.7109375" style="285" customWidth="1"/>
    <col min="271" max="511" width="10" style="285"/>
    <col min="512" max="512" width="9.7109375" style="285" bestFit="1" customWidth="1"/>
    <col min="513" max="513" width="40.140625" style="285" bestFit="1" customWidth="1"/>
    <col min="514" max="514" width="11.7109375" style="285" customWidth="1"/>
    <col min="515" max="525" width="9.85546875" style="285" customWidth="1"/>
    <col min="526" max="526" width="13.7109375" style="285" customWidth="1"/>
    <col min="527" max="767" width="10" style="285"/>
    <col min="768" max="768" width="9.7109375" style="285" bestFit="1" customWidth="1"/>
    <col min="769" max="769" width="40.140625" style="285" bestFit="1" customWidth="1"/>
    <col min="770" max="770" width="11.7109375" style="285" customWidth="1"/>
    <col min="771" max="781" width="9.85546875" style="285" customWidth="1"/>
    <col min="782" max="782" width="13.7109375" style="285" customWidth="1"/>
    <col min="783" max="1023" width="10" style="285"/>
    <col min="1024" max="1024" width="9.7109375" style="285" bestFit="1" customWidth="1"/>
    <col min="1025" max="1025" width="40.140625" style="285" bestFit="1" customWidth="1"/>
    <col min="1026" max="1026" width="11.7109375" style="285" customWidth="1"/>
    <col min="1027" max="1037" width="9.85546875" style="285" customWidth="1"/>
    <col min="1038" max="1038" width="13.7109375" style="285" customWidth="1"/>
    <col min="1039" max="1279" width="10" style="285"/>
    <col min="1280" max="1280" width="9.7109375" style="285" bestFit="1" customWidth="1"/>
    <col min="1281" max="1281" width="40.140625" style="285" bestFit="1" customWidth="1"/>
    <col min="1282" max="1282" width="11.7109375" style="285" customWidth="1"/>
    <col min="1283" max="1293" width="9.85546875" style="285" customWidth="1"/>
    <col min="1294" max="1294" width="13.7109375" style="285" customWidth="1"/>
    <col min="1295" max="1535" width="10" style="285"/>
    <col min="1536" max="1536" width="9.7109375" style="285" bestFit="1" customWidth="1"/>
    <col min="1537" max="1537" width="40.140625" style="285" bestFit="1" customWidth="1"/>
    <col min="1538" max="1538" width="11.7109375" style="285" customWidth="1"/>
    <col min="1539" max="1549" width="9.85546875" style="285" customWidth="1"/>
    <col min="1550" max="1550" width="13.7109375" style="285" customWidth="1"/>
    <col min="1551" max="1791" width="10" style="285"/>
    <col min="1792" max="1792" width="9.7109375" style="285" bestFit="1" customWidth="1"/>
    <col min="1793" max="1793" width="40.140625" style="285" bestFit="1" customWidth="1"/>
    <col min="1794" max="1794" width="11.7109375" style="285" customWidth="1"/>
    <col min="1795" max="1805" width="9.85546875" style="285" customWidth="1"/>
    <col min="1806" max="1806" width="13.7109375" style="285" customWidth="1"/>
    <col min="1807" max="2047" width="10" style="285"/>
    <col min="2048" max="2048" width="9.7109375" style="285" bestFit="1" customWidth="1"/>
    <col min="2049" max="2049" width="40.140625" style="285" bestFit="1" customWidth="1"/>
    <col min="2050" max="2050" width="11.7109375" style="285" customWidth="1"/>
    <col min="2051" max="2061" width="9.85546875" style="285" customWidth="1"/>
    <col min="2062" max="2062" width="13.7109375" style="285" customWidth="1"/>
    <col min="2063" max="2303" width="10" style="285"/>
    <col min="2304" max="2304" width="9.7109375" style="285" bestFit="1" customWidth="1"/>
    <col min="2305" max="2305" width="40.140625" style="285" bestFit="1" customWidth="1"/>
    <col min="2306" max="2306" width="11.7109375" style="285" customWidth="1"/>
    <col min="2307" max="2317" width="9.85546875" style="285" customWidth="1"/>
    <col min="2318" max="2318" width="13.7109375" style="285" customWidth="1"/>
    <col min="2319" max="2559" width="10" style="285"/>
    <col min="2560" max="2560" width="9.7109375" style="285" bestFit="1" customWidth="1"/>
    <col min="2561" max="2561" width="40.140625" style="285" bestFit="1" customWidth="1"/>
    <col min="2562" max="2562" width="11.7109375" style="285" customWidth="1"/>
    <col min="2563" max="2573" width="9.85546875" style="285" customWidth="1"/>
    <col min="2574" max="2574" width="13.7109375" style="285" customWidth="1"/>
    <col min="2575" max="2815" width="10" style="285"/>
    <col min="2816" max="2816" width="9.7109375" style="285" bestFit="1" customWidth="1"/>
    <col min="2817" max="2817" width="40.140625" style="285" bestFit="1" customWidth="1"/>
    <col min="2818" max="2818" width="11.7109375" style="285" customWidth="1"/>
    <col min="2819" max="2829" width="9.85546875" style="285" customWidth="1"/>
    <col min="2830" max="2830" width="13.7109375" style="285" customWidth="1"/>
    <col min="2831" max="3071" width="10" style="285"/>
    <col min="3072" max="3072" width="9.7109375" style="285" bestFit="1" customWidth="1"/>
    <col min="3073" max="3073" width="40.140625" style="285" bestFit="1" customWidth="1"/>
    <col min="3074" max="3074" width="11.7109375" style="285" customWidth="1"/>
    <col min="3075" max="3085" width="9.85546875" style="285" customWidth="1"/>
    <col min="3086" max="3086" width="13.7109375" style="285" customWidth="1"/>
    <col min="3087" max="3327" width="10" style="285"/>
    <col min="3328" max="3328" width="9.7109375" style="285" bestFit="1" customWidth="1"/>
    <col min="3329" max="3329" width="40.140625" style="285" bestFit="1" customWidth="1"/>
    <col min="3330" max="3330" width="11.7109375" style="285" customWidth="1"/>
    <col min="3331" max="3341" width="9.85546875" style="285" customWidth="1"/>
    <col min="3342" max="3342" width="13.7109375" style="285" customWidth="1"/>
    <col min="3343" max="3583" width="10" style="285"/>
    <col min="3584" max="3584" width="9.7109375" style="285" bestFit="1" customWidth="1"/>
    <col min="3585" max="3585" width="40.140625" style="285" bestFit="1" customWidth="1"/>
    <col min="3586" max="3586" width="11.7109375" style="285" customWidth="1"/>
    <col min="3587" max="3597" width="9.85546875" style="285" customWidth="1"/>
    <col min="3598" max="3598" width="13.7109375" style="285" customWidth="1"/>
    <col min="3599" max="3839" width="10" style="285"/>
    <col min="3840" max="3840" width="9.7109375" style="285" bestFit="1" customWidth="1"/>
    <col min="3841" max="3841" width="40.140625" style="285" bestFit="1" customWidth="1"/>
    <col min="3842" max="3842" width="11.7109375" style="285" customWidth="1"/>
    <col min="3843" max="3853" width="9.85546875" style="285" customWidth="1"/>
    <col min="3854" max="3854" width="13.7109375" style="285" customWidth="1"/>
    <col min="3855" max="4095" width="10" style="285"/>
    <col min="4096" max="4096" width="9.7109375" style="285" bestFit="1" customWidth="1"/>
    <col min="4097" max="4097" width="40.140625" style="285" bestFit="1" customWidth="1"/>
    <col min="4098" max="4098" width="11.7109375" style="285" customWidth="1"/>
    <col min="4099" max="4109" width="9.85546875" style="285" customWidth="1"/>
    <col min="4110" max="4110" width="13.7109375" style="285" customWidth="1"/>
    <col min="4111" max="4351" width="10" style="285"/>
    <col min="4352" max="4352" width="9.7109375" style="285" bestFit="1" customWidth="1"/>
    <col min="4353" max="4353" width="40.140625" style="285" bestFit="1" customWidth="1"/>
    <col min="4354" max="4354" width="11.7109375" style="285" customWidth="1"/>
    <col min="4355" max="4365" width="9.85546875" style="285" customWidth="1"/>
    <col min="4366" max="4366" width="13.7109375" style="285" customWidth="1"/>
    <col min="4367" max="4607" width="10" style="285"/>
    <col min="4608" max="4608" width="9.7109375" style="285" bestFit="1" customWidth="1"/>
    <col min="4609" max="4609" width="40.140625" style="285" bestFit="1" customWidth="1"/>
    <col min="4610" max="4610" width="11.7109375" style="285" customWidth="1"/>
    <col min="4611" max="4621" width="9.85546875" style="285" customWidth="1"/>
    <col min="4622" max="4622" width="13.7109375" style="285" customWidth="1"/>
    <col min="4623" max="4863" width="10" style="285"/>
    <col min="4864" max="4864" width="9.7109375" style="285" bestFit="1" customWidth="1"/>
    <col min="4865" max="4865" width="40.140625" style="285" bestFit="1" customWidth="1"/>
    <col min="4866" max="4866" width="11.7109375" style="285" customWidth="1"/>
    <col min="4867" max="4877" width="9.85546875" style="285" customWidth="1"/>
    <col min="4878" max="4878" width="13.7109375" style="285" customWidth="1"/>
    <col min="4879" max="5119" width="10" style="285"/>
    <col min="5120" max="5120" width="9.7109375" style="285" bestFit="1" customWidth="1"/>
    <col min="5121" max="5121" width="40.140625" style="285" bestFit="1" customWidth="1"/>
    <col min="5122" max="5122" width="11.7109375" style="285" customWidth="1"/>
    <col min="5123" max="5133" width="9.85546875" style="285" customWidth="1"/>
    <col min="5134" max="5134" width="13.7109375" style="285" customWidth="1"/>
    <col min="5135" max="5375" width="10" style="285"/>
    <col min="5376" max="5376" width="9.7109375" style="285" bestFit="1" customWidth="1"/>
    <col min="5377" max="5377" width="40.140625" style="285" bestFit="1" customWidth="1"/>
    <col min="5378" max="5378" width="11.7109375" style="285" customWidth="1"/>
    <col min="5379" max="5389" width="9.85546875" style="285" customWidth="1"/>
    <col min="5390" max="5390" width="13.7109375" style="285" customWidth="1"/>
    <col min="5391" max="5631" width="10" style="285"/>
    <col min="5632" max="5632" width="9.7109375" style="285" bestFit="1" customWidth="1"/>
    <col min="5633" max="5633" width="40.140625" style="285" bestFit="1" customWidth="1"/>
    <col min="5634" max="5634" width="11.7109375" style="285" customWidth="1"/>
    <col min="5635" max="5645" width="9.85546875" style="285" customWidth="1"/>
    <col min="5646" max="5646" width="13.7109375" style="285" customWidth="1"/>
    <col min="5647" max="5887" width="10" style="285"/>
    <col min="5888" max="5888" width="9.7109375" style="285" bestFit="1" customWidth="1"/>
    <col min="5889" max="5889" width="40.140625" style="285" bestFit="1" customWidth="1"/>
    <col min="5890" max="5890" width="11.7109375" style="285" customWidth="1"/>
    <col min="5891" max="5901" width="9.85546875" style="285" customWidth="1"/>
    <col min="5902" max="5902" width="13.7109375" style="285" customWidth="1"/>
    <col min="5903" max="6143" width="10" style="285"/>
    <col min="6144" max="6144" width="9.7109375" style="285" bestFit="1" customWidth="1"/>
    <col min="6145" max="6145" width="40.140625" style="285" bestFit="1" customWidth="1"/>
    <col min="6146" max="6146" width="11.7109375" style="285" customWidth="1"/>
    <col min="6147" max="6157" width="9.85546875" style="285" customWidth="1"/>
    <col min="6158" max="6158" width="13.7109375" style="285" customWidth="1"/>
    <col min="6159" max="6399" width="10" style="285"/>
    <col min="6400" max="6400" width="9.7109375" style="285" bestFit="1" customWidth="1"/>
    <col min="6401" max="6401" width="40.140625" style="285" bestFit="1" customWidth="1"/>
    <col min="6402" max="6402" width="11.7109375" style="285" customWidth="1"/>
    <col min="6403" max="6413" width="9.85546875" style="285" customWidth="1"/>
    <col min="6414" max="6414" width="13.7109375" style="285" customWidth="1"/>
    <col min="6415" max="6655" width="10" style="285"/>
    <col min="6656" max="6656" width="9.7109375" style="285" bestFit="1" customWidth="1"/>
    <col min="6657" max="6657" width="40.140625" style="285" bestFit="1" customWidth="1"/>
    <col min="6658" max="6658" width="11.7109375" style="285" customWidth="1"/>
    <col min="6659" max="6669" width="9.85546875" style="285" customWidth="1"/>
    <col min="6670" max="6670" width="13.7109375" style="285" customWidth="1"/>
    <col min="6671" max="6911" width="10" style="285"/>
    <col min="6912" max="6912" width="9.7109375" style="285" bestFit="1" customWidth="1"/>
    <col min="6913" max="6913" width="40.140625" style="285" bestFit="1" customWidth="1"/>
    <col min="6914" max="6914" width="11.7109375" style="285" customWidth="1"/>
    <col min="6915" max="6925" width="9.85546875" style="285" customWidth="1"/>
    <col min="6926" max="6926" width="13.7109375" style="285" customWidth="1"/>
    <col min="6927" max="7167" width="10" style="285"/>
    <col min="7168" max="7168" width="9.7109375" style="285" bestFit="1" customWidth="1"/>
    <col min="7169" max="7169" width="40.140625" style="285" bestFit="1" customWidth="1"/>
    <col min="7170" max="7170" width="11.7109375" style="285" customWidth="1"/>
    <col min="7171" max="7181" width="9.85546875" style="285" customWidth="1"/>
    <col min="7182" max="7182" width="13.7109375" style="285" customWidth="1"/>
    <col min="7183" max="7423" width="10" style="285"/>
    <col min="7424" max="7424" width="9.7109375" style="285" bestFit="1" customWidth="1"/>
    <col min="7425" max="7425" width="40.140625" style="285" bestFit="1" customWidth="1"/>
    <col min="7426" max="7426" width="11.7109375" style="285" customWidth="1"/>
    <col min="7427" max="7437" width="9.85546875" style="285" customWidth="1"/>
    <col min="7438" max="7438" width="13.7109375" style="285" customWidth="1"/>
    <col min="7439" max="7679" width="10" style="285"/>
    <col min="7680" max="7680" width="9.7109375" style="285" bestFit="1" customWidth="1"/>
    <col min="7681" max="7681" width="40.140625" style="285" bestFit="1" customWidth="1"/>
    <col min="7682" max="7682" width="11.7109375" style="285" customWidth="1"/>
    <col min="7683" max="7693" width="9.85546875" style="285" customWidth="1"/>
    <col min="7694" max="7694" width="13.7109375" style="285" customWidth="1"/>
    <col min="7695" max="7935" width="10" style="285"/>
    <col min="7936" max="7936" width="9.7109375" style="285" bestFit="1" customWidth="1"/>
    <col min="7937" max="7937" width="40.140625" style="285" bestFit="1" customWidth="1"/>
    <col min="7938" max="7938" width="11.7109375" style="285" customWidth="1"/>
    <col min="7939" max="7949" width="9.85546875" style="285" customWidth="1"/>
    <col min="7950" max="7950" width="13.7109375" style="285" customWidth="1"/>
    <col min="7951" max="8191" width="10" style="285"/>
    <col min="8192" max="8192" width="9.7109375" style="285" bestFit="1" customWidth="1"/>
    <col min="8193" max="8193" width="40.140625" style="285" bestFit="1" customWidth="1"/>
    <col min="8194" max="8194" width="11.7109375" style="285" customWidth="1"/>
    <col min="8195" max="8205" width="9.85546875" style="285" customWidth="1"/>
    <col min="8206" max="8206" width="13.7109375" style="285" customWidth="1"/>
    <col min="8207" max="8447" width="10" style="285"/>
    <col min="8448" max="8448" width="9.7109375" style="285" bestFit="1" customWidth="1"/>
    <col min="8449" max="8449" width="40.140625" style="285" bestFit="1" customWidth="1"/>
    <col min="8450" max="8450" width="11.7109375" style="285" customWidth="1"/>
    <col min="8451" max="8461" width="9.85546875" style="285" customWidth="1"/>
    <col min="8462" max="8462" width="13.7109375" style="285" customWidth="1"/>
    <col min="8463" max="8703" width="10" style="285"/>
    <col min="8704" max="8704" width="9.7109375" style="285" bestFit="1" customWidth="1"/>
    <col min="8705" max="8705" width="40.140625" style="285" bestFit="1" customWidth="1"/>
    <col min="8706" max="8706" width="11.7109375" style="285" customWidth="1"/>
    <col min="8707" max="8717" width="9.85546875" style="285" customWidth="1"/>
    <col min="8718" max="8718" width="13.7109375" style="285" customWidth="1"/>
    <col min="8719" max="8959" width="10" style="285"/>
    <col min="8960" max="8960" width="9.7109375" style="285" bestFit="1" customWidth="1"/>
    <col min="8961" max="8961" width="40.140625" style="285" bestFit="1" customWidth="1"/>
    <col min="8962" max="8962" width="11.7109375" style="285" customWidth="1"/>
    <col min="8963" max="8973" width="9.85546875" style="285" customWidth="1"/>
    <col min="8974" max="8974" width="13.7109375" style="285" customWidth="1"/>
    <col min="8975" max="9215" width="10" style="285"/>
    <col min="9216" max="9216" width="9.7109375" style="285" bestFit="1" customWidth="1"/>
    <col min="9217" max="9217" width="40.140625" style="285" bestFit="1" customWidth="1"/>
    <col min="9218" max="9218" width="11.7109375" style="285" customWidth="1"/>
    <col min="9219" max="9229" width="9.85546875" style="285" customWidth="1"/>
    <col min="9230" max="9230" width="13.7109375" style="285" customWidth="1"/>
    <col min="9231" max="9471" width="10" style="285"/>
    <col min="9472" max="9472" width="9.7109375" style="285" bestFit="1" customWidth="1"/>
    <col min="9473" max="9473" width="40.140625" style="285" bestFit="1" customWidth="1"/>
    <col min="9474" max="9474" width="11.7109375" style="285" customWidth="1"/>
    <col min="9475" max="9485" width="9.85546875" style="285" customWidth="1"/>
    <col min="9486" max="9486" width="13.7109375" style="285" customWidth="1"/>
    <col min="9487" max="9727" width="10" style="285"/>
    <col min="9728" max="9728" width="9.7109375" style="285" bestFit="1" customWidth="1"/>
    <col min="9729" max="9729" width="40.140625" style="285" bestFit="1" customWidth="1"/>
    <col min="9730" max="9730" width="11.7109375" style="285" customWidth="1"/>
    <col min="9731" max="9741" width="9.85546875" style="285" customWidth="1"/>
    <col min="9742" max="9742" width="13.7109375" style="285" customWidth="1"/>
    <col min="9743" max="9983" width="10" style="285"/>
    <col min="9984" max="9984" width="9.7109375" style="285" bestFit="1" customWidth="1"/>
    <col min="9985" max="9985" width="40.140625" style="285" bestFit="1" customWidth="1"/>
    <col min="9986" max="9986" width="11.7109375" style="285" customWidth="1"/>
    <col min="9987" max="9997" width="9.85546875" style="285" customWidth="1"/>
    <col min="9998" max="9998" width="13.7109375" style="285" customWidth="1"/>
    <col min="9999" max="10239" width="10" style="285"/>
    <col min="10240" max="10240" width="9.7109375" style="285" bestFit="1" customWidth="1"/>
    <col min="10241" max="10241" width="40.140625" style="285" bestFit="1" customWidth="1"/>
    <col min="10242" max="10242" width="11.7109375" style="285" customWidth="1"/>
    <col min="10243" max="10253" width="9.85546875" style="285" customWidth="1"/>
    <col min="10254" max="10254" width="13.7109375" style="285" customWidth="1"/>
    <col min="10255" max="10495" width="10" style="285"/>
    <col min="10496" max="10496" width="9.7109375" style="285" bestFit="1" customWidth="1"/>
    <col min="10497" max="10497" width="40.140625" style="285" bestFit="1" customWidth="1"/>
    <col min="10498" max="10498" width="11.7109375" style="285" customWidth="1"/>
    <col min="10499" max="10509" width="9.85546875" style="285" customWidth="1"/>
    <col min="10510" max="10510" width="13.7109375" style="285" customWidth="1"/>
    <col min="10511" max="10751" width="10" style="285"/>
    <col min="10752" max="10752" width="9.7109375" style="285" bestFit="1" customWidth="1"/>
    <col min="10753" max="10753" width="40.140625" style="285" bestFit="1" customWidth="1"/>
    <col min="10754" max="10754" width="11.7109375" style="285" customWidth="1"/>
    <col min="10755" max="10765" width="9.85546875" style="285" customWidth="1"/>
    <col min="10766" max="10766" width="13.7109375" style="285" customWidth="1"/>
    <col min="10767" max="11007" width="10" style="285"/>
    <col min="11008" max="11008" width="9.7109375" style="285" bestFit="1" customWidth="1"/>
    <col min="11009" max="11009" width="40.140625" style="285" bestFit="1" customWidth="1"/>
    <col min="11010" max="11010" width="11.7109375" style="285" customWidth="1"/>
    <col min="11011" max="11021" width="9.85546875" style="285" customWidth="1"/>
    <col min="11022" max="11022" width="13.7109375" style="285" customWidth="1"/>
    <col min="11023" max="11263" width="10" style="285"/>
    <col min="11264" max="11264" width="9.7109375" style="285" bestFit="1" customWidth="1"/>
    <col min="11265" max="11265" width="40.140625" style="285" bestFit="1" customWidth="1"/>
    <col min="11266" max="11266" width="11.7109375" style="285" customWidth="1"/>
    <col min="11267" max="11277" width="9.85546875" style="285" customWidth="1"/>
    <col min="11278" max="11278" width="13.7109375" style="285" customWidth="1"/>
    <col min="11279" max="11519" width="10" style="285"/>
    <col min="11520" max="11520" width="9.7109375" style="285" bestFit="1" customWidth="1"/>
    <col min="11521" max="11521" width="40.140625" style="285" bestFit="1" customWidth="1"/>
    <col min="11522" max="11522" width="11.7109375" style="285" customWidth="1"/>
    <col min="11523" max="11533" width="9.85546875" style="285" customWidth="1"/>
    <col min="11534" max="11534" width="13.7109375" style="285" customWidth="1"/>
    <col min="11535" max="11775" width="10" style="285"/>
    <col min="11776" max="11776" width="9.7109375" style="285" bestFit="1" customWidth="1"/>
    <col min="11777" max="11777" width="40.140625" style="285" bestFit="1" customWidth="1"/>
    <col min="11778" max="11778" width="11.7109375" style="285" customWidth="1"/>
    <col min="11779" max="11789" width="9.85546875" style="285" customWidth="1"/>
    <col min="11790" max="11790" width="13.7109375" style="285" customWidth="1"/>
    <col min="11791" max="12031" width="10" style="285"/>
    <col min="12032" max="12032" width="9.7109375" style="285" bestFit="1" customWidth="1"/>
    <col min="12033" max="12033" width="40.140625" style="285" bestFit="1" customWidth="1"/>
    <col min="12034" max="12034" width="11.7109375" style="285" customWidth="1"/>
    <col min="12035" max="12045" width="9.85546875" style="285" customWidth="1"/>
    <col min="12046" max="12046" width="13.7109375" style="285" customWidth="1"/>
    <col min="12047" max="12287" width="10" style="285"/>
    <col min="12288" max="12288" width="9.7109375" style="285" bestFit="1" customWidth="1"/>
    <col min="12289" max="12289" width="40.140625" style="285" bestFit="1" customWidth="1"/>
    <col min="12290" max="12290" width="11.7109375" style="285" customWidth="1"/>
    <col min="12291" max="12301" width="9.85546875" style="285" customWidth="1"/>
    <col min="12302" max="12302" width="13.7109375" style="285" customWidth="1"/>
    <col min="12303" max="12543" width="10" style="285"/>
    <col min="12544" max="12544" width="9.7109375" style="285" bestFit="1" customWidth="1"/>
    <col min="12545" max="12545" width="40.140625" style="285" bestFit="1" customWidth="1"/>
    <col min="12546" max="12546" width="11.7109375" style="285" customWidth="1"/>
    <col min="12547" max="12557" width="9.85546875" style="285" customWidth="1"/>
    <col min="12558" max="12558" width="13.7109375" style="285" customWidth="1"/>
    <col min="12559" max="12799" width="10" style="285"/>
    <col min="12800" max="12800" width="9.7109375" style="285" bestFit="1" customWidth="1"/>
    <col min="12801" max="12801" width="40.140625" style="285" bestFit="1" customWidth="1"/>
    <col min="12802" max="12802" width="11.7109375" style="285" customWidth="1"/>
    <col min="12803" max="12813" width="9.85546875" style="285" customWidth="1"/>
    <col min="12814" max="12814" width="13.7109375" style="285" customWidth="1"/>
    <col min="12815" max="13055" width="10" style="285"/>
    <col min="13056" max="13056" width="9.7109375" style="285" bestFit="1" customWidth="1"/>
    <col min="13057" max="13057" width="40.140625" style="285" bestFit="1" customWidth="1"/>
    <col min="13058" max="13058" width="11.7109375" style="285" customWidth="1"/>
    <col min="13059" max="13069" width="9.85546875" style="285" customWidth="1"/>
    <col min="13070" max="13070" width="13.7109375" style="285" customWidth="1"/>
    <col min="13071" max="13311" width="10" style="285"/>
    <col min="13312" max="13312" width="9.7109375" style="285" bestFit="1" customWidth="1"/>
    <col min="13313" max="13313" width="40.140625" style="285" bestFit="1" customWidth="1"/>
    <col min="13314" max="13314" width="11.7109375" style="285" customWidth="1"/>
    <col min="13315" max="13325" width="9.85546875" style="285" customWidth="1"/>
    <col min="13326" max="13326" width="13.7109375" style="285" customWidth="1"/>
    <col min="13327" max="13567" width="10" style="285"/>
    <col min="13568" max="13568" width="9.7109375" style="285" bestFit="1" customWidth="1"/>
    <col min="13569" max="13569" width="40.140625" style="285" bestFit="1" customWidth="1"/>
    <col min="13570" max="13570" width="11.7109375" style="285" customWidth="1"/>
    <col min="13571" max="13581" width="9.85546875" style="285" customWidth="1"/>
    <col min="13582" max="13582" width="13.7109375" style="285" customWidth="1"/>
    <col min="13583" max="13823" width="10" style="285"/>
    <col min="13824" max="13824" width="9.7109375" style="285" bestFit="1" customWidth="1"/>
    <col min="13825" max="13825" width="40.140625" style="285" bestFit="1" customWidth="1"/>
    <col min="13826" max="13826" width="11.7109375" style="285" customWidth="1"/>
    <col min="13827" max="13837" width="9.85546875" style="285" customWidth="1"/>
    <col min="13838" max="13838" width="13.7109375" style="285" customWidth="1"/>
    <col min="13839" max="14079" width="10" style="285"/>
    <col min="14080" max="14080" width="9.7109375" style="285" bestFit="1" customWidth="1"/>
    <col min="14081" max="14081" width="40.140625" style="285" bestFit="1" customWidth="1"/>
    <col min="14082" max="14082" width="11.7109375" style="285" customWidth="1"/>
    <col min="14083" max="14093" width="9.85546875" style="285" customWidth="1"/>
    <col min="14094" max="14094" width="13.7109375" style="285" customWidth="1"/>
    <col min="14095" max="14335" width="10" style="285"/>
    <col min="14336" max="14336" width="9.7109375" style="285" bestFit="1" customWidth="1"/>
    <col min="14337" max="14337" width="40.140625" style="285" bestFit="1" customWidth="1"/>
    <col min="14338" max="14338" width="11.7109375" style="285" customWidth="1"/>
    <col min="14339" max="14349" width="9.85546875" style="285" customWidth="1"/>
    <col min="14350" max="14350" width="13.7109375" style="285" customWidth="1"/>
    <col min="14351" max="14591" width="10" style="285"/>
    <col min="14592" max="14592" width="9.7109375" style="285" bestFit="1" customWidth="1"/>
    <col min="14593" max="14593" width="40.140625" style="285" bestFit="1" customWidth="1"/>
    <col min="14594" max="14594" width="11.7109375" style="285" customWidth="1"/>
    <col min="14595" max="14605" width="9.85546875" style="285" customWidth="1"/>
    <col min="14606" max="14606" width="13.7109375" style="285" customWidth="1"/>
    <col min="14607" max="14847" width="10" style="285"/>
    <col min="14848" max="14848" width="9.7109375" style="285" bestFit="1" customWidth="1"/>
    <col min="14849" max="14849" width="40.140625" style="285" bestFit="1" customWidth="1"/>
    <col min="14850" max="14850" width="11.7109375" style="285" customWidth="1"/>
    <col min="14851" max="14861" width="9.85546875" style="285" customWidth="1"/>
    <col min="14862" max="14862" width="13.7109375" style="285" customWidth="1"/>
    <col min="14863" max="15103" width="10" style="285"/>
    <col min="15104" max="15104" width="9.7109375" style="285" bestFit="1" customWidth="1"/>
    <col min="15105" max="15105" width="40.140625" style="285" bestFit="1" customWidth="1"/>
    <col min="15106" max="15106" width="11.7109375" style="285" customWidth="1"/>
    <col min="15107" max="15117" width="9.85546875" style="285" customWidth="1"/>
    <col min="15118" max="15118" width="13.7109375" style="285" customWidth="1"/>
    <col min="15119" max="15359" width="10" style="285"/>
    <col min="15360" max="15360" width="9.7109375" style="285" bestFit="1" customWidth="1"/>
    <col min="15361" max="15361" width="40.140625" style="285" bestFit="1" customWidth="1"/>
    <col min="15362" max="15362" width="11.7109375" style="285" customWidth="1"/>
    <col min="15363" max="15373" width="9.85546875" style="285" customWidth="1"/>
    <col min="15374" max="15374" width="13.7109375" style="285" customWidth="1"/>
    <col min="15375" max="15615" width="10" style="285"/>
    <col min="15616" max="15616" width="9.7109375" style="285" bestFit="1" customWidth="1"/>
    <col min="15617" max="15617" width="40.140625" style="285" bestFit="1" customWidth="1"/>
    <col min="15618" max="15618" width="11.7109375" style="285" customWidth="1"/>
    <col min="15619" max="15629" width="9.85546875" style="285" customWidth="1"/>
    <col min="15630" max="15630" width="13.7109375" style="285" customWidth="1"/>
    <col min="15631" max="15871" width="10" style="285"/>
    <col min="15872" max="15872" width="9.7109375" style="285" bestFit="1" customWidth="1"/>
    <col min="15873" max="15873" width="40.140625" style="285" bestFit="1" customWidth="1"/>
    <col min="15874" max="15874" width="11.7109375" style="285" customWidth="1"/>
    <col min="15875" max="15885" width="9.85546875" style="285" customWidth="1"/>
    <col min="15886" max="15886" width="13.7109375" style="285" customWidth="1"/>
    <col min="15887" max="16127" width="10" style="285"/>
    <col min="16128" max="16128" width="9.7109375" style="285" bestFit="1" customWidth="1"/>
    <col min="16129" max="16129" width="40.140625" style="285" bestFit="1" customWidth="1"/>
    <col min="16130" max="16130" width="11.7109375" style="285" customWidth="1"/>
    <col min="16131" max="16141" width="9.85546875" style="285" customWidth="1"/>
    <col min="16142" max="16142" width="13.7109375" style="285" customWidth="1"/>
    <col min="16143" max="16384" width="10" style="285"/>
  </cols>
  <sheetData>
    <row r="1" spans="1:15" s="379" customFormat="1" ht="30" customHeight="1" x14ac:dyDescent="0.2">
      <c r="B1" s="1331" t="s">
        <v>208</v>
      </c>
      <c r="C1" s="1332"/>
      <c r="D1" s="1332"/>
      <c r="E1" s="1332"/>
      <c r="F1" s="1332"/>
      <c r="G1" s="1332"/>
      <c r="H1" s="1332"/>
      <c r="I1" s="1332"/>
      <c r="J1" s="1332"/>
      <c r="K1" s="1332"/>
      <c r="L1" s="1332"/>
      <c r="M1" s="1332"/>
      <c r="N1" s="1332"/>
      <c r="O1" s="377"/>
    </row>
    <row r="2" spans="1:15" s="379" customFormat="1" ht="30" customHeight="1" x14ac:dyDescent="0.2">
      <c r="A2" s="380"/>
      <c r="B2" s="1333"/>
      <c r="C2" s="1334"/>
      <c r="D2" s="1334"/>
      <c r="E2" s="1334"/>
      <c r="F2" s="1334"/>
      <c r="G2" s="1334"/>
      <c r="H2" s="1334"/>
      <c r="I2" s="1334"/>
      <c r="J2" s="1334"/>
      <c r="K2" s="1334"/>
      <c r="L2" s="1334"/>
      <c r="M2" s="1334"/>
      <c r="N2" s="1334"/>
      <c r="O2" s="377"/>
    </row>
    <row r="3" spans="1:15" x14ac:dyDescent="0.25">
      <c r="A3" s="381"/>
    </row>
    <row r="4" spans="1:15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</row>
    <row r="5" spans="1:15" x14ac:dyDescent="0.25">
      <c r="A5" s="381"/>
      <c r="N5" s="408">
        <v>2018</v>
      </c>
    </row>
    <row r="6" spans="1:15" x14ac:dyDescent="0.25">
      <c r="A6" s="381" t="s">
        <v>209</v>
      </c>
      <c r="B6" s="383"/>
      <c r="N6" s="409"/>
    </row>
    <row r="8" spans="1:15" ht="12.75" customHeight="1" x14ac:dyDescent="0.25">
      <c r="A8" s="1164" t="s">
        <v>210</v>
      </c>
      <c r="B8" s="1165"/>
      <c r="C8" s="1168" t="s">
        <v>516</v>
      </c>
      <c r="D8" s="1168" t="s">
        <v>212</v>
      </c>
      <c r="E8" s="1168" t="s">
        <v>213</v>
      </c>
      <c r="F8" s="1168" t="s">
        <v>214</v>
      </c>
      <c r="G8" s="1168" t="s">
        <v>215</v>
      </c>
      <c r="H8" s="1168" t="s">
        <v>216</v>
      </c>
      <c r="I8" s="1168" t="s">
        <v>517</v>
      </c>
      <c r="J8" s="1168" t="s">
        <v>218</v>
      </c>
      <c r="K8" s="1168" t="s">
        <v>518</v>
      </c>
      <c r="L8" s="1150" t="s">
        <v>519</v>
      </c>
      <c r="M8" s="1150" t="s">
        <v>520</v>
      </c>
      <c r="N8" s="1150" t="s">
        <v>222</v>
      </c>
      <c r="O8" s="1150" t="s">
        <v>152</v>
      </c>
    </row>
    <row r="9" spans="1:15" x14ac:dyDescent="0.25">
      <c r="A9" s="1166"/>
      <c r="B9" s="1167"/>
      <c r="C9" s="1169"/>
      <c r="D9" s="1169"/>
      <c r="E9" s="1169"/>
      <c r="F9" s="1169"/>
      <c r="G9" s="1169"/>
      <c r="H9" s="1169"/>
      <c r="I9" s="1169"/>
      <c r="J9" s="1169"/>
      <c r="K9" s="1169"/>
      <c r="L9" s="1197"/>
      <c r="M9" s="1197"/>
      <c r="N9" s="1197"/>
      <c r="O9" s="1197"/>
    </row>
    <row r="10" spans="1:15" s="384" customFormat="1" ht="13.5" customHeight="1" x14ac:dyDescent="0.2">
      <c r="A10" s="719" t="s">
        <v>223</v>
      </c>
      <c r="B10" s="720" t="s">
        <v>224</v>
      </c>
      <c r="C10" s="721">
        <f>C11+C24+C27</f>
        <v>130078.05</v>
      </c>
      <c r="D10" s="721">
        <f t="shared" ref="D10:N10" si="0">D11+D24+D27</f>
        <v>132239.82999999999</v>
      </c>
      <c r="E10" s="721">
        <f t="shared" si="0"/>
        <v>167923.91</v>
      </c>
      <c r="F10" s="721">
        <f t="shared" si="0"/>
        <v>137434.76999999999</v>
      </c>
      <c r="G10" s="721">
        <f t="shared" si="0"/>
        <v>115532.52</v>
      </c>
      <c r="H10" s="721">
        <f t="shared" si="0"/>
        <v>101287.14</v>
      </c>
      <c r="I10" s="721">
        <f t="shared" si="0"/>
        <v>153615.03</v>
      </c>
      <c r="J10" s="721">
        <f t="shared" si="0"/>
        <v>161981.82</v>
      </c>
      <c r="K10" s="721">
        <f t="shared" si="0"/>
        <v>211971.15</v>
      </c>
      <c r="L10" s="721">
        <f t="shared" si="0"/>
        <v>159957</v>
      </c>
      <c r="M10" s="721">
        <f t="shared" si="0"/>
        <v>176578</v>
      </c>
      <c r="N10" s="721">
        <f t="shared" si="0"/>
        <v>186452</v>
      </c>
      <c r="O10" s="721">
        <f>AVERAGE(C10:K10)</f>
        <v>145784.91333333333</v>
      </c>
    </row>
    <row r="11" spans="1:15" s="384" customFormat="1" ht="13.5" customHeight="1" x14ac:dyDescent="0.2">
      <c r="A11" s="725" t="s">
        <v>225</v>
      </c>
      <c r="B11" s="726" t="s">
        <v>226</v>
      </c>
      <c r="C11" s="727">
        <f>C12+C17+C20+C22</f>
        <v>130078.05</v>
      </c>
      <c r="D11" s="727">
        <f t="shared" ref="D11:N11" si="1">D12+D17+D20+D22</f>
        <v>132239.82999999999</v>
      </c>
      <c r="E11" s="727">
        <f t="shared" si="1"/>
        <v>167923.91</v>
      </c>
      <c r="F11" s="727">
        <f t="shared" si="1"/>
        <v>137434.76999999999</v>
      </c>
      <c r="G11" s="727">
        <f t="shared" si="1"/>
        <v>115532.52</v>
      </c>
      <c r="H11" s="727">
        <f t="shared" si="1"/>
        <v>101287.14</v>
      </c>
      <c r="I11" s="727">
        <f t="shared" si="1"/>
        <v>153615.03</v>
      </c>
      <c r="J11" s="727">
        <f t="shared" si="1"/>
        <v>161981.82</v>
      </c>
      <c r="K11" s="727">
        <f t="shared" si="1"/>
        <v>211971.15</v>
      </c>
      <c r="L11" s="727">
        <f t="shared" si="1"/>
        <v>159957</v>
      </c>
      <c r="M11" s="727">
        <f t="shared" si="1"/>
        <v>176578</v>
      </c>
      <c r="N11" s="727">
        <f t="shared" si="1"/>
        <v>186452</v>
      </c>
      <c r="O11" s="727">
        <f t="shared" ref="O11:O74" si="2">AVERAGE(C11:K11)</f>
        <v>145784.91333333333</v>
      </c>
    </row>
    <row r="12" spans="1:15" s="384" customFormat="1" ht="13.5" customHeight="1" x14ac:dyDescent="0.2">
      <c r="A12" s="731" t="s">
        <v>227</v>
      </c>
      <c r="B12" s="732" t="s">
        <v>228</v>
      </c>
      <c r="C12" s="733">
        <f>C13+C14+C15+C16</f>
        <v>130078.05</v>
      </c>
      <c r="D12" s="733">
        <f t="shared" ref="D12:N12" si="3">D13+D14+D15+D16</f>
        <v>132239.82999999999</v>
      </c>
      <c r="E12" s="733">
        <f t="shared" si="3"/>
        <v>167923.91</v>
      </c>
      <c r="F12" s="733">
        <f t="shared" si="3"/>
        <v>137434.76999999999</v>
      </c>
      <c r="G12" s="733">
        <f t="shared" si="3"/>
        <v>115532.52</v>
      </c>
      <c r="H12" s="733">
        <f t="shared" si="3"/>
        <v>101287.14</v>
      </c>
      <c r="I12" s="733">
        <f t="shared" si="3"/>
        <v>153615.03</v>
      </c>
      <c r="J12" s="733">
        <f t="shared" si="3"/>
        <v>161981.82</v>
      </c>
      <c r="K12" s="733">
        <f t="shared" si="3"/>
        <v>211971.15</v>
      </c>
      <c r="L12" s="733">
        <f t="shared" si="3"/>
        <v>159957</v>
      </c>
      <c r="M12" s="733">
        <f t="shared" si="3"/>
        <v>176578</v>
      </c>
      <c r="N12" s="733">
        <f t="shared" si="3"/>
        <v>186452</v>
      </c>
      <c r="O12" s="733">
        <f t="shared" si="2"/>
        <v>145784.91333333333</v>
      </c>
    </row>
    <row r="13" spans="1:15" s="385" customFormat="1" ht="13.5" customHeight="1" x14ac:dyDescent="0.2">
      <c r="A13" s="735" t="s">
        <v>229</v>
      </c>
      <c r="B13" s="736" t="s">
        <v>230</v>
      </c>
      <c r="C13" s="737">
        <v>130078.05</v>
      </c>
      <c r="D13" s="737">
        <v>132239.82999999999</v>
      </c>
      <c r="E13" s="737">
        <v>167923.91</v>
      </c>
      <c r="F13" s="737">
        <v>137434.76999999999</v>
      </c>
      <c r="G13" s="737">
        <v>115532.52</v>
      </c>
      <c r="H13" s="737">
        <v>101287.14</v>
      </c>
      <c r="I13" s="737">
        <v>153615.03</v>
      </c>
      <c r="J13" s="737">
        <v>161981.82</v>
      </c>
      <c r="K13" s="737">
        <v>211971.15</v>
      </c>
      <c r="L13" s="737">
        <f>153291+6666</f>
        <v>159957</v>
      </c>
      <c r="M13" s="737">
        <f>169912+6666</f>
        <v>176578</v>
      </c>
      <c r="N13" s="737">
        <f>179786+6666</f>
        <v>186452</v>
      </c>
      <c r="O13" s="737">
        <f t="shared" si="2"/>
        <v>145784.91333333333</v>
      </c>
    </row>
    <row r="14" spans="1:15" s="385" customFormat="1" ht="13.5" customHeight="1" x14ac:dyDescent="0.2">
      <c r="A14" s="735" t="s">
        <v>231</v>
      </c>
      <c r="B14" s="736" t="s">
        <v>232</v>
      </c>
      <c r="C14" s="737">
        <v>0</v>
      </c>
      <c r="D14" s="737">
        <v>0</v>
      </c>
      <c r="E14" s="737">
        <v>0</v>
      </c>
      <c r="F14" s="737">
        <v>0</v>
      </c>
      <c r="G14" s="737">
        <v>0</v>
      </c>
      <c r="H14" s="737">
        <v>0</v>
      </c>
      <c r="I14" s="737">
        <v>0</v>
      </c>
      <c r="J14" s="737">
        <v>0</v>
      </c>
      <c r="K14" s="737">
        <v>0</v>
      </c>
      <c r="L14" s="741">
        <v>0</v>
      </c>
      <c r="M14" s="741">
        <v>0</v>
      </c>
      <c r="N14" s="741">
        <v>0</v>
      </c>
      <c r="O14" s="741">
        <f t="shared" si="2"/>
        <v>0</v>
      </c>
    </row>
    <row r="15" spans="1:15" s="385" customFormat="1" ht="13.5" customHeight="1" x14ac:dyDescent="0.2">
      <c r="A15" s="735" t="s">
        <v>233</v>
      </c>
      <c r="B15" s="736" t="s">
        <v>234</v>
      </c>
      <c r="C15" s="741">
        <v>0</v>
      </c>
      <c r="D15" s="741">
        <v>0</v>
      </c>
      <c r="E15" s="741">
        <v>0</v>
      </c>
      <c r="F15" s="741">
        <v>0</v>
      </c>
      <c r="G15" s="741">
        <v>0</v>
      </c>
      <c r="H15" s="741">
        <v>0</v>
      </c>
      <c r="I15" s="741">
        <v>0</v>
      </c>
      <c r="J15" s="741">
        <v>0</v>
      </c>
      <c r="K15" s="741">
        <v>0</v>
      </c>
      <c r="L15" s="741">
        <v>0</v>
      </c>
      <c r="M15" s="741">
        <v>0</v>
      </c>
      <c r="N15" s="741">
        <v>0</v>
      </c>
      <c r="O15" s="741">
        <f t="shared" si="2"/>
        <v>0</v>
      </c>
    </row>
    <row r="16" spans="1:15" s="384" customFormat="1" ht="13.5" customHeight="1" x14ac:dyDescent="0.2">
      <c r="A16" s="735" t="s">
        <v>235</v>
      </c>
      <c r="B16" s="736" t="s">
        <v>236</v>
      </c>
      <c r="C16" s="737">
        <v>0</v>
      </c>
      <c r="D16" s="737">
        <v>0</v>
      </c>
      <c r="E16" s="737">
        <v>0</v>
      </c>
      <c r="F16" s="737">
        <v>0</v>
      </c>
      <c r="G16" s="737">
        <v>0</v>
      </c>
      <c r="H16" s="737">
        <v>0</v>
      </c>
      <c r="I16" s="737">
        <v>0</v>
      </c>
      <c r="J16" s="737">
        <v>0</v>
      </c>
      <c r="K16" s="737">
        <v>0</v>
      </c>
      <c r="L16" s="737">
        <v>0</v>
      </c>
      <c r="M16" s="737">
        <v>0</v>
      </c>
      <c r="N16" s="737">
        <v>0</v>
      </c>
      <c r="O16" s="737">
        <f t="shared" si="2"/>
        <v>0</v>
      </c>
    </row>
    <row r="17" spans="1:15" s="384" customFormat="1" ht="13.5" customHeight="1" x14ac:dyDescent="0.2">
      <c r="A17" s="731" t="s">
        <v>237</v>
      </c>
      <c r="B17" s="732" t="s">
        <v>238</v>
      </c>
      <c r="C17" s="733">
        <f>C18+C19</f>
        <v>0</v>
      </c>
      <c r="D17" s="733">
        <f t="shared" ref="D17:N17" si="4">D18+D19</f>
        <v>0</v>
      </c>
      <c r="E17" s="733">
        <f t="shared" si="4"/>
        <v>0</v>
      </c>
      <c r="F17" s="733">
        <f t="shared" si="4"/>
        <v>0</v>
      </c>
      <c r="G17" s="733">
        <f t="shared" si="4"/>
        <v>0</v>
      </c>
      <c r="H17" s="733">
        <f t="shared" si="4"/>
        <v>0</v>
      </c>
      <c r="I17" s="733">
        <f t="shared" si="4"/>
        <v>0</v>
      </c>
      <c r="J17" s="733">
        <f t="shared" si="4"/>
        <v>0</v>
      </c>
      <c r="K17" s="733">
        <f t="shared" si="4"/>
        <v>0</v>
      </c>
      <c r="L17" s="733">
        <f t="shared" si="4"/>
        <v>0</v>
      </c>
      <c r="M17" s="733">
        <f t="shared" si="4"/>
        <v>0</v>
      </c>
      <c r="N17" s="733">
        <f t="shared" si="4"/>
        <v>0</v>
      </c>
      <c r="O17" s="733">
        <f t="shared" si="2"/>
        <v>0</v>
      </c>
    </row>
    <row r="18" spans="1:15" s="384" customFormat="1" ht="13.5" customHeight="1" x14ac:dyDescent="0.2">
      <c r="A18" s="735" t="s">
        <v>239</v>
      </c>
      <c r="B18" s="736" t="s">
        <v>240</v>
      </c>
      <c r="C18" s="737">
        <v>0</v>
      </c>
      <c r="D18" s="737">
        <v>0</v>
      </c>
      <c r="E18" s="737">
        <v>0</v>
      </c>
      <c r="F18" s="737">
        <v>0</v>
      </c>
      <c r="G18" s="737">
        <v>0</v>
      </c>
      <c r="H18" s="737">
        <v>0</v>
      </c>
      <c r="I18" s="737">
        <v>0</v>
      </c>
      <c r="J18" s="737">
        <v>0</v>
      </c>
      <c r="K18" s="737">
        <v>0</v>
      </c>
      <c r="L18" s="737">
        <v>0</v>
      </c>
      <c r="M18" s="737">
        <v>0</v>
      </c>
      <c r="N18" s="737">
        <v>0</v>
      </c>
      <c r="O18" s="737">
        <f t="shared" si="2"/>
        <v>0</v>
      </c>
    </row>
    <row r="19" spans="1:15" s="384" customFormat="1" ht="13.5" customHeight="1" x14ac:dyDescent="0.2">
      <c r="A19" s="735" t="s">
        <v>241</v>
      </c>
      <c r="B19" s="736" t="s">
        <v>242</v>
      </c>
      <c r="C19" s="737">
        <v>0</v>
      </c>
      <c r="D19" s="737">
        <v>0</v>
      </c>
      <c r="E19" s="737">
        <v>0</v>
      </c>
      <c r="F19" s="737">
        <v>0</v>
      </c>
      <c r="G19" s="737">
        <v>0</v>
      </c>
      <c r="H19" s="737">
        <v>0</v>
      </c>
      <c r="I19" s="737">
        <v>0</v>
      </c>
      <c r="J19" s="737">
        <v>0</v>
      </c>
      <c r="K19" s="737">
        <v>0</v>
      </c>
      <c r="L19" s="737">
        <v>0</v>
      </c>
      <c r="M19" s="737">
        <v>0</v>
      </c>
      <c r="N19" s="737">
        <v>0</v>
      </c>
      <c r="O19" s="737">
        <f t="shared" si="2"/>
        <v>0</v>
      </c>
    </row>
    <row r="20" spans="1:15" s="384" customFormat="1" ht="13.5" customHeight="1" x14ac:dyDescent="0.2">
      <c r="A20" s="731" t="s">
        <v>243</v>
      </c>
      <c r="B20" s="732" t="s">
        <v>244</v>
      </c>
      <c r="C20" s="733">
        <f>C21</f>
        <v>0</v>
      </c>
      <c r="D20" s="733">
        <f t="shared" ref="D20:N20" si="5">D21</f>
        <v>0</v>
      </c>
      <c r="E20" s="733">
        <f t="shared" si="5"/>
        <v>0</v>
      </c>
      <c r="F20" s="733">
        <f t="shared" si="5"/>
        <v>0</v>
      </c>
      <c r="G20" s="733">
        <f t="shared" si="5"/>
        <v>0</v>
      </c>
      <c r="H20" s="733">
        <f t="shared" si="5"/>
        <v>0</v>
      </c>
      <c r="I20" s="733">
        <f t="shared" si="5"/>
        <v>0</v>
      </c>
      <c r="J20" s="733">
        <f t="shared" si="5"/>
        <v>0</v>
      </c>
      <c r="K20" s="733">
        <f t="shared" si="5"/>
        <v>0</v>
      </c>
      <c r="L20" s="733">
        <f t="shared" si="5"/>
        <v>0</v>
      </c>
      <c r="M20" s="733">
        <f t="shared" si="5"/>
        <v>0</v>
      </c>
      <c r="N20" s="733">
        <f t="shared" si="5"/>
        <v>0</v>
      </c>
      <c r="O20" s="733">
        <f t="shared" si="2"/>
        <v>0</v>
      </c>
    </row>
    <row r="21" spans="1:15" s="384" customFormat="1" ht="13.5" customHeight="1" x14ac:dyDescent="0.2">
      <c r="A21" s="735" t="s">
        <v>245</v>
      </c>
      <c r="B21" s="736" t="s">
        <v>246</v>
      </c>
      <c r="C21" s="737">
        <v>0</v>
      </c>
      <c r="D21" s="737">
        <v>0</v>
      </c>
      <c r="E21" s="737">
        <v>0</v>
      </c>
      <c r="F21" s="737">
        <v>0</v>
      </c>
      <c r="G21" s="737">
        <v>0</v>
      </c>
      <c r="H21" s="737">
        <v>0</v>
      </c>
      <c r="I21" s="737">
        <v>0</v>
      </c>
      <c r="J21" s="737">
        <v>0</v>
      </c>
      <c r="K21" s="737">
        <v>0</v>
      </c>
      <c r="L21" s="737">
        <v>0</v>
      </c>
      <c r="M21" s="737">
        <v>0</v>
      </c>
      <c r="N21" s="737">
        <v>0</v>
      </c>
      <c r="O21" s="737">
        <f t="shared" si="2"/>
        <v>0</v>
      </c>
    </row>
    <row r="22" spans="1:15" s="384" customFormat="1" ht="13.5" customHeight="1" x14ac:dyDescent="0.2">
      <c r="A22" s="731" t="s">
        <v>247</v>
      </c>
      <c r="B22" s="732" t="s">
        <v>248</v>
      </c>
      <c r="C22" s="733">
        <f>C23</f>
        <v>0</v>
      </c>
      <c r="D22" s="733">
        <f t="shared" ref="D22:N22" si="6">D23</f>
        <v>0</v>
      </c>
      <c r="E22" s="733">
        <f t="shared" si="6"/>
        <v>0</v>
      </c>
      <c r="F22" s="733">
        <f t="shared" si="6"/>
        <v>0</v>
      </c>
      <c r="G22" s="733">
        <f t="shared" si="6"/>
        <v>0</v>
      </c>
      <c r="H22" s="733">
        <f t="shared" si="6"/>
        <v>0</v>
      </c>
      <c r="I22" s="733">
        <f t="shared" si="6"/>
        <v>0</v>
      </c>
      <c r="J22" s="733">
        <f t="shared" si="6"/>
        <v>0</v>
      </c>
      <c r="K22" s="733">
        <f t="shared" si="6"/>
        <v>0</v>
      </c>
      <c r="L22" s="733">
        <f t="shared" si="6"/>
        <v>0</v>
      </c>
      <c r="M22" s="733">
        <f t="shared" si="6"/>
        <v>0</v>
      </c>
      <c r="N22" s="733">
        <f t="shared" si="6"/>
        <v>0</v>
      </c>
      <c r="O22" s="733">
        <f t="shared" si="2"/>
        <v>0</v>
      </c>
    </row>
    <row r="23" spans="1:15" s="384" customFormat="1" ht="13.5" customHeight="1" x14ac:dyDescent="0.2">
      <c r="A23" s="735" t="s">
        <v>249</v>
      </c>
      <c r="B23" s="736" t="s">
        <v>250</v>
      </c>
      <c r="C23" s="737">
        <v>0</v>
      </c>
      <c r="D23" s="737">
        <v>0</v>
      </c>
      <c r="E23" s="737">
        <v>0</v>
      </c>
      <c r="F23" s="737">
        <v>0</v>
      </c>
      <c r="G23" s="737">
        <v>0</v>
      </c>
      <c r="H23" s="737">
        <v>0</v>
      </c>
      <c r="I23" s="737">
        <v>0</v>
      </c>
      <c r="J23" s="737">
        <v>0</v>
      </c>
      <c r="K23" s="737">
        <v>0</v>
      </c>
      <c r="L23" s="737">
        <v>0</v>
      </c>
      <c r="M23" s="737">
        <v>0</v>
      </c>
      <c r="N23" s="737">
        <v>0</v>
      </c>
      <c r="O23" s="737">
        <f t="shared" si="2"/>
        <v>0</v>
      </c>
    </row>
    <row r="24" spans="1:15" s="384" customFormat="1" ht="13.5" customHeight="1" x14ac:dyDescent="0.2">
      <c r="A24" s="725" t="s">
        <v>251</v>
      </c>
      <c r="B24" s="726" t="s">
        <v>252</v>
      </c>
      <c r="C24" s="727">
        <f>C25</f>
        <v>0</v>
      </c>
      <c r="D24" s="727">
        <f t="shared" ref="D24:N25" si="7">D25</f>
        <v>0</v>
      </c>
      <c r="E24" s="727">
        <f t="shared" si="7"/>
        <v>0</v>
      </c>
      <c r="F24" s="727">
        <f t="shared" si="7"/>
        <v>0</v>
      </c>
      <c r="G24" s="727">
        <f t="shared" si="7"/>
        <v>0</v>
      </c>
      <c r="H24" s="727">
        <f t="shared" si="7"/>
        <v>0</v>
      </c>
      <c r="I24" s="727">
        <f t="shared" si="7"/>
        <v>0</v>
      </c>
      <c r="J24" s="727">
        <f t="shared" si="7"/>
        <v>0</v>
      </c>
      <c r="K24" s="727">
        <f t="shared" si="7"/>
        <v>0</v>
      </c>
      <c r="L24" s="727">
        <f t="shared" si="7"/>
        <v>0</v>
      </c>
      <c r="M24" s="727">
        <f t="shared" si="7"/>
        <v>0</v>
      </c>
      <c r="N24" s="727">
        <f t="shared" si="7"/>
        <v>0</v>
      </c>
      <c r="O24" s="727">
        <f t="shared" si="2"/>
        <v>0</v>
      </c>
    </row>
    <row r="25" spans="1:15" s="384" customFormat="1" ht="13.5" customHeight="1" x14ac:dyDescent="0.2">
      <c r="A25" s="731" t="s">
        <v>253</v>
      </c>
      <c r="B25" s="732" t="s">
        <v>254</v>
      </c>
      <c r="C25" s="733">
        <f>C26</f>
        <v>0</v>
      </c>
      <c r="D25" s="733">
        <f t="shared" si="7"/>
        <v>0</v>
      </c>
      <c r="E25" s="733">
        <f t="shared" si="7"/>
        <v>0</v>
      </c>
      <c r="F25" s="733">
        <f t="shared" si="7"/>
        <v>0</v>
      </c>
      <c r="G25" s="733">
        <f t="shared" si="7"/>
        <v>0</v>
      </c>
      <c r="H25" s="733">
        <f t="shared" si="7"/>
        <v>0</v>
      </c>
      <c r="I25" s="733">
        <f t="shared" si="7"/>
        <v>0</v>
      </c>
      <c r="J25" s="733">
        <f t="shared" si="7"/>
        <v>0</v>
      </c>
      <c r="K25" s="733">
        <f t="shared" si="7"/>
        <v>0</v>
      </c>
      <c r="L25" s="733">
        <f t="shared" si="7"/>
        <v>0</v>
      </c>
      <c r="M25" s="733">
        <f t="shared" si="7"/>
        <v>0</v>
      </c>
      <c r="N25" s="733">
        <f t="shared" si="7"/>
        <v>0</v>
      </c>
      <c r="O25" s="733">
        <f t="shared" si="2"/>
        <v>0</v>
      </c>
    </row>
    <row r="26" spans="1:15" s="384" customFormat="1" ht="13.5" customHeight="1" x14ac:dyDescent="0.2">
      <c r="A26" s="735" t="s">
        <v>255</v>
      </c>
      <c r="B26" s="736" t="s">
        <v>256</v>
      </c>
      <c r="C26" s="737">
        <v>0</v>
      </c>
      <c r="D26" s="737">
        <v>0</v>
      </c>
      <c r="E26" s="737">
        <v>0</v>
      </c>
      <c r="F26" s="737">
        <v>0</v>
      </c>
      <c r="G26" s="737">
        <v>0</v>
      </c>
      <c r="H26" s="737">
        <v>0</v>
      </c>
      <c r="I26" s="737">
        <v>0</v>
      </c>
      <c r="J26" s="737">
        <v>0</v>
      </c>
      <c r="K26" s="737">
        <v>0</v>
      </c>
      <c r="L26" s="737">
        <v>0</v>
      </c>
      <c r="M26" s="737">
        <v>0</v>
      </c>
      <c r="N26" s="737">
        <v>0</v>
      </c>
      <c r="O26" s="737">
        <f t="shared" si="2"/>
        <v>0</v>
      </c>
    </row>
    <row r="27" spans="1:15" s="384" customFormat="1" ht="13.5" customHeight="1" x14ac:dyDescent="0.2">
      <c r="A27" s="725" t="s">
        <v>257</v>
      </c>
      <c r="B27" s="726" t="s">
        <v>258</v>
      </c>
      <c r="C27" s="727">
        <f>C28+C31</f>
        <v>0</v>
      </c>
      <c r="D27" s="727">
        <f t="shared" ref="D27:N27" si="8">D28+D31</f>
        <v>0</v>
      </c>
      <c r="E27" s="727">
        <f t="shared" si="8"/>
        <v>0</v>
      </c>
      <c r="F27" s="727">
        <f t="shared" si="8"/>
        <v>0</v>
      </c>
      <c r="G27" s="727">
        <f t="shared" si="8"/>
        <v>0</v>
      </c>
      <c r="H27" s="727">
        <f t="shared" si="8"/>
        <v>0</v>
      </c>
      <c r="I27" s="727">
        <f t="shared" si="8"/>
        <v>0</v>
      </c>
      <c r="J27" s="727">
        <f t="shared" si="8"/>
        <v>0</v>
      </c>
      <c r="K27" s="727">
        <f t="shared" si="8"/>
        <v>0</v>
      </c>
      <c r="L27" s="727">
        <f t="shared" si="8"/>
        <v>0</v>
      </c>
      <c r="M27" s="727">
        <f t="shared" si="8"/>
        <v>0</v>
      </c>
      <c r="N27" s="727">
        <f t="shared" si="8"/>
        <v>0</v>
      </c>
      <c r="O27" s="727">
        <f t="shared" si="2"/>
        <v>0</v>
      </c>
    </row>
    <row r="28" spans="1:15" s="384" customFormat="1" ht="13.5" customHeight="1" x14ac:dyDescent="0.2">
      <c r="A28" s="731" t="s">
        <v>259</v>
      </c>
      <c r="B28" s="732" t="s">
        <v>260</v>
      </c>
      <c r="C28" s="733">
        <f>C29+C30</f>
        <v>0</v>
      </c>
      <c r="D28" s="733">
        <f t="shared" ref="D28:N28" si="9">D29+D30</f>
        <v>0</v>
      </c>
      <c r="E28" s="733">
        <f t="shared" si="9"/>
        <v>0</v>
      </c>
      <c r="F28" s="733">
        <f t="shared" si="9"/>
        <v>0</v>
      </c>
      <c r="G28" s="733">
        <f t="shared" si="9"/>
        <v>0</v>
      </c>
      <c r="H28" s="733">
        <f t="shared" si="9"/>
        <v>0</v>
      </c>
      <c r="I28" s="733">
        <f t="shared" si="9"/>
        <v>0</v>
      </c>
      <c r="J28" s="733">
        <f t="shared" si="9"/>
        <v>0</v>
      </c>
      <c r="K28" s="733">
        <f t="shared" si="9"/>
        <v>0</v>
      </c>
      <c r="L28" s="733">
        <f t="shared" si="9"/>
        <v>0</v>
      </c>
      <c r="M28" s="733">
        <f t="shared" si="9"/>
        <v>0</v>
      </c>
      <c r="N28" s="733">
        <f t="shared" si="9"/>
        <v>0</v>
      </c>
      <c r="O28" s="733">
        <f t="shared" si="2"/>
        <v>0</v>
      </c>
    </row>
    <row r="29" spans="1:15" s="385" customFormat="1" ht="13.5" customHeight="1" x14ac:dyDescent="0.2">
      <c r="A29" s="735" t="s">
        <v>261</v>
      </c>
      <c r="B29" s="736" t="s">
        <v>262</v>
      </c>
      <c r="C29" s="737">
        <v>0</v>
      </c>
      <c r="D29" s="737">
        <v>0</v>
      </c>
      <c r="E29" s="737">
        <v>0</v>
      </c>
      <c r="F29" s="737">
        <v>0</v>
      </c>
      <c r="G29" s="737">
        <v>0</v>
      </c>
      <c r="H29" s="737">
        <v>0</v>
      </c>
      <c r="I29" s="737">
        <v>0</v>
      </c>
      <c r="J29" s="737">
        <v>0</v>
      </c>
      <c r="K29" s="737">
        <v>0</v>
      </c>
      <c r="L29" s="737">
        <v>0</v>
      </c>
      <c r="M29" s="737">
        <v>0</v>
      </c>
      <c r="N29" s="737">
        <v>0</v>
      </c>
      <c r="O29" s="737">
        <f t="shared" si="2"/>
        <v>0</v>
      </c>
    </row>
    <row r="30" spans="1:15" s="384" customFormat="1" ht="13.5" customHeight="1" x14ac:dyDescent="0.2">
      <c r="A30" s="735" t="s">
        <v>263</v>
      </c>
      <c r="B30" s="736" t="s">
        <v>264</v>
      </c>
      <c r="C30" s="737">
        <v>0</v>
      </c>
      <c r="D30" s="737">
        <v>0</v>
      </c>
      <c r="E30" s="737">
        <v>0</v>
      </c>
      <c r="F30" s="737">
        <v>0</v>
      </c>
      <c r="G30" s="737">
        <v>0</v>
      </c>
      <c r="H30" s="737">
        <v>0</v>
      </c>
      <c r="I30" s="737">
        <v>0</v>
      </c>
      <c r="J30" s="737">
        <v>0</v>
      </c>
      <c r="K30" s="737">
        <v>0</v>
      </c>
      <c r="L30" s="737">
        <v>0</v>
      </c>
      <c r="M30" s="737">
        <v>0</v>
      </c>
      <c r="N30" s="737">
        <v>0</v>
      </c>
      <c r="O30" s="737">
        <f t="shared" si="2"/>
        <v>0</v>
      </c>
    </row>
    <row r="31" spans="1:15" s="384" customFormat="1" ht="13.5" customHeight="1" x14ac:dyDescent="0.2">
      <c r="A31" s="731" t="s">
        <v>265</v>
      </c>
      <c r="B31" s="732" t="s">
        <v>266</v>
      </c>
      <c r="C31" s="733">
        <f>C32</f>
        <v>0</v>
      </c>
      <c r="D31" s="733">
        <f t="shared" ref="D31:N31" si="10">D32</f>
        <v>0</v>
      </c>
      <c r="E31" s="733">
        <f t="shared" si="10"/>
        <v>0</v>
      </c>
      <c r="F31" s="733">
        <f t="shared" si="10"/>
        <v>0</v>
      </c>
      <c r="G31" s="733">
        <f t="shared" si="10"/>
        <v>0</v>
      </c>
      <c r="H31" s="733">
        <f t="shared" si="10"/>
        <v>0</v>
      </c>
      <c r="I31" s="733">
        <f t="shared" si="10"/>
        <v>0</v>
      </c>
      <c r="J31" s="733">
        <f t="shared" si="10"/>
        <v>0</v>
      </c>
      <c r="K31" s="733">
        <f t="shared" si="10"/>
        <v>0</v>
      </c>
      <c r="L31" s="733">
        <f t="shared" si="10"/>
        <v>0</v>
      </c>
      <c r="M31" s="733">
        <f t="shared" si="10"/>
        <v>0</v>
      </c>
      <c r="N31" s="733">
        <f t="shared" si="10"/>
        <v>0</v>
      </c>
      <c r="O31" s="733">
        <f t="shared" si="2"/>
        <v>0</v>
      </c>
    </row>
    <row r="32" spans="1:15" s="385" customFormat="1" ht="13.5" customHeight="1" x14ac:dyDescent="0.2">
      <c r="A32" s="735" t="s">
        <v>267</v>
      </c>
      <c r="B32" s="736" t="s">
        <v>256</v>
      </c>
      <c r="C32" s="737">
        <v>0</v>
      </c>
      <c r="D32" s="737">
        <v>0</v>
      </c>
      <c r="E32" s="737">
        <v>0</v>
      </c>
      <c r="F32" s="737">
        <v>0</v>
      </c>
      <c r="G32" s="737">
        <v>0</v>
      </c>
      <c r="H32" s="737">
        <v>0</v>
      </c>
      <c r="I32" s="737">
        <v>0</v>
      </c>
      <c r="J32" s="737">
        <v>0</v>
      </c>
      <c r="K32" s="737">
        <v>0</v>
      </c>
      <c r="L32" s="737">
        <v>0</v>
      </c>
      <c r="M32" s="737">
        <v>0</v>
      </c>
      <c r="N32" s="737">
        <v>0</v>
      </c>
      <c r="O32" s="737">
        <f t="shared" si="2"/>
        <v>0</v>
      </c>
    </row>
    <row r="33" spans="1:15" s="384" customFormat="1" ht="13.5" customHeight="1" x14ac:dyDescent="0.2">
      <c r="A33" s="719" t="s">
        <v>268</v>
      </c>
      <c r="B33" s="720" t="s">
        <v>269</v>
      </c>
      <c r="C33" s="721">
        <f t="shared" ref="C33:N33" si="11">C34+C37+C50+C85</f>
        <v>92124.841</v>
      </c>
      <c r="D33" s="721">
        <f t="shared" si="11"/>
        <v>93044.012837931048</v>
      </c>
      <c r="E33" s="721">
        <f t="shared" si="11"/>
        <v>143423.9659551724</v>
      </c>
      <c r="F33" s="721">
        <f t="shared" si="11"/>
        <v>97960.56</v>
      </c>
      <c r="G33" s="721">
        <f t="shared" si="11"/>
        <v>117410.68260000001</v>
      </c>
      <c r="H33" s="721">
        <f t="shared" si="11"/>
        <v>139485.12410000002</v>
      </c>
      <c r="I33" s="721">
        <f t="shared" si="11"/>
        <v>120096.58379999999</v>
      </c>
      <c r="J33" s="721">
        <f t="shared" si="11"/>
        <v>111933.89140000001</v>
      </c>
      <c r="K33" s="721">
        <f t="shared" si="11"/>
        <v>143117.6655</v>
      </c>
      <c r="L33" s="721">
        <f t="shared" si="11"/>
        <v>124466.34101400452</v>
      </c>
      <c r="M33" s="721">
        <f t="shared" si="11"/>
        <v>139303.65384503899</v>
      </c>
      <c r="N33" s="721">
        <f t="shared" si="11"/>
        <v>154593.59990365969</v>
      </c>
      <c r="O33" s="721">
        <f t="shared" si="2"/>
        <v>117621.92524367817</v>
      </c>
    </row>
    <row r="34" spans="1:15" s="384" customFormat="1" ht="13.5" customHeight="1" x14ac:dyDescent="0.2">
      <c r="A34" s="725" t="s">
        <v>270</v>
      </c>
      <c r="B34" s="726" t="s">
        <v>271</v>
      </c>
      <c r="C34" s="745">
        <f>C35</f>
        <v>411.49</v>
      </c>
      <c r="D34" s="745">
        <f t="shared" ref="D34:N35" si="12">D35</f>
        <v>377.82</v>
      </c>
      <c r="E34" s="745">
        <f t="shared" si="12"/>
        <v>374.08</v>
      </c>
      <c r="F34" s="745">
        <f t="shared" si="12"/>
        <v>374.08</v>
      </c>
      <c r="G34" s="745">
        <f t="shared" si="12"/>
        <v>0</v>
      </c>
      <c r="H34" s="745">
        <f t="shared" si="12"/>
        <v>872.85</v>
      </c>
      <c r="I34" s="745">
        <f t="shared" si="12"/>
        <v>324.2</v>
      </c>
      <c r="J34" s="745">
        <f t="shared" si="12"/>
        <v>336.67</v>
      </c>
      <c r="K34" s="745">
        <f t="shared" si="12"/>
        <v>324.2</v>
      </c>
      <c r="L34" s="745">
        <f t="shared" si="12"/>
        <v>0</v>
      </c>
      <c r="M34" s="745">
        <f t="shared" si="12"/>
        <v>0</v>
      </c>
      <c r="N34" s="745">
        <f t="shared" si="12"/>
        <v>0</v>
      </c>
      <c r="O34" s="745">
        <f t="shared" si="2"/>
        <v>377.26555555555547</v>
      </c>
    </row>
    <row r="35" spans="1:15" s="384" customFormat="1" ht="13.5" customHeight="1" x14ac:dyDescent="0.2">
      <c r="A35" s="731" t="s">
        <v>272</v>
      </c>
      <c r="B35" s="732" t="s">
        <v>273</v>
      </c>
      <c r="C35" s="747">
        <f>C36</f>
        <v>411.49</v>
      </c>
      <c r="D35" s="747">
        <f t="shared" si="12"/>
        <v>377.82</v>
      </c>
      <c r="E35" s="747">
        <f t="shared" si="12"/>
        <v>374.08</v>
      </c>
      <c r="F35" s="747">
        <f t="shared" si="12"/>
        <v>374.08</v>
      </c>
      <c r="G35" s="747">
        <f t="shared" si="12"/>
        <v>0</v>
      </c>
      <c r="H35" s="747">
        <f t="shared" si="12"/>
        <v>872.85</v>
      </c>
      <c r="I35" s="747">
        <f t="shared" si="12"/>
        <v>324.2</v>
      </c>
      <c r="J35" s="747">
        <f t="shared" si="12"/>
        <v>336.67</v>
      </c>
      <c r="K35" s="747">
        <f t="shared" si="12"/>
        <v>324.2</v>
      </c>
      <c r="L35" s="747">
        <f t="shared" si="12"/>
        <v>0</v>
      </c>
      <c r="M35" s="747">
        <f t="shared" si="12"/>
        <v>0</v>
      </c>
      <c r="N35" s="747">
        <f t="shared" si="12"/>
        <v>0</v>
      </c>
      <c r="O35" s="747">
        <f t="shared" si="2"/>
        <v>377.26555555555547</v>
      </c>
    </row>
    <row r="36" spans="1:15" s="385" customFormat="1" ht="13.5" customHeight="1" x14ac:dyDescent="0.2">
      <c r="A36" s="735" t="s">
        <v>274</v>
      </c>
      <c r="B36" s="736" t="s">
        <v>275</v>
      </c>
      <c r="C36" s="743">
        <v>411.49</v>
      </c>
      <c r="D36" s="743">
        <v>377.82</v>
      </c>
      <c r="E36" s="743">
        <v>374.08</v>
      </c>
      <c r="F36" s="743">
        <v>374.08</v>
      </c>
      <c r="G36" s="743">
        <v>0</v>
      </c>
      <c r="H36" s="743">
        <v>872.85</v>
      </c>
      <c r="I36" s="743">
        <v>324.2</v>
      </c>
      <c r="J36" s="743">
        <v>336.67</v>
      </c>
      <c r="K36" s="743">
        <v>324.2</v>
      </c>
      <c r="L36" s="743">
        <v>0</v>
      </c>
      <c r="M36" s="743">
        <v>0</v>
      </c>
      <c r="N36" s="743">
        <v>0</v>
      </c>
      <c r="O36" s="743">
        <f t="shared" si="2"/>
        <v>377.26555555555547</v>
      </c>
    </row>
    <row r="37" spans="1:15" s="384" customFormat="1" ht="13.5" customHeight="1" x14ac:dyDescent="0.2">
      <c r="A37" s="725" t="s">
        <v>276</v>
      </c>
      <c r="B37" s="726" t="s">
        <v>277</v>
      </c>
      <c r="C37" s="727">
        <f>C38+C46</f>
        <v>41693.840000000004</v>
      </c>
      <c r="D37" s="727">
        <f t="shared" ref="D37:N37" si="13">D38+D46</f>
        <v>41735.22</v>
      </c>
      <c r="E37" s="727">
        <f t="shared" si="13"/>
        <v>41590.390000000007</v>
      </c>
      <c r="F37" s="727">
        <f t="shared" si="13"/>
        <v>41714.530000000006</v>
      </c>
      <c r="G37" s="727">
        <f t="shared" si="13"/>
        <v>49114.62000000001</v>
      </c>
      <c r="H37" s="727">
        <f t="shared" si="13"/>
        <v>42127.409999999996</v>
      </c>
      <c r="I37" s="727">
        <f t="shared" si="13"/>
        <v>42741.030000000006</v>
      </c>
      <c r="J37" s="727">
        <f t="shared" si="13"/>
        <v>43630.69</v>
      </c>
      <c r="K37" s="727">
        <f t="shared" si="13"/>
        <v>43485.86</v>
      </c>
      <c r="L37" s="727">
        <f t="shared" si="13"/>
        <v>44393.122045720862</v>
      </c>
      <c r="M37" s="727">
        <f t="shared" si="13"/>
        <v>44393.122045720862</v>
      </c>
      <c r="N37" s="727">
        <f t="shared" si="13"/>
        <v>44393.122045720862</v>
      </c>
      <c r="O37" s="727">
        <f t="shared" si="2"/>
        <v>43092.621111111112</v>
      </c>
    </row>
    <row r="38" spans="1:15" s="385" customFormat="1" ht="13.5" customHeight="1" x14ac:dyDescent="0.2">
      <c r="A38" s="731" t="s">
        <v>276</v>
      </c>
      <c r="B38" s="732" t="s">
        <v>278</v>
      </c>
      <c r="C38" s="733">
        <f>C39+C40+C41+C42+C43+C44+C45</f>
        <v>41693.840000000004</v>
      </c>
      <c r="D38" s="733">
        <f t="shared" ref="D38:N38" si="14">D39+D40+D41+D42+D43+D44+D45</f>
        <v>41735.22</v>
      </c>
      <c r="E38" s="733">
        <f t="shared" si="14"/>
        <v>41590.390000000007</v>
      </c>
      <c r="F38" s="733">
        <f t="shared" si="14"/>
        <v>41714.530000000006</v>
      </c>
      <c r="G38" s="733">
        <f t="shared" si="14"/>
        <v>48895.380000000012</v>
      </c>
      <c r="H38" s="733">
        <f t="shared" si="14"/>
        <v>42127.409999999996</v>
      </c>
      <c r="I38" s="733">
        <f t="shared" si="14"/>
        <v>42741.030000000006</v>
      </c>
      <c r="J38" s="733">
        <f t="shared" si="14"/>
        <v>43630.69</v>
      </c>
      <c r="K38" s="733">
        <f t="shared" si="14"/>
        <v>43485.86</v>
      </c>
      <c r="L38" s="733">
        <f t="shared" si="14"/>
        <v>44393.122045720862</v>
      </c>
      <c r="M38" s="733">
        <f t="shared" si="14"/>
        <v>44393.122045720862</v>
      </c>
      <c r="N38" s="733">
        <f t="shared" si="14"/>
        <v>44393.122045720862</v>
      </c>
      <c r="O38" s="733">
        <f t="shared" si="2"/>
        <v>43068.261111111118</v>
      </c>
    </row>
    <row r="39" spans="1:15" s="385" customFormat="1" ht="13.5" customHeight="1" x14ac:dyDescent="0.2">
      <c r="A39" s="735" t="s">
        <v>279</v>
      </c>
      <c r="B39" s="736" t="s">
        <v>280</v>
      </c>
      <c r="C39" s="750">
        <v>28153.73</v>
      </c>
      <c r="D39" s="750">
        <v>28153.73</v>
      </c>
      <c r="E39" s="750">
        <v>28153.73</v>
      </c>
      <c r="F39" s="750">
        <v>28153.73</v>
      </c>
      <c r="G39" s="750">
        <v>33308.980000000003</v>
      </c>
      <c r="H39" s="750">
        <v>28518.11</v>
      </c>
      <c r="I39" s="750">
        <v>29345.39</v>
      </c>
      <c r="J39" s="750">
        <v>29345.39</v>
      </c>
      <c r="K39" s="750">
        <v>29345.39</v>
      </c>
      <c r="L39" s="743">
        <v>29635.202572844646</v>
      </c>
      <c r="M39" s="743">
        <v>29635.202572844646</v>
      </c>
      <c r="N39" s="743">
        <v>29635.202572844646</v>
      </c>
      <c r="O39" s="743">
        <f t="shared" si="2"/>
        <v>29164.242222222227</v>
      </c>
    </row>
    <row r="40" spans="1:15" s="385" customFormat="1" ht="13.5" customHeight="1" x14ac:dyDescent="0.2">
      <c r="A40" s="752" t="s">
        <v>281</v>
      </c>
      <c r="B40" s="753" t="s">
        <v>282</v>
      </c>
      <c r="C40" s="755">
        <v>4704.49</v>
      </c>
      <c r="D40" s="755">
        <v>4704.49</v>
      </c>
      <c r="E40" s="755">
        <v>4704.49</v>
      </c>
      <c r="F40" s="755">
        <v>4704.49</v>
      </c>
      <c r="G40" s="755">
        <v>5565.94</v>
      </c>
      <c r="H40" s="755">
        <v>4765.38</v>
      </c>
      <c r="I40" s="755">
        <v>4903.6099999999997</v>
      </c>
      <c r="J40" s="755">
        <v>4903.6099999999997</v>
      </c>
      <c r="K40" s="755">
        <v>4903.6099999999997</v>
      </c>
      <c r="L40" s="754">
        <v>4952.0423499223407</v>
      </c>
      <c r="M40" s="754">
        <v>4952.0423499223407</v>
      </c>
      <c r="N40" s="754">
        <v>4952.0423499223407</v>
      </c>
      <c r="O40" s="754">
        <f t="shared" si="2"/>
        <v>4873.3455555555556</v>
      </c>
    </row>
    <row r="41" spans="1:15" s="385" customFormat="1" ht="13.5" customHeight="1" x14ac:dyDescent="0.2">
      <c r="A41" s="752" t="s">
        <v>283</v>
      </c>
      <c r="B41" s="753" t="s">
        <v>284</v>
      </c>
      <c r="C41" s="755">
        <v>4690.41</v>
      </c>
      <c r="D41" s="755">
        <v>4690.41</v>
      </c>
      <c r="E41" s="755">
        <v>4690.41</v>
      </c>
      <c r="F41" s="755">
        <v>4690.41</v>
      </c>
      <c r="G41" s="755">
        <v>5549.26</v>
      </c>
      <c r="H41" s="755">
        <v>4751.12</v>
      </c>
      <c r="I41" s="755">
        <v>4888.9399999999996</v>
      </c>
      <c r="J41" s="755">
        <v>4888.9399999999996</v>
      </c>
      <c r="K41" s="755">
        <v>4888.9399999999996</v>
      </c>
      <c r="L41" s="754">
        <v>4937.2247486359183</v>
      </c>
      <c r="M41" s="754">
        <v>4937.2247486359183</v>
      </c>
      <c r="N41" s="754">
        <v>4937.2247486359183</v>
      </c>
      <c r="O41" s="754">
        <f t="shared" si="2"/>
        <v>4858.76</v>
      </c>
    </row>
    <row r="42" spans="1:15" s="385" customFormat="1" ht="13.5" customHeight="1" x14ac:dyDescent="0.2">
      <c r="A42" s="752" t="s">
        <v>285</v>
      </c>
      <c r="B42" s="753" t="s">
        <v>286</v>
      </c>
      <c r="C42" s="755">
        <v>2345.21</v>
      </c>
      <c r="D42" s="755">
        <v>2345.21</v>
      </c>
      <c r="E42" s="755">
        <v>2345.21</v>
      </c>
      <c r="F42" s="755">
        <v>2345.21</v>
      </c>
      <c r="G42" s="755">
        <v>2774.65</v>
      </c>
      <c r="H42" s="755">
        <v>2375.56</v>
      </c>
      <c r="I42" s="755">
        <v>2444.4699999999998</v>
      </c>
      <c r="J42" s="755">
        <v>2444.4699999999998</v>
      </c>
      <c r="K42" s="755">
        <v>2444.4699999999998</v>
      </c>
      <c r="L42" s="754">
        <v>2468.6123743179592</v>
      </c>
      <c r="M42" s="754">
        <v>2468.6123743179592</v>
      </c>
      <c r="N42" s="754">
        <v>2468.6123743179592</v>
      </c>
      <c r="O42" s="754">
        <f t="shared" si="2"/>
        <v>2429.3844444444449</v>
      </c>
    </row>
    <row r="43" spans="1:15" s="385" customFormat="1" ht="13.5" customHeight="1" x14ac:dyDescent="0.2">
      <c r="A43" s="735" t="s">
        <v>287</v>
      </c>
      <c r="B43" s="736" t="s">
        <v>288</v>
      </c>
      <c r="C43" s="750">
        <v>0</v>
      </c>
      <c r="D43" s="750">
        <v>0</v>
      </c>
      <c r="E43" s="750">
        <v>0</v>
      </c>
      <c r="F43" s="750">
        <v>0</v>
      </c>
      <c r="G43" s="750">
        <v>0</v>
      </c>
      <c r="H43" s="750">
        <v>0</v>
      </c>
      <c r="I43" s="750">
        <v>0</v>
      </c>
      <c r="J43" s="750">
        <v>0</v>
      </c>
      <c r="K43" s="750">
        <v>0</v>
      </c>
      <c r="L43" s="743">
        <v>0</v>
      </c>
      <c r="M43" s="743">
        <v>0</v>
      </c>
      <c r="N43" s="743">
        <v>0</v>
      </c>
      <c r="O43" s="743">
        <f t="shared" si="2"/>
        <v>0</v>
      </c>
    </row>
    <row r="44" spans="1:15" s="385" customFormat="1" ht="13.5" customHeight="1" x14ac:dyDescent="0.2">
      <c r="A44" s="735" t="s">
        <v>289</v>
      </c>
      <c r="B44" s="736" t="s">
        <v>290</v>
      </c>
      <c r="C44" s="750">
        <v>0</v>
      </c>
      <c r="D44" s="750">
        <v>0</v>
      </c>
      <c r="E44" s="750">
        <v>0</v>
      </c>
      <c r="F44" s="750">
        <v>0</v>
      </c>
      <c r="G44" s="750">
        <v>0</v>
      </c>
      <c r="H44" s="750">
        <v>0</v>
      </c>
      <c r="I44" s="750">
        <v>0</v>
      </c>
      <c r="J44" s="750">
        <v>0</v>
      </c>
      <c r="K44" s="750">
        <v>0</v>
      </c>
      <c r="L44" s="743">
        <v>0</v>
      </c>
      <c r="M44" s="743">
        <v>0</v>
      </c>
      <c r="N44" s="743">
        <v>0</v>
      </c>
      <c r="O44" s="743">
        <f t="shared" si="2"/>
        <v>0</v>
      </c>
    </row>
    <row r="45" spans="1:15" s="385" customFormat="1" ht="13.5" customHeight="1" x14ac:dyDescent="0.2">
      <c r="A45" s="735" t="s">
        <v>291</v>
      </c>
      <c r="B45" s="736" t="s">
        <v>292</v>
      </c>
      <c r="C45" s="750">
        <v>1800</v>
      </c>
      <c r="D45" s="750">
        <v>1841.38</v>
      </c>
      <c r="E45" s="750">
        <v>1696.55</v>
      </c>
      <c r="F45" s="750">
        <v>1820.69</v>
      </c>
      <c r="G45" s="750">
        <v>1696.55</v>
      </c>
      <c r="H45" s="750">
        <v>1717.24</v>
      </c>
      <c r="I45" s="750">
        <v>1158.6199999999999</v>
      </c>
      <c r="J45" s="750">
        <v>2048.2800000000002</v>
      </c>
      <c r="K45" s="750">
        <v>1903.45</v>
      </c>
      <c r="L45" s="743">
        <v>2400.04</v>
      </c>
      <c r="M45" s="743">
        <v>2400.04</v>
      </c>
      <c r="N45" s="743">
        <v>2400.04</v>
      </c>
      <c r="O45" s="743">
        <f t="shared" si="2"/>
        <v>1742.528888888889</v>
      </c>
    </row>
    <row r="46" spans="1:15" s="385" customFormat="1" ht="13.5" customHeight="1" x14ac:dyDescent="0.2">
      <c r="A46" s="731" t="s">
        <v>293</v>
      </c>
      <c r="B46" s="732" t="s">
        <v>294</v>
      </c>
      <c r="C46" s="733">
        <f>C47+C48+C49</f>
        <v>0</v>
      </c>
      <c r="D46" s="733">
        <f>D47+D48+D49</f>
        <v>0</v>
      </c>
      <c r="E46" s="733">
        <f t="shared" ref="E46:N46" si="15">E47+E48+E49</f>
        <v>0</v>
      </c>
      <c r="F46" s="733">
        <f t="shared" si="15"/>
        <v>0</v>
      </c>
      <c r="G46" s="733">
        <f t="shared" si="15"/>
        <v>219.24</v>
      </c>
      <c r="H46" s="733">
        <f t="shared" si="15"/>
        <v>0</v>
      </c>
      <c r="I46" s="733">
        <f t="shared" si="15"/>
        <v>0</v>
      </c>
      <c r="J46" s="733">
        <f t="shared" si="15"/>
        <v>0</v>
      </c>
      <c r="K46" s="733">
        <f t="shared" si="15"/>
        <v>0</v>
      </c>
      <c r="L46" s="733">
        <f t="shared" si="15"/>
        <v>0</v>
      </c>
      <c r="M46" s="733">
        <f t="shared" si="15"/>
        <v>0</v>
      </c>
      <c r="N46" s="733">
        <f t="shared" si="15"/>
        <v>0</v>
      </c>
      <c r="O46" s="733">
        <f t="shared" si="2"/>
        <v>24.36</v>
      </c>
    </row>
    <row r="47" spans="1:15" s="385" customFormat="1" ht="13.5" customHeight="1" x14ac:dyDescent="0.2">
      <c r="A47" s="735" t="s">
        <v>295</v>
      </c>
      <c r="B47" s="736" t="s">
        <v>296</v>
      </c>
      <c r="C47" s="750">
        <v>0</v>
      </c>
      <c r="D47" s="750">
        <v>0</v>
      </c>
      <c r="E47" s="750">
        <v>0</v>
      </c>
      <c r="F47" s="750">
        <v>0</v>
      </c>
      <c r="G47" s="750">
        <v>0</v>
      </c>
      <c r="H47" s="750">
        <v>0</v>
      </c>
      <c r="I47" s="750">
        <v>0</v>
      </c>
      <c r="J47" s="750">
        <v>0</v>
      </c>
      <c r="K47" s="750">
        <v>0</v>
      </c>
      <c r="L47" s="743">
        <v>0</v>
      </c>
      <c r="M47" s="743">
        <v>0</v>
      </c>
      <c r="N47" s="743">
        <v>0</v>
      </c>
      <c r="O47" s="743">
        <f t="shared" si="2"/>
        <v>0</v>
      </c>
    </row>
    <row r="48" spans="1:15" s="385" customFormat="1" ht="13.5" customHeight="1" x14ac:dyDescent="0.2">
      <c r="A48" s="735" t="s">
        <v>297</v>
      </c>
      <c r="B48" s="736" t="s">
        <v>298</v>
      </c>
      <c r="C48" s="750">
        <v>0</v>
      </c>
      <c r="D48" s="750">
        <v>0</v>
      </c>
      <c r="E48" s="750">
        <v>0</v>
      </c>
      <c r="F48" s="750">
        <v>0</v>
      </c>
      <c r="G48" s="750">
        <v>219.24</v>
      </c>
      <c r="H48" s="750">
        <v>0</v>
      </c>
      <c r="I48" s="750">
        <v>0</v>
      </c>
      <c r="J48" s="750">
        <v>0</v>
      </c>
      <c r="K48" s="750">
        <v>0</v>
      </c>
      <c r="L48" s="743">
        <v>0</v>
      </c>
      <c r="M48" s="743">
        <v>0</v>
      </c>
      <c r="N48" s="743">
        <v>0</v>
      </c>
      <c r="O48" s="743">
        <f t="shared" si="2"/>
        <v>24.36</v>
      </c>
    </row>
    <row r="49" spans="1:15" s="385" customFormat="1" ht="13.5" customHeight="1" x14ac:dyDescent="0.2">
      <c r="A49" s="735" t="s">
        <v>299</v>
      </c>
      <c r="B49" s="736" t="s">
        <v>300</v>
      </c>
      <c r="C49" s="750">
        <v>0</v>
      </c>
      <c r="D49" s="750">
        <v>0</v>
      </c>
      <c r="E49" s="750">
        <v>0</v>
      </c>
      <c r="F49" s="750">
        <v>0</v>
      </c>
      <c r="G49" s="750">
        <v>0</v>
      </c>
      <c r="H49" s="750">
        <v>0</v>
      </c>
      <c r="I49" s="750">
        <v>0</v>
      </c>
      <c r="J49" s="750">
        <v>0</v>
      </c>
      <c r="K49" s="750">
        <v>0</v>
      </c>
      <c r="L49" s="743">
        <v>0</v>
      </c>
      <c r="M49" s="743">
        <v>0</v>
      </c>
      <c r="N49" s="743">
        <v>0</v>
      </c>
      <c r="O49" s="743">
        <f t="shared" si="2"/>
        <v>0</v>
      </c>
    </row>
    <row r="50" spans="1:15" s="384" customFormat="1" ht="13.5" customHeight="1" x14ac:dyDescent="0.2">
      <c r="A50" s="757" t="s">
        <v>301</v>
      </c>
      <c r="B50" s="726" t="s">
        <v>302</v>
      </c>
      <c r="C50" s="727">
        <f>C51</f>
        <v>50019.510999999999</v>
      </c>
      <c r="D50" s="727">
        <f t="shared" ref="D50:N50" si="16">D51</f>
        <v>50930.97283793104</v>
      </c>
      <c r="E50" s="727">
        <f t="shared" si="16"/>
        <v>101459.4959551724</v>
      </c>
      <c r="F50" s="727">
        <f t="shared" si="16"/>
        <v>55871.95</v>
      </c>
      <c r="G50" s="727">
        <f t="shared" si="16"/>
        <v>68296.062600000005</v>
      </c>
      <c r="H50" s="727">
        <f t="shared" si="16"/>
        <v>96484.864100000006</v>
      </c>
      <c r="I50" s="727">
        <f t="shared" si="16"/>
        <v>77031.353799999983</v>
      </c>
      <c r="J50" s="727">
        <f t="shared" si="16"/>
        <v>67966.531400000007</v>
      </c>
      <c r="K50" s="727">
        <f t="shared" si="16"/>
        <v>99307.605499999991</v>
      </c>
      <c r="L50" s="727">
        <f t="shared" si="16"/>
        <v>80073.218968283647</v>
      </c>
      <c r="M50" s="727">
        <f t="shared" si="16"/>
        <v>94910.531799318138</v>
      </c>
      <c r="N50" s="727">
        <f t="shared" si="16"/>
        <v>110200.47785793882</v>
      </c>
      <c r="O50" s="727">
        <f t="shared" si="2"/>
        <v>74152.038577011495</v>
      </c>
    </row>
    <row r="51" spans="1:15" s="384" customFormat="1" ht="13.5" customHeight="1" x14ac:dyDescent="0.2">
      <c r="A51" s="758" t="s">
        <v>303</v>
      </c>
      <c r="B51" s="732" t="s">
        <v>304</v>
      </c>
      <c r="C51" s="733">
        <f>SUM(C52:C84)</f>
        <v>50019.510999999999</v>
      </c>
      <c r="D51" s="733">
        <f t="shared" ref="D51:M51" si="17">SUM(D52:D84)</f>
        <v>50930.97283793104</v>
      </c>
      <c r="E51" s="733">
        <f t="shared" si="17"/>
        <v>101459.4959551724</v>
      </c>
      <c r="F51" s="733">
        <f t="shared" si="17"/>
        <v>55871.95</v>
      </c>
      <c r="G51" s="733">
        <f t="shared" si="17"/>
        <v>68296.062600000005</v>
      </c>
      <c r="H51" s="733">
        <f t="shared" si="17"/>
        <v>96484.864100000006</v>
      </c>
      <c r="I51" s="733">
        <f t="shared" si="17"/>
        <v>77031.353799999983</v>
      </c>
      <c r="J51" s="733">
        <f t="shared" si="17"/>
        <v>67966.531400000007</v>
      </c>
      <c r="K51" s="733">
        <f t="shared" si="17"/>
        <v>99307.605499999991</v>
      </c>
      <c r="L51" s="733">
        <f t="shared" si="17"/>
        <v>80073.218968283647</v>
      </c>
      <c r="M51" s="733">
        <f t="shared" si="17"/>
        <v>94910.531799318138</v>
      </c>
      <c r="N51" s="733">
        <f>SUM(N52:N84)</f>
        <v>110200.47785793882</v>
      </c>
      <c r="O51" s="733">
        <f t="shared" si="2"/>
        <v>74152.038577011495</v>
      </c>
    </row>
    <row r="52" spans="1:15" s="385" customFormat="1" ht="13.5" customHeight="1" x14ac:dyDescent="0.2">
      <c r="A52" s="735" t="s">
        <v>305</v>
      </c>
      <c r="B52" s="736" t="s">
        <v>59</v>
      </c>
      <c r="C52" s="750">
        <v>0</v>
      </c>
      <c r="D52" s="750">
        <v>500.37</v>
      </c>
      <c r="E52" s="750">
        <v>0</v>
      </c>
      <c r="F52" s="750">
        <v>132.41999999999999</v>
      </c>
      <c r="G52" s="750">
        <v>315.12</v>
      </c>
      <c r="H52" s="750">
        <v>0</v>
      </c>
      <c r="I52" s="750">
        <v>434.13</v>
      </c>
      <c r="J52" s="750">
        <v>1291.95</v>
      </c>
      <c r="K52" s="750">
        <v>249.14</v>
      </c>
      <c r="L52" s="743">
        <v>593.4799999999999</v>
      </c>
      <c r="M52" s="743">
        <v>155.4</v>
      </c>
      <c r="N52" s="743">
        <v>593.4799999999999</v>
      </c>
      <c r="O52" s="743">
        <f t="shared" si="2"/>
        <v>324.79222222222216</v>
      </c>
    </row>
    <row r="53" spans="1:15" s="385" customFormat="1" ht="13.5" customHeight="1" x14ac:dyDescent="0.2">
      <c r="A53" s="735" t="s">
        <v>306</v>
      </c>
      <c r="B53" s="736" t="s">
        <v>61</v>
      </c>
      <c r="C53" s="750">
        <v>5959.5</v>
      </c>
      <c r="D53" s="750">
        <v>2279.4</v>
      </c>
      <c r="E53" s="750">
        <v>16877.91</v>
      </c>
      <c r="F53" s="750">
        <v>2501.25</v>
      </c>
      <c r="G53" s="750">
        <v>9848.4</v>
      </c>
      <c r="H53" s="750">
        <v>2179.98</v>
      </c>
      <c r="I53" s="750">
        <v>11725.69</v>
      </c>
      <c r="J53" s="750">
        <v>2583.9</v>
      </c>
      <c r="K53" s="750">
        <v>1914</v>
      </c>
      <c r="L53" s="743">
        <v>12995</v>
      </c>
      <c r="M53" s="743">
        <v>21614</v>
      </c>
      <c r="N53" s="743">
        <v>6895</v>
      </c>
      <c r="O53" s="743">
        <f t="shared" si="2"/>
        <v>6207.7811111111114</v>
      </c>
    </row>
    <row r="54" spans="1:15" s="385" customFormat="1" ht="13.5" customHeight="1" x14ac:dyDescent="0.2">
      <c r="A54" s="735" t="s">
        <v>307</v>
      </c>
      <c r="B54" s="736" t="s">
        <v>62</v>
      </c>
      <c r="C54" s="750">
        <v>60.03</v>
      </c>
      <c r="D54" s="750">
        <v>0</v>
      </c>
      <c r="E54" s="750">
        <v>55.68</v>
      </c>
      <c r="F54" s="750">
        <v>6.96</v>
      </c>
      <c r="G54" s="750">
        <v>0</v>
      </c>
      <c r="H54" s="750">
        <v>20.88</v>
      </c>
      <c r="I54" s="750">
        <v>19.14</v>
      </c>
      <c r="J54" s="750">
        <v>20.88</v>
      </c>
      <c r="K54" s="750">
        <v>27.84</v>
      </c>
      <c r="L54" s="743">
        <v>100</v>
      </c>
      <c r="M54" s="743">
        <v>100</v>
      </c>
      <c r="N54" s="743">
        <v>100</v>
      </c>
      <c r="O54" s="743">
        <f t="shared" si="2"/>
        <v>23.49</v>
      </c>
    </row>
    <row r="55" spans="1:15" s="385" customFormat="1" ht="13.5" customHeight="1" x14ac:dyDescent="0.2">
      <c r="A55" s="735" t="s">
        <v>308</v>
      </c>
      <c r="B55" s="736" t="s">
        <v>63</v>
      </c>
      <c r="C55" s="750">
        <v>1304.95</v>
      </c>
      <c r="D55" s="750">
        <v>1302.8499999999999</v>
      </c>
      <c r="E55" s="750">
        <v>1430.9</v>
      </c>
      <c r="F55" s="750">
        <v>1740.69</v>
      </c>
      <c r="G55" s="750">
        <v>1351.27</v>
      </c>
      <c r="H55" s="750">
        <v>1492.63</v>
      </c>
      <c r="I55" s="750">
        <v>1455.12</v>
      </c>
      <c r="J55" s="750">
        <v>1797.19</v>
      </c>
      <c r="K55" s="750">
        <v>1756.56</v>
      </c>
      <c r="L55" s="743">
        <v>2038</v>
      </c>
      <c r="M55" s="743">
        <v>2038</v>
      </c>
      <c r="N55" s="743">
        <v>2038</v>
      </c>
      <c r="O55" s="743">
        <f t="shared" si="2"/>
        <v>1514.6844444444444</v>
      </c>
    </row>
    <row r="56" spans="1:15" s="385" customFormat="1" ht="13.5" customHeight="1" x14ac:dyDescent="0.2">
      <c r="A56" s="735" t="s">
        <v>309</v>
      </c>
      <c r="B56" s="736" t="s">
        <v>64</v>
      </c>
      <c r="C56" s="750">
        <v>905.17</v>
      </c>
      <c r="D56" s="750">
        <v>905.17</v>
      </c>
      <c r="E56" s="750">
        <v>905.17</v>
      </c>
      <c r="F56" s="750">
        <v>905.17</v>
      </c>
      <c r="G56" s="750">
        <v>417.6</v>
      </c>
      <c r="H56" s="750">
        <v>417.6</v>
      </c>
      <c r="I56" s="750">
        <v>417.6</v>
      </c>
      <c r="J56" s="750">
        <v>417.6</v>
      </c>
      <c r="K56" s="750">
        <v>417.6</v>
      </c>
      <c r="L56" s="743">
        <v>1044</v>
      </c>
      <c r="M56" s="743">
        <v>1044</v>
      </c>
      <c r="N56" s="743">
        <v>1044</v>
      </c>
      <c r="O56" s="743">
        <f t="shared" si="2"/>
        <v>634.29777777777792</v>
      </c>
    </row>
    <row r="57" spans="1:15" s="385" customFormat="1" ht="13.5" customHeight="1" x14ac:dyDescent="0.2">
      <c r="A57" s="735" t="s">
        <v>310</v>
      </c>
      <c r="B57" s="736" t="s">
        <v>311</v>
      </c>
      <c r="C57" s="750">
        <v>72.69</v>
      </c>
      <c r="D57" s="750">
        <v>48.72</v>
      </c>
      <c r="E57" s="750">
        <v>53.07</v>
      </c>
      <c r="F57" s="750">
        <v>154.91</v>
      </c>
      <c r="G57" s="750">
        <v>58.18</v>
      </c>
      <c r="H57" s="750">
        <v>62.56</v>
      </c>
      <c r="I57" s="750">
        <v>87.11</v>
      </c>
      <c r="J57" s="750">
        <v>54.68</v>
      </c>
      <c r="K57" s="750">
        <v>93.59</v>
      </c>
      <c r="L57" s="743">
        <v>150</v>
      </c>
      <c r="M57" s="743">
        <v>150</v>
      </c>
      <c r="N57" s="743">
        <v>150</v>
      </c>
      <c r="O57" s="743">
        <f t="shared" si="2"/>
        <v>76.167777777777772</v>
      </c>
    </row>
    <row r="58" spans="1:15" s="385" customFormat="1" ht="13.5" customHeight="1" x14ac:dyDescent="0.2">
      <c r="A58" s="735" t="s">
        <v>312</v>
      </c>
      <c r="B58" s="736" t="s">
        <v>313</v>
      </c>
      <c r="C58" s="750">
        <v>0</v>
      </c>
      <c r="D58" s="750">
        <v>0</v>
      </c>
      <c r="E58" s="750">
        <v>0</v>
      </c>
      <c r="F58" s="750">
        <v>0</v>
      </c>
      <c r="G58" s="750">
        <v>0</v>
      </c>
      <c r="H58" s="750">
        <v>0</v>
      </c>
      <c r="I58" s="750">
        <v>0</v>
      </c>
      <c r="J58" s="750">
        <v>0</v>
      </c>
      <c r="K58" s="750">
        <v>0</v>
      </c>
      <c r="L58" s="743">
        <v>200</v>
      </c>
      <c r="M58" s="743">
        <v>200</v>
      </c>
      <c r="N58" s="743">
        <v>200</v>
      </c>
      <c r="O58" s="743">
        <f t="shared" si="2"/>
        <v>0</v>
      </c>
    </row>
    <row r="59" spans="1:15" s="385" customFormat="1" ht="13.5" customHeight="1" x14ac:dyDescent="0.2">
      <c r="A59" s="735" t="s">
        <v>314</v>
      </c>
      <c r="B59" s="736" t="s">
        <v>150</v>
      </c>
      <c r="C59" s="750">
        <v>0</v>
      </c>
      <c r="D59" s="750">
        <v>0</v>
      </c>
      <c r="E59" s="750">
        <v>0</v>
      </c>
      <c r="F59" s="750">
        <v>0</v>
      </c>
      <c r="G59" s="750">
        <v>0</v>
      </c>
      <c r="H59" s="750">
        <v>0</v>
      </c>
      <c r="I59" s="750">
        <v>0</v>
      </c>
      <c r="J59" s="750">
        <v>0</v>
      </c>
      <c r="K59" s="750">
        <v>0</v>
      </c>
      <c r="L59" s="743">
        <v>0</v>
      </c>
      <c r="M59" s="743">
        <v>0</v>
      </c>
      <c r="N59" s="743">
        <v>0</v>
      </c>
      <c r="O59" s="743">
        <f t="shared" si="2"/>
        <v>0</v>
      </c>
    </row>
    <row r="60" spans="1:15" s="385" customFormat="1" ht="13.5" customHeight="1" x14ac:dyDescent="0.2">
      <c r="A60" s="735" t="s">
        <v>315</v>
      </c>
      <c r="B60" s="736" t="s">
        <v>65</v>
      </c>
      <c r="C60" s="750">
        <v>0</v>
      </c>
      <c r="D60" s="750">
        <v>0</v>
      </c>
      <c r="E60" s="750">
        <v>0</v>
      </c>
      <c r="F60" s="750">
        <v>0</v>
      </c>
      <c r="G60" s="750">
        <v>0</v>
      </c>
      <c r="H60" s="750">
        <v>0</v>
      </c>
      <c r="I60" s="750">
        <v>0</v>
      </c>
      <c r="J60" s="750">
        <v>0</v>
      </c>
      <c r="K60" s="750">
        <v>0</v>
      </c>
      <c r="L60" s="743">
        <v>0</v>
      </c>
      <c r="M60" s="743">
        <v>0</v>
      </c>
      <c r="N60" s="743">
        <v>0</v>
      </c>
      <c r="O60" s="743">
        <f t="shared" si="2"/>
        <v>0</v>
      </c>
    </row>
    <row r="61" spans="1:15" s="385" customFormat="1" ht="13.5" customHeight="1" x14ac:dyDescent="0.2">
      <c r="A61" s="735" t="s">
        <v>316</v>
      </c>
      <c r="B61" s="736" t="s">
        <v>317</v>
      </c>
      <c r="C61" s="750">
        <v>0</v>
      </c>
      <c r="D61" s="750">
        <v>0</v>
      </c>
      <c r="E61" s="750">
        <v>0</v>
      </c>
      <c r="F61" s="750">
        <v>0</v>
      </c>
      <c r="G61" s="750">
        <v>2034.54</v>
      </c>
      <c r="H61" s="750">
        <v>0</v>
      </c>
      <c r="I61" s="750">
        <v>0</v>
      </c>
      <c r="J61" s="750">
        <v>0</v>
      </c>
      <c r="K61" s="750">
        <v>0</v>
      </c>
      <c r="L61" s="743">
        <v>0</v>
      </c>
      <c r="M61" s="743">
        <v>2500</v>
      </c>
      <c r="N61" s="743">
        <v>0</v>
      </c>
      <c r="O61" s="743">
        <f t="shared" si="2"/>
        <v>226.06</v>
      </c>
    </row>
    <row r="62" spans="1:15" s="385" customFormat="1" ht="13.5" customHeight="1" x14ac:dyDescent="0.2">
      <c r="A62" s="735" t="s">
        <v>318</v>
      </c>
      <c r="B62" s="736" t="s">
        <v>151</v>
      </c>
      <c r="C62" s="750">
        <f>C10*100/87*3%</f>
        <v>4485.45</v>
      </c>
      <c r="D62" s="750">
        <f>CONCATENATE(D10*100)/87*3%</f>
        <v>4559.9941379310339</v>
      </c>
      <c r="E62" s="750">
        <f>CONCATENATE(E10*100)/87*3%</f>
        <v>5790.4796551724139</v>
      </c>
      <c r="F62" s="750">
        <f t="shared" ref="F62:K62" si="18">F10*100/87*3%</f>
        <v>4739.1299999999992</v>
      </c>
      <c r="G62" s="750">
        <f t="shared" si="18"/>
        <v>3983.8799999999997</v>
      </c>
      <c r="H62" s="750">
        <f t="shared" si="18"/>
        <v>3492.66</v>
      </c>
      <c r="I62" s="750">
        <f t="shared" si="18"/>
        <v>5297.07</v>
      </c>
      <c r="J62" s="750">
        <f t="shared" si="18"/>
        <v>5585.58</v>
      </c>
      <c r="K62" s="750">
        <f t="shared" si="18"/>
        <v>7309.3499999999995</v>
      </c>
      <c r="L62" s="743">
        <v>5515.7586206896549</v>
      </c>
      <c r="M62" s="743">
        <v>6088.8965517241377</v>
      </c>
      <c r="N62" s="743">
        <v>6429.379310344827</v>
      </c>
      <c r="O62" s="743">
        <f t="shared" si="2"/>
        <v>5027.0659770114944</v>
      </c>
    </row>
    <row r="63" spans="1:15" s="385" customFormat="1" ht="13.5" customHeight="1" x14ac:dyDescent="0.2">
      <c r="A63" s="735" t="s">
        <v>319</v>
      </c>
      <c r="B63" s="736" t="s">
        <v>320</v>
      </c>
      <c r="C63" s="750">
        <v>0</v>
      </c>
      <c r="D63" s="750">
        <v>0</v>
      </c>
      <c r="E63" s="750">
        <v>0</v>
      </c>
      <c r="F63" s="750">
        <v>0</v>
      </c>
      <c r="G63" s="750">
        <v>0</v>
      </c>
      <c r="H63" s="750">
        <v>0</v>
      </c>
      <c r="I63" s="750">
        <v>0</v>
      </c>
      <c r="J63" s="750">
        <v>0</v>
      </c>
      <c r="K63" s="750">
        <v>0</v>
      </c>
      <c r="L63" s="743">
        <v>0</v>
      </c>
      <c r="M63" s="743">
        <v>0</v>
      </c>
      <c r="N63" s="743">
        <v>0</v>
      </c>
      <c r="O63" s="743">
        <f t="shared" si="2"/>
        <v>0</v>
      </c>
    </row>
    <row r="64" spans="1:15" s="385" customFormat="1" ht="13.5" customHeight="1" x14ac:dyDescent="0.2">
      <c r="A64" s="735" t="s">
        <v>321</v>
      </c>
      <c r="B64" s="736" t="s">
        <v>322</v>
      </c>
      <c r="C64" s="750">
        <v>0</v>
      </c>
      <c r="D64" s="750">
        <v>0</v>
      </c>
      <c r="E64" s="750">
        <v>0</v>
      </c>
      <c r="F64" s="750">
        <v>0</v>
      </c>
      <c r="G64" s="750">
        <v>0</v>
      </c>
      <c r="H64" s="750">
        <v>0</v>
      </c>
      <c r="I64" s="750">
        <v>0</v>
      </c>
      <c r="J64" s="750">
        <v>0</v>
      </c>
      <c r="K64" s="750">
        <v>0</v>
      </c>
      <c r="L64" s="743">
        <v>0</v>
      </c>
      <c r="M64" s="743">
        <v>0</v>
      </c>
      <c r="N64" s="743">
        <v>0</v>
      </c>
      <c r="O64" s="743">
        <f t="shared" si="2"/>
        <v>0</v>
      </c>
    </row>
    <row r="65" spans="1:15" s="385" customFormat="1" ht="13.5" customHeight="1" x14ac:dyDescent="0.2">
      <c r="A65" s="735" t="s">
        <v>323</v>
      </c>
      <c r="B65" s="736" t="s">
        <v>324</v>
      </c>
      <c r="C65" s="750">
        <v>15.38</v>
      </c>
      <c r="D65" s="750">
        <v>0</v>
      </c>
      <c r="E65" s="750">
        <v>53.26</v>
      </c>
      <c r="F65" s="750">
        <v>0</v>
      </c>
      <c r="G65" s="750">
        <v>13.05</v>
      </c>
      <c r="H65" s="750">
        <v>19.84</v>
      </c>
      <c r="I65" s="750">
        <v>13.05</v>
      </c>
      <c r="J65" s="750">
        <v>41.42</v>
      </c>
      <c r="K65" s="750">
        <v>0</v>
      </c>
      <c r="L65" s="743">
        <v>50</v>
      </c>
      <c r="M65" s="743">
        <v>50</v>
      </c>
      <c r="N65" s="743">
        <v>50</v>
      </c>
      <c r="O65" s="743">
        <f t="shared" si="2"/>
        <v>17.333333333333332</v>
      </c>
    </row>
    <row r="66" spans="1:15" s="386" customFormat="1" ht="13.5" customHeight="1" x14ac:dyDescent="0.2">
      <c r="A66" s="735" t="s">
        <v>325</v>
      </c>
      <c r="B66" s="736" t="s">
        <v>326</v>
      </c>
      <c r="C66" s="750">
        <v>886.21</v>
      </c>
      <c r="D66" s="750">
        <v>1374.72</v>
      </c>
      <c r="E66" s="750">
        <v>0</v>
      </c>
      <c r="F66" s="750">
        <v>116.65</v>
      </c>
      <c r="G66" s="750">
        <v>2537.73</v>
      </c>
      <c r="H66" s="750">
        <v>6667.86</v>
      </c>
      <c r="I66" s="750">
        <f>5987.48+108.62</f>
        <v>6096.0999999999995</v>
      </c>
      <c r="J66" s="750">
        <v>2601.16</v>
      </c>
      <c r="K66" s="750">
        <v>1943.11</v>
      </c>
      <c r="L66" s="743">
        <v>1472.76</v>
      </c>
      <c r="M66" s="743">
        <v>1472.76</v>
      </c>
      <c r="N66" s="743">
        <v>1472.76</v>
      </c>
      <c r="O66" s="743">
        <f t="shared" si="2"/>
        <v>2469.2822222222221</v>
      </c>
    </row>
    <row r="67" spans="1:15" s="385" customFormat="1" ht="13.5" customHeight="1" x14ac:dyDescent="0.2">
      <c r="A67" s="735" t="s">
        <v>327</v>
      </c>
      <c r="B67" s="736" t="s">
        <v>328</v>
      </c>
      <c r="C67" s="750">
        <v>0</v>
      </c>
      <c r="D67" s="750">
        <v>174</v>
      </c>
      <c r="E67" s="750">
        <v>0</v>
      </c>
      <c r="F67" s="750">
        <v>0</v>
      </c>
      <c r="G67" s="750">
        <v>0</v>
      </c>
      <c r="H67" s="750">
        <v>0</v>
      </c>
      <c r="I67" s="750">
        <v>0</v>
      </c>
      <c r="J67" s="750">
        <v>0</v>
      </c>
      <c r="K67" s="750">
        <v>13.05</v>
      </c>
      <c r="L67" s="743">
        <v>0</v>
      </c>
      <c r="M67" s="743">
        <v>0</v>
      </c>
      <c r="N67" s="743">
        <v>0</v>
      </c>
      <c r="O67" s="743">
        <f t="shared" si="2"/>
        <v>20.783333333333335</v>
      </c>
    </row>
    <row r="68" spans="1:15" s="385" customFormat="1" ht="13.5" customHeight="1" x14ac:dyDescent="0.2">
      <c r="A68" s="735" t="s">
        <v>329</v>
      </c>
      <c r="B68" s="736" t="s">
        <v>330</v>
      </c>
      <c r="C68" s="750">
        <v>0</v>
      </c>
      <c r="D68" s="750">
        <v>0</v>
      </c>
      <c r="E68" s="750">
        <v>0</v>
      </c>
      <c r="F68" s="750">
        <v>0</v>
      </c>
      <c r="G68" s="750">
        <v>0</v>
      </c>
      <c r="H68" s="750">
        <v>78.3</v>
      </c>
      <c r="I68" s="750">
        <v>0</v>
      </c>
      <c r="J68" s="750">
        <v>0</v>
      </c>
      <c r="K68" s="750">
        <v>0</v>
      </c>
      <c r="L68" s="743">
        <v>250</v>
      </c>
      <c r="M68" s="743">
        <v>250</v>
      </c>
      <c r="N68" s="743">
        <v>250</v>
      </c>
      <c r="O68" s="743">
        <f t="shared" si="2"/>
        <v>8.6999999999999993</v>
      </c>
    </row>
    <row r="69" spans="1:15" s="385" customFormat="1" ht="13.5" customHeight="1" x14ac:dyDescent="0.2">
      <c r="A69" s="735" t="s">
        <v>331</v>
      </c>
      <c r="B69" s="736" t="s">
        <v>70</v>
      </c>
      <c r="C69" s="750">
        <v>2035.54</v>
      </c>
      <c r="D69" s="750">
        <v>1752.75</v>
      </c>
      <c r="E69" s="750">
        <v>1608.94</v>
      </c>
      <c r="F69" s="750">
        <v>1485.32</v>
      </c>
      <c r="G69" s="750">
        <v>2093.56</v>
      </c>
      <c r="H69" s="750">
        <v>1636.73</v>
      </c>
      <c r="I69" s="750">
        <v>3114.29</v>
      </c>
      <c r="J69" s="750">
        <v>2758.65</v>
      </c>
      <c r="K69" s="750">
        <v>2767.55</v>
      </c>
      <c r="L69" s="743">
        <v>1681</v>
      </c>
      <c r="M69" s="743">
        <v>1769</v>
      </c>
      <c r="N69" s="743">
        <v>2673</v>
      </c>
      <c r="O69" s="743">
        <f t="shared" si="2"/>
        <v>2139.2588888888886</v>
      </c>
    </row>
    <row r="70" spans="1:15" s="385" customFormat="1" ht="13.5" customHeight="1" x14ac:dyDescent="0.2">
      <c r="A70" s="735" t="s">
        <v>332</v>
      </c>
      <c r="B70" s="736" t="s">
        <v>71</v>
      </c>
      <c r="C70" s="750">
        <v>1062.95</v>
      </c>
      <c r="D70" s="750">
        <v>1049.1099999999999</v>
      </c>
      <c r="E70" s="750">
        <v>1014.16</v>
      </c>
      <c r="F70" s="750">
        <v>1036.9100000000001</v>
      </c>
      <c r="G70" s="750">
        <v>802.75</v>
      </c>
      <c r="H70" s="750">
        <v>784.09</v>
      </c>
      <c r="I70" s="750">
        <v>848.79</v>
      </c>
      <c r="J70" s="750">
        <v>808.95</v>
      </c>
      <c r="K70" s="750">
        <v>853.19</v>
      </c>
      <c r="L70" s="743">
        <v>1060</v>
      </c>
      <c r="M70" s="743">
        <v>1060</v>
      </c>
      <c r="N70" s="743">
        <v>1060</v>
      </c>
      <c r="O70" s="743">
        <f t="shared" si="2"/>
        <v>917.87777777777774</v>
      </c>
    </row>
    <row r="71" spans="1:15" s="385" customFormat="1" ht="13.5" customHeight="1" x14ac:dyDescent="0.2">
      <c r="A71" s="735" t="s">
        <v>333</v>
      </c>
      <c r="B71" s="736" t="s">
        <v>334</v>
      </c>
      <c r="C71" s="750">
        <v>0</v>
      </c>
      <c r="D71" s="750">
        <v>0</v>
      </c>
      <c r="E71" s="750">
        <v>0</v>
      </c>
      <c r="F71" s="750">
        <v>0</v>
      </c>
      <c r="G71" s="750">
        <v>0</v>
      </c>
      <c r="H71" s="750">
        <v>0</v>
      </c>
      <c r="I71" s="750">
        <v>0</v>
      </c>
      <c r="J71" s="750">
        <v>0</v>
      </c>
      <c r="K71" s="750">
        <v>0</v>
      </c>
      <c r="L71" s="743">
        <v>0</v>
      </c>
      <c r="M71" s="743">
        <v>0</v>
      </c>
      <c r="N71" s="743">
        <v>0</v>
      </c>
      <c r="O71" s="743">
        <f t="shared" si="2"/>
        <v>0</v>
      </c>
    </row>
    <row r="72" spans="1:15" s="385" customFormat="1" ht="13.5" customHeight="1" x14ac:dyDescent="0.2">
      <c r="A72" s="735" t="s">
        <v>335</v>
      </c>
      <c r="B72" s="736" t="s">
        <v>73</v>
      </c>
      <c r="C72" s="750">
        <v>0</v>
      </c>
      <c r="D72" s="750">
        <v>0</v>
      </c>
      <c r="E72" s="750">
        <v>0</v>
      </c>
      <c r="F72" s="750">
        <v>0</v>
      </c>
      <c r="G72" s="750">
        <v>1009.69</v>
      </c>
      <c r="H72" s="750">
        <v>1009.59</v>
      </c>
      <c r="I72" s="750">
        <v>1009.69</v>
      </c>
      <c r="J72" s="750">
        <v>1009.69</v>
      </c>
      <c r="K72" s="750">
        <v>1009.69</v>
      </c>
      <c r="L72" s="743">
        <v>575</v>
      </c>
      <c r="M72" s="743">
        <v>575</v>
      </c>
      <c r="N72" s="743">
        <v>575</v>
      </c>
      <c r="O72" s="743">
        <f t="shared" si="2"/>
        <v>560.92777777777781</v>
      </c>
    </row>
    <row r="73" spans="1:15" s="385" customFormat="1" ht="13.5" customHeight="1" x14ac:dyDescent="0.2">
      <c r="A73" s="735" t="s">
        <v>336</v>
      </c>
      <c r="B73" s="736" t="s">
        <v>337</v>
      </c>
      <c r="C73" s="750">
        <v>0</v>
      </c>
      <c r="D73" s="750">
        <v>0</v>
      </c>
      <c r="E73" s="750">
        <v>0</v>
      </c>
      <c r="F73" s="750">
        <v>0</v>
      </c>
      <c r="G73" s="750">
        <v>0</v>
      </c>
      <c r="H73" s="750">
        <v>0</v>
      </c>
      <c r="I73" s="750">
        <v>0</v>
      </c>
      <c r="J73" s="750">
        <v>0</v>
      </c>
      <c r="K73" s="750">
        <v>0</v>
      </c>
      <c r="L73" s="743">
        <v>0</v>
      </c>
      <c r="M73" s="743">
        <v>0</v>
      </c>
      <c r="N73" s="743">
        <v>0</v>
      </c>
      <c r="O73" s="743">
        <f t="shared" si="2"/>
        <v>0</v>
      </c>
    </row>
    <row r="74" spans="1:15" s="385" customFormat="1" ht="13.5" customHeight="1" x14ac:dyDescent="0.2">
      <c r="A74" s="735" t="s">
        <v>338</v>
      </c>
      <c r="B74" s="736" t="s">
        <v>339</v>
      </c>
      <c r="C74" s="750">
        <v>0</v>
      </c>
      <c r="D74" s="750">
        <v>0</v>
      </c>
      <c r="E74" s="750">
        <v>0</v>
      </c>
      <c r="F74" s="750">
        <v>0</v>
      </c>
      <c r="G74" s="750">
        <v>0</v>
      </c>
      <c r="H74" s="750">
        <v>0</v>
      </c>
      <c r="I74" s="750">
        <v>0</v>
      </c>
      <c r="J74" s="750">
        <v>0</v>
      </c>
      <c r="K74" s="750">
        <v>0</v>
      </c>
      <c r="L74" s="743">
        <v>0</v>
      </c>
      <c r="M74" s="743">
        <v>0</v>
      </c>
      <c r="N74" s="743">
        <v>0</v>
      </c>
      <c r="O74" s="743">
        <f t="shared" si="2"/>
        <v>0</v>
      </c>
    </row>
    <row r="75" spans="1:15" s="385" customFormat="1" ht="13.5" customHeight="1" x14ac:dyDescent="0.2">
      <c r="A75" s="735" t="s">
        <v>340</v>
      </c>
      <c r="B75" s="736" t="s">
        <v>341</v>
      </c>
      <c r="C75" s="750">
        <v>0</v>
      </c>
      <c r="D75" s="750">
        <v>0</v>
      </c>
      <c r="E75" s="750">
        <v>0</v>
      </c>
      <c r="F75" s="750">
        <v>0</v>
      </c>
      <c r="G75" s="750">
        <v>0</v>
      </c>
      <c r="H75" s="750">
        <v>0</v>
      </c>
      <c r="I75" s="750">
        <v>0</v>
      </c>
      <c r="J75" s="750">
        <v>0</v>
      </c>
      <c r="K75" s="750">
        <v>0</v>
      </c>
      <c r="L75" s="743">
        <v>1500</v>
      </c>
      <c r="M75" s="743">
        <v>3000</v>
      </c>
      <c r="N75" s="743">
        <v>1500</v>
      </c>
      <c r="O75" s="743">
        <f t="shared" ref="O75:O95" si="19">AVERAGE(C75:K75)</f>
        <v>0</v>
      </c>
    </row>
    <row r="76" spans="1:15" s="385" customFormat="1" ht="13.5" customHeight="1" x14ac:dyDescent="0.2">
      <c r="A76" s="735" t="s">
        <v>342</v>
      </c>
      <c r="B76" s="736" t="s">
        <v>74</v>
      </c>
      <c r="C76" s="750">
        <v>0</v>
      </c>
      <c r="D76" s="750">
        <v>0</v>
      </c>
      <c r="E76" s="750">
        <v>0</v>
      </c>
      <c r="F76" s="750">
        <v>501.12</v>
      </c>
      <c r="G76" s="750">
        <v>0</v>
      </c>
      <c r="H76" s="750">
        <v>0</v>
      </c>
      <c r="I76" s="750">
        <v>0</v>
      </c>
      <c r="J76" s="750">
        <v>0</v>
      </c>
      <c r="K76" s="750">
        <v>0</v>
      </c>
      <c r="L76" s="743">
        <v>500</v>
      </c>
      <c r="M76" s="743">
        <v>500</v>
      </c>
      <c r="N76" s="743">
        <v>500</v>
      </c>
      <c r="O76" s="743">
        <f t="shared" si="19"/>
        <v>55.68</v>
      </c>
    </row>
    <row r="77" spans="1:15" s="385" customFormat="1" ht="13.5" customHeight="1" x14ac:dyDescent="0.2">
      <c r="A77" s="735" t="s">
        <v>343</v>
      </c>
      <c r="B77" s="736" t="s">
        <v>75</v>
      </c>
      <c r="C77" s="750">
        <v>0</v>
      </c>
      <c r="D77" s="750">
        <v>0</v>
      </c>
      <c r="E77" s="750">
        <v>0</v>
      </c>
      <c r="F77" s="750">
        <v>0</v>
      </c>
      <c r="G77" s="750">
        <v>0</v>
      </c>
      <c r="H77" s="750">
        <v>0</v>
      </c>
      <c r="I77" s="750">
        <v>0</v>
      </c>
      <c r="J77" s="750">
        <v>0</v>
      </c>
      <c r="K77" s="750">
        <v>0</v>
      </c>
      <c r="L77" s="743">
        <v>1000</v>
      </c>
      <c r="M77" s="743">
        <v>1000</v>
      </c>
      <c r="N77" s="743">
        <v>3000</v>
      </c>
      <c r="O77" s="743">
        <f t="shared" si="19"/>
        <v>0</v>
      </c>
    </row>
    <row r="78" spans="1:15" s="385" customFormat="1" ht="13.5" customHeight="1" x14ac:dyDescent="0.2">
      <c r="A78" s="735" t="s">
        <v>344</v>
      </c>
      <c r="B78" s="736" t="s">
        <v>345</v>
      </c>
      <c r="C78" s="750">
        <v>0</v>
      </c>
      <c r="D78" s="750">
        <v>0</v>
      </c>
      <c r="E78" s="750">
        <v>0</v>
      </c>
      <c r="F78" s="750">
        <v>0</v>
      </c>
      <c r="G78" s="750">
        <v>0</v>
      </c>
      <c r="H78" s="750">
        <v>0</v>
      </c>
      <c r="I78" s="750">
        <v>0</v>
      </c>
      <c r="J78" s="750">
        <v>0</v>
      </c>
      <c r="K78" s="750">
        <v>0</v>
      </c>
      <c r="L78" s="743">
        <v>0</v>
      </c>
      <c r="M78" s="743">
        <v>0</v>
      </c>
      <c r="N78" s="743">
        <v>0</v>
      </c>
      <c r="O78" s="743">
        <f t="shared" si="19"/>
        <v>0</v>
      </c>
    </row>
    <row r="79" spans="1:15" s="385" customFormat="1" ht="13.5" customHeight="1" x14ac:dyDescent="0.2">
      <c r="A79" s="735" t="s">
        <v>346</v>
      </c>
      <c r="B79" s="736" t="s">
        <v>347</v>
      </c>
      <c r="C79" s="750">
        <v>0</v>
      </c>
      <c r="D79" s="750">
        <v>0</v>
      </c>
      <c r="E79" s="750">
        <v>0</v>
      </c>
      <c r="F79" s="750">
        <v>0</v>
      </c>
      <c r="G79" s="750">
        <v>0</v>
      </c>
      <c r="H79" s="750">
        <v>0</v>
      </c>
      <c r="I79" s="750">
        <v>0</v>
      </c>
      <c r="J79" s="750">
        <v>0</v>
      </c>
      <c r="K79" s="750">
        <v>0</v>
      </c>
      <c r="L79" s="743">
        <v>0</v>
      </c>
      <c r="M79" s="743">
        <v>0</v>
      </c>
      <c r="N79" s="743">
        <v>0</v>
      </c>
      <c r="O79" s="743">
        <f t="shared" si="19"/>
        <v>0</v>
      </c>
    </row>
    <row r="80" spans="1:15" s="385" customFormat="1" ht="13.5" customHeight="1" x14ac:dyDescent="0.2">
      <c r="A80" s="735" t="s">
        <v>348</v>
      </c>
      <c r="B80" s="736" t="s">
        <v>242</v>
      </c>
      <c r="C80" s="750">
        <v>0</v>
      </c>
      <c r="D80" s="750">
        <v>0</v>
      </c>
      <c r="E80" s="750">
        <v>0</v>
      </c>
      <c r="F80" s="750">
        <v>0</v>
      </c>
      <c r="G80" s="750">
        <v>0</v>
      </c>
      <c r="H80" s="750">
        <v>0</v>
      </c>
      <c r="I80" s="750">
        <v>0</v>
      </c>
      <c r="J80" s="750">
        <v>0</v>
      </c>
      <c r="K80" s="750">
        <v>0</v>
      </c>
      <c r="L80" s="743">
        <v>0</v>
      </c>
      <c r="M80" s="743">
        <v>0</v>
      </c>
      <c r="N80" s="743">
        <v>0</v>
      </c>
      <c r="O80" s="743">
        <f t="shared" si="19"/>
        <v>0</v>
      </c>
    </row>
    <row r="81" spans="1:17" s="385" customFormat="1" ht="13.5" customHeight="1" x14ac:dyDescent="0.2">
      <c r="A81" s="735" t="s">
        <v>349</v>
      </c>
      <c r="B81" s="736" t="s">
        <v>69</v>
      </c>
      <c r="C81" s="750">
        <v>150.5</v>
      </c>
      <c r="D81" s="750">
        <v>1461.63</v>
      </c>
      <c r="E81" s="750">
        <v>1120.3900000000001</v>
      </c>
      <c r="F81" s="750">
        <v>748.68</v>
      </c>
      <c r="G81" s="750">
        <v>2138.46</v>
      </c>
      <c r="H81" s="750">
        <v>4424.9799999999996</v>
      </c>
      <c r="I81" s="750">
        <v>139.03</v>
      </c>
      <c r="J81" s="750">
        <v>2286.71</v>
      </c>
      <c r="K81" s="750">
        <v>1553.85</v>
      </c>
      <c r="L81" s="743">
        <v>1000</v>
      </c>
      <c r="M81" s="743">
        <v>6000</v>
      </c>
      <c r="N81" s="743">
        <v>4000</v>
      </c>
      <c r="O81" s="743">
        <f t="shared" si="19"/>
        <v>1558.2477777777779</v>
      </c>
    </row>
    <row r="82" spans="1:17" s="385" customFormat="1" ht="13.5" customHeight="1" x14ac:dyDescent="0.2">
      <c r="A82" s="735" t="s">
        <v>522</v>
      </c>
      <c r="B82" s="736" t="s">
        <v>77</v>
      </c>
      <c r="C82" s="750">
        <v>7037.9809999999998</v>
      </c>
      <c r="D82" s="750">
        <v>7940.788700000001</v>
      </c>
      <c r="E82" s="750">
        <v>38796.626299999989</v>
      </c>
      <c r="F82" s="750">
        <v>10809.8</v>
      </c>
      <c r="G82" s="750">
        <v>9208.4135000000006</v>
      </c>
      <c r="H82" s="750">
        <v>39734.840100000009</v>
      </c>
      <c r="I82" s="750">
        <v>15742.9632</v>
      </c>
      <c r="J82" s="750">
        <v>15049.956</v>
      </c>
      <c r="K82" s="750">
        <v>48349.855600000003</v>
      </c>
      <c r="L82" s="743">
        <v>14001.223547594</v>
      </c>
      <c r="M82" s="743">
        <v>13297.457347594001</v>
      </c>
      <c r="N82" s="743">
        <v>43678.953547593999</v>
      </c>
      <c r="O82" s="743">
        <f t="shared" si="19"/>
        <v>21407.913822222225</v>
      </c>
    </row>
    <row r="83" spans="1:17" s="384" customFormat="1" ht="13.5" customHeight="1" x14ac:dyDescent="0.2">
      <c r="A83" s="735" t="s">
        <v>523</v>
      </c>
      <c r="B83" s="736" t="s">
        <v>524</v>
      </c>
      <c r="C83" s="750">
        <v>26043.159999999993</v>
      </c>
      <c r="D83" s="750">
        <v>27581.47</v>
      </c>
      <c r="E83" s="750">
        <v>33752.910000000003</v>
      </c>
      <c r="F83" s="750">
        <v>30992.94</v>
      </c>
      <c r="G83" s="750">
        <v>32483.419099999999</v>
      </c>
      <c r="H83" s="750">
        <v>34462.324000000001</v>
      </c>
      <c r="I83" s="750">
        <v>30631.580599999994</v>
      </c>
      <c r="J83" s="750">
        <v>31658.215400000001</v>
      </c>
      <c r="K83" s="750">
        <v>31049.229899999991</v>
      </c>
      <c r="L83" s="743">
        <v>34346.996799999994</v>
      </c>
      <c r="M83" s="743">
        <v>32046.017899999995</v>
      </c>
      <c r="N83" s="743">
        <v>31390.904999999999</v>
      </c>
      <c r="O83" s="743">
        <f t="shared" si="19"/>
        <v>30961.694333333329</v>
      </c>
      <c r="Q83" s="387"/>
    </row>
    <row r="84" spans="1:17" s="384" customFormat="1" ht="13.5" customHeight="1" x14ac:dyDescent="0.2">
      <c r="A84" s="735" t="s">
        <v>350</v>
      </c>
      <c r="B84" s="736" t="s">
        <v>351</v>
      </c>
      <c r="C84" s="750">
        <v>0</v>
      </c>
      <c r="D84" s="750">
        <v>0</v>
      </c>
      <c r="E84" s="750">
        <v>0</v>
      </c>
      <c r="F84" s="750">
        <v>0</v>
      </c>
      <c r="G84" s="750">
        <v>0</v>
      </c>
      <c r="H84" s="750">
        <v>0</v>
      </c>
      <c r="I84" s="750">
        <v>0</v>
      </c>
      <c r="J84" s="750">
        <v>0</v>
      </c>
      <c r="K84" s="750">
        <v>0</v>
      </c>
      <c r="L84" s="743">
        <v>0</v>
      </c>
      <c r="M84" s="743">
        <v>0</v>
      </c>
      <c r="N84" s="743">
        <v>2600</v>
      </c>
      <c r="O84" s="743">
        <f t="shared" si="19"/>
        <v>0</v>
      </c>
    </row>
    <row r="85" spans="1:17" s="385" customFormat="1" ht="13.5" customHeight="1" x14ac:dyDescent="0.2">
      <c r="A85" s="725" t="s">
        <v>354</v>
      </c>
      <c r="B85" s="726" t="s">
        <v>355</v>
      </c>
      <c r="C85" s="727">
        <f>C86+C88+C90+C92+C94</f>
        <v>0</v>
      </c>
      <c r="D85" s="727">
        <f t="shared" ref="D85:N85" si="20">D86+D88+D90+D92+D94</f>
        <v>0</v>
      </c>
      <c r="E85" s="727">
        <f t="shared" si="20"/>
        <v>0</v>
      </c>
      <c r="F85" s="727">
        <f t="shared" si="20"/>
        <v>0</v>
      </c>
      <c r="G85" s="727">
        <f t="shared" si="20"/>
        <v>0</v>
      </c>
      <c r="H85" s="727">
        <f t="shared" si="20"/>
        <v>0</v>
      </c>
      <c r="I85" s="727">
        <f t="shared" si="20"/>
        <v>0</v>
      </c>
      <c r="J85" s="727">
        <f t="shared" si="20"/>
        <v>0</v>
      </c>
      <c r="K85" s="727">
        <f t="shared" si="20"/>
        <v>0</v>
      </c>
      <c r="L85" s="727">
        <f t="shared" si="20"/>
        <v>0</v>
      </c>
      <c r="M85" s="727">
        <f t="shared" si="20"/>
        <v>0</v>
      </c>
      <c r="N85" s="727">
        <f t="shared" si="20"/>
        <v>0</v>
      </c>
      <c r="O85" s="727">
        <f t="shared" si="19"/>
        <v>0</v>
      </c>
    </row>
    <row r="86" spans="1:17" s="385" customFormat="1" ht="13.5" customHeight="1" x14ac:dyDescent="0.2">
      <c r="A86" s="758" t="s">
        <v>356</v>
      </c>
      <c r="B86" s="732" t="s">
        <v>357</v>
      </c>
      <c r="C86" s="733">
        <f>C87</f>
        <v>0</v>
      </c>
      <c r="D86" s="733">
        <f t="shared" ref="D86:N86" si="21">D87</f>
        <v>0</v>
      </c>
      <c r="E86" s="733">
        <f t="shared" si="21"/>
        <v>0</v>
      </c>
      <c r="F86" s="733">
        <f t="shared" si="21"/>
        <v>0</v>
      </c>
      <c r="G86" s="733">
        <f t="shared" si="21"/>
        <v>0</v>
      </c>
      <c r="H86" s="733">
        <f t="shared" si="21"/>
        <v>0</v>
      </c>
      <c r="I86" s="733">
        <f t="shared" si="21"/>
        <v>0</v>
      </c>
      <c r="J86" s="733">
        <f t="shared" si="21"/>
        <v>0</v>
      </c>
      <c r="K86" s="733">
        <f t="shared" si="21"/>
        <v>0</v>
      </c>
      <c r="L86" s="733">
        <f t="shared" si="21"/>
        <v>0</v>
      </c>
      <c r="M86" s="733">
        <f t="shared" si="21"/>
        <v>0</v>
      </c>
      <c r="N86" s="733">
        <f t="shared" si="21"/>
        <v>0</v>
      </c>
      <c r="O86" s="733">
        <f t="shared" si="19"/>
        <v>0</v>
      </c>
    </row>
    <row r="87" spans="1:17" s="385" customFormat="1" ht="13.5" customHeight="1" x14ac:dyDescent="0.2">
      <c r="A87" s="735" t="s">
        <v>358</v>
      </c>
      <c r="B87" s="736" t="s">
        <v>359</v>
      </c>
      <c r="C87" s="761">
        <v>0</v>
      </c>
      <c r="D87" s="761">
        <v>0</v>
      </c>
      <c r="E87" s="761">
        <v>0</v>
      </c>
      <c r="F87" s="761">
        <v>0</v>
      </c>
      <c r="G87" s="761">
        <v>0</v>
      </c>
      <c r="H87" s="761">
        <v>0</v>
      </c>
      <c r="I87" s="761">
        <v>0</v>
      </c>
      <c r="J87" s="761">
        <v>0</v>
      </c>
      <c r="K87" s="761">
        <v>0</v>
      </c>
      <c r="L87" s="761">
        <v>0</v>
      </c>
      <c r="M87" s="761">
        <v>0</v>
      </c>
      <c r="N87" s="761">
        <v>0</v>
      </c>
      <c r="O87" s="761">
        <f t="shared" si="19"/>
        <v>0</v>
      </c>
    </row>
    <row r="88" spans="1:17" s="385" customFormat="1" ht="13.5" customHeight="1" x14ac:dyDescent="0.2">
      <c r="A88" s="758" t="s">
        <v>360</v>
      </c>
      <c r="B88" s="732" t="s">
        <v>361</v>
      </c>
      <c r="C88" s="733">
        <f>C89</f>
        <v>0</v>
      </c>
      <c r="D88" s="733">
        <f t="shared" ref="D88:N88" si="22">D89</f>
        <v>0</v>
      </c>
      <c r="E88" s="733">
        <f t="shared" si="22"/>
        <v>0</v>
      </c>
      <c r="F88" s="733">
        <f t="shared" si="22"/>
        <v>0</v>
      </c>
      <c r="G88" s="733">
        <f t="shared" si="22"/>
        <v>0</v>
      </c>
      <c r="H88" s="733">
        <f t="shared" si="22"/>
        <v>0</v>
      </c>
      <c r="I88" s="733">
        <f t="shared" si="22"/>
        <v>0</v>
      </c>
      <c r="J88" s="733">
        <f t="shared" si="22"/>
        <v>0</v>
      </c>
      <c r="K88" s="733">
        <f t="shared" si="22"/>
        <v>0</v>
      </c>
      <c r="L88" s="733">
        <f t="shared" si="22"/>
        <v>0</v>
      </c>
      <c r="M88" s="733">
        <f t="shared" si="22"/>
        <v>0</v>
      </c>
      <c r="N88" s="733">
        <f t="shared" si="22"/>
        <v>0</v>
      </c>
      <c r="O88" s="733">
        <f t="shared" si="19"/>
        <v>0</v>
      </c>
    </row>
    <row r="89" spans="1:17" s="384" customFormat="1" ht="13.5" customHeight="1" x14ac:dyDescent="0.2">
      <c r="A89" s="735" t="s">
        <v>362</v>
      </c>
      <c r="B89" s="736" t="s">
        <v>363</v>
      </c>
      <c r="C89" s="761">
        <v>0</v>
      </c>
      <c r="D89" s="761">
        <v>0</v>
      </c>
      <c r="E89" s="761">
        <v>0</v>
      </c>
      <c r="F89" s="761">
        <v>0</v>
      </c>
      <c r="G89" s="761">
        <v>0</v>
      </c>
      <c r="H89" s="761">
        <v>0</v>
      </c>
      <c r="I89" s="761">
        <v>0</v>
      </c>
      <c r="J89" s="761">
        <v>0</v>
      </c>
      <c r="K89" s="761">
        <v>0</v>
      </c>
      <c r="L89" s="761">
        <v>0</v>
      </c>
      <c r="M89" s="761">
        <v>0</v>
      </c>
      <c r="N89" s="761">
        <v>0</v>
      </c>
      <c r="O89" s="761">
        <f t="shared" si="19"/>
        <v>0</v>
      </c>
    </row>
    <row r="90" spans="1:17" s="385" customFormat="1" ht="13.5" customHeight="1" x14ac:dyDescent="0.2">
      <c r="A90" s="758" t="s">
        <v>364</v>
      </c>
      <c r="B90" s="732" t="s">
        <v>365</v>
      </c>
      <c r="C90" s="733">
        <f>C91</f>
        <v>0</v>
      </c>
      <c r="D90" s="733">
        <f t="shared" ref="D90:N90" si="23">D91</f>
        <v>0</v>
      </c>
      <c r="E90" s="733">
        <f t="shared" si="23"/>
        <v>0</v>
      </c>
      <c r="F90" s="733">
        <f t="shared" si="23"/>
        <v>0</v>
      </c>
      <c r="G90" s="733">
        <f t="shared" si="23"/>
        <v>0</v>
      </c>
      <c r="H90" s="733">
        <f t="shared" si="23"/>
        <v>0</v>
      </c>
      <c r="I90" s="733">
        <f t="shared" si="23"/>
        <v>0</v>
      </c>
      <c r="J90" s="733">
        <f t="shared" si="23"/>
        <v>0</v>
      </c>
      <c r="K90" s="733">
        <f t="shared" si="23"/>
        <v>0</v>
      </c>
      <c r="L90" s="733">
        <f t="shared" si="23"/>
        <v>0</v>
      </c>
      <c r="M90" s="733">
        <f t="shared" si="23"/>
        <v>0</v>
      </c>
      <c r="N90" s="733">
        <f t="shared" si="23"/>
        <v>0</v>
      </c>
      <c r="O90" s="733">
        <f t="shared" si="19"/>
        <v>0</v>
      </c>
    </row>
    <row r="91" spans="1:17" s="384" customFormat="1" ht="13.5" customHeight="1" x14ac:dyDescent="0.2">
      <c r="A91" s="735" t="s">
        <v>366</v>
      </c>
      <c r="B91" s="736" t="s">
        <v>367</v>
      </c>
      <c r="C91" s="761">
        <v>0</v>
      </c>
      <c r="D91" s="761">
        <v>0</v>
      </c>
      <c r="E91" s="761">
        <v>0</v>
      </c>
      <c r="F91" s="761">
        <v>0</v>
      </c>
      <c r="G91" s="761">
        <v>0</v>
      </c>
      <c r="H91" s="761">
        <v>0</v>
      </c>
      <c r="I91" s="761">
        <v>0</v>
      </c>
      <c r="J91" s="761">
        <v>0</v>
      </c>
      <c r="K91" s="761">
        <v>0</v>
      </c>
      <c r="L91" s="761">
        <v>0</v>
      </c>
      <c r="M91" s="761">
        <v>0</v>
      </c>
      <c r="N91" s="761">
        <v>0</v>
      </c>
      <c r="O91" s="761">
        <f t="shared" si="19"/>
        <v>0</v>
      </c>
    </row>
    <row r="92" spans="1:17" s="385" customFormat="1" ht="13.5" customHeight="1" x14ac:dyDescent="0.2">
      <c r="A92" s="758" t="s">
        <v>368</v>
      </c>
      <c r="B92" s="732" t="s">
        <v>369</v>
      </c>
      <c r="C92" s="733">
        <f>C93</f>
        <v>0</v>
      </c>
      <c r="D92" s="733">
        <f t="shared" ref="D92:N92" si="24">D93</f>
        <v>0</v>
      </c>
      <c r="E92" s="733">
        <f t="shared" si="24"/>
        <v>0</v>
      </c>
      <c r="F92" s="733">
        <f t="shared" si="24"/>
        <v>0</v>
      </c>
      <c r="G92" s="733">
        <f t="shared" si="24"/>
        <v>0</v>
      </c>
      <c r="H92" s="733">
        <f t="shared" si="24"/>
        <v>0</v>
      </c>
      <c r="I92" s="733">
        <f t="shared" si="24"/>
        <v>0</v>
      </c>
      <c r="J92" s="733">
        <f t="shared" si="24"/>
        <v>0</v>
      </c>
      <c r="K92" s="733">
        <f t="shared" si="24"/>
        <v>0</v>
      </c>
      <c r="L92" s="733">
        <f t="shared" si="24"/>
        <v>0</v>
      </c>
      <c r="M92" s="733">
        <f t="shared" si="24"/>
        <v>0</v>
      </c>
      <c r="N92" s="733">
        <f t="shared" si="24"/>
        <v>0</v>
      </c>
      <c r="O92" s="733">
        <f t="shared" si="19"/>
        <v>0</v>
      </c>
    </row>
    <row r="93" spans="1:17" s="384" customFormat="1" ht="13.5" customHeight="1" x14ac:dyDescent="0.2">
      <c r="A93" s="735" t="s">
        <v>370</v>
      </c>
      <c r="B93" s="736" t="s">
        <v>371</v>
      </c>
      <c r="C93" s="761">
        <v>0</v>
      </c>
      <c r="D93" s="761">
        <v>0</v>
      </c>
      <c r="E93" s="761">
        <v>0</v>
      </c>
      <c r="F93" s="761">
        <v>0</v>
      </c>
      <c r="G93" s="761">
        <v>0</v>
      </c>
      <c r="H93" s="761">
        <v>0</v>
      </c>
      <c r="I93" s="761">
        <v>0</v>
      </c>
      <c r="J93" s="761">
        <v>0</v>
      </c>
      <c r="K93" s="761">
        <v>0</v>
      </c>
      <c r="L93" s="761">
        <v>0</v>
      </c>
      <c r="M93" s="761">
        <v>0</v>
      </c>
      <c r="N93" s="761">
        <v>0</v>
      </c>
      <c r="O93" s="761">
        <f t="shared" si="19"/>
        <v>0</v>
      </c>
    </row>
    <row r="94" spans="1:17" s="384" customFormat="1" ht="13.5" customHeight="1" x14ac:dyDescent="0.2">
      <c r="A94" s="758" t="s">
        <v>372</v>
      </c>
      <c r="B94" s="732" t="s">
        <v>373</v>
      </c>
      <c r="C94" s="733">
        <f>C95</f>
        <v>0</v>
      </c>
      <c r="D94" s="733">
        <f t="shared" ref="D94:N94" si="25">D95</f>
        <v>0</v>
      </c>
      <c r="E94" s="733">
        <f t="shared" si="25"/>
        <v>0</v>
      </c>
      <c r="F94" s="733">
        <f t="shared" si="25"/>
        <v>0</v>
      </c>
      <c r="G94" s="733">
        <f t="shared" si="25"/>
        <v>0</v>
      </c>
      <c r="H94" s="733">
        <f t="shared" si="25"/>
        <v>0</v>
      </c>
      <c r="I94" s="733">
        <f t="shared" si="25"/>
        <v>0</v>
      </c>
      <c r="J94" s="733">
        <f t="shared" si="25"/>
        <v>0</v>
      </c>
      <c r="K94" s="733">
        <f t="shared" si="25"/>
        <v>0</v>
      </c>
      <c r="L94" s="733">
        <f t="shared" si="25"/>
        <v>0</v>
      </c>
      <c r="M94" s="733">
        <f t="shared" si="25"/>
        <v>0</v>
      </c>
      <c r="N94" s="733">
        <f t="shared" si="25"/>
        <v>0</v>
      </c>
      <c r="O94" s="733">
        <f t="shared" si="19"/>
        <v>0</v>
      </c>
    </row>
    <row r="95" spans="1:17" ht="13.5" customHeight="1" x14ac:dyDescent="0.25">
      <c r="A95" s="735" t="s">
        <v>374</v>
      </c>
      <c r="B95" s="736" t="s">
        <v>375</v>
      </c>
      <c r="C95" s="761">
        <v>0</v>
      </c>
      <c r="D95" s="761">
        <v>0</v>
      </c>
      <c r="E95" s="761">
        <v>0</v>
      </c>
      <c r="F95" s="761">
        <v>0</v>
      </c>
      <c r="G95" s="761">
        <v>0</v>
      </c>
      <c r="H95" s="761">
        <v>0</v>
      </c>
      <c r="I95" s="761">
        <v>0</v>
      </c>
      <c r="J95" s="761">
        <v>0</v>
      </c>
      <c r="K95" s="761">
        <v>0</v>
      </c>
      <c r="L95" s="761">
        <v>0</v>
      </c>
      <c r="M95" s="761">
        <v>0</v>
      </c>
      <c r="N95" s="761">
        <v>0</v>
      </c>
      <c r="O95" s="761">
        <f t="shared" si="19"/>
        <v>0</v>
      </c>
    </row>
    <row r="96" spans="1:17" x14ac:dyDescent="0.25">
      <c r="A96" s="763"/>
      <c r="B96" s="720" t="s">
        <v>376</v>
      </c>
      <c r="C96" s="721">
        <f t="shared" ref="C96:N96" si="26">C10-C33</f>
        <v>37953.209000000003</v>
      </c>
      <c r="D96" s="721">
        <f t="shared" si="26"/>
        <v>39195.817162068939</v>
      </c>
      <c r="E96" s="721">
        <f t="shared" si="26"/>
        <v>24499.9440448276</v>
      </c>
      <c r="F96" s="721">
        <f t="shared" si="26"/>
        <v>39474.209999999992</v>
      </c>
      <c r="G96" s="721">
        <f t="shared" si="26"/>
        <v>-1878.1626000000106</v>
      </c>
      <c r="H96" s="721">
        <f t="shared" si="26"/>
        <v>-38197.984100000016</v>
      </c>
      <c r="I96" s="721">
        <f t="shared" si="26"/>
        <v>33518.446200000006</v>
      </c>
      <c r="J96" s="721">
        <f t="shared" si="26"/>
        <v>50047.928599999999</v>
      </c>
      <c r="K96" s="721">
        <f t="shared" si="26"/>
        <v>68853.484499999991</v>
      </c>
      <c r="L96" s="721">
        <f t="shared" si="26"/>
        <v>35490.658985995484</v>
      </c>
      <c r="M96" s="721">
        <f t="shared" si="26"/>
        <v>37274.346154961007</v>
      </c>
      <c r="N96" s="721">
        <f t="shared" si="26"/>
        <v>31858.400096340309</v>
      </c>
      <c r="O96" s="721">
        <f>AVERAGE(C96:K96)</f>
        <v>28162.988089655166</v>
      </c>
    </row>
    <row r="97" spans="12:15" x14ac:dyDescent="0.25">
      <c r="L97" s="286"/>
      <c r="M97" s="286"/>
      <c r="O97" s="285"/>
    </row>
  </sheetData>
  <mergeCells count="15">
    <mergeCell ref="O8:O9"/>
    <mergeCell ref="K8:K9"/>
    <mergeCell ref="L8:L9"/>
    <mergeCell ref="M8:M9"/>
    <mergeCell ref="B1:N2"/>
    <mergeCell ref="A8:B9"/>
    <mergeCell ref="C8:C9"/>
    <mergeCell ref="D8:D9"/>
    <mergeCell ref="E8:E9"/>
    <mergeCell ref="I8:I9"/>
    <mergeCell ref="J8:J9"/>
    <mergeCell ref="F8:F9"/>
    <mergeCell ref="G8:G9"/>
    <mergeCell ref="H8:H9"/>
    <mergeCell ref="N8:N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499984740745262"/>
    <pageSetUpPr fitToPage="1"/>
  </sheetPr>
  <dimension ref="A1:P88"/>
  <sheetViews>
    <sheetView topLeftCell="A82" zoomScaleNormal="100" workbookViewId="0">
      <selection activeCell="E44" sqref="E44"/>
    </sheetView>
  </sheetViews>
  <sheetFormatPr baseColWidth="10" defaultColWidth="11.42578125" defaultRowHeight="12.75" x14ac:dyDescent="0.2"/>
  <cols>
    <col min="1" max="1" width="4.5703125" style="30" bestFit="1" customWidth="1"/>
    <col min="2" max="2" width="18.7109375" style="404" customWidth="1"/>
    <col min="3" max="3" width="22.5703125" style="404" customWidth="1"/>
    <col min="4" max="4" width="17.140625" style="1" bestFit="1" customWidth="1"/>
    <col min="5" max="5" width="13.7109375" style="1" customWidth="1"/>
    <col min="6" max="6" width="14.140625" style="1" customWidth="1"/>
    <col min="7" max="7" width="13.7109375" style="1" customWidth="1"/>
    <col min="8" max="11" width="14.140625" style="1" customWidth="1"/>
    <col min="12" max="12" width="10.28515625" style="1" bestFit="1" customWidth="1"/>
    <col min="13" max="13" width="11.42578125" style="1" customWidth="1"/>
    <col min="14" max="14" width="19.28515625" style="1" customWidth="1"/>
    <col min="15" max="16384" width="11.42578125" style="1"/>
  </cols>
  <sheetData>
    <row r="1" spans="1:16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</row>
    <row r="2" spans="1:16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</row>
    <row r="3" spans="1:16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</row>
    <row r="4" spans="1:16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</row>
    <row r="5" spans="1:16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</row>
    <row r="6" spans="1:16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M6" s="2"/>
      <c r="N6" s="2"/>
      <c r="O6" s="2"/>
      <c r="P6" s="2"/>
    </row>
    <row r="7" spans="1:16" x14ac:dyDescent="0.2">
      <c r="B7" s="1"/>
      <c r="C7" s="1"/>
      <c r="D7" s="375" t="s">
        <v>26</v>
      </c>
      <c r="E7" s="375" t="s">
        <v>27</v>
      </c>
      <c r="F7" s="375" t="s">
        <v>53</v>
      </c>
      <c r="M7" s="2"/>
      <c r="N7" s="16" t="s">
        <v>28</v>
      </c>
      <c r="O7" s="17"/>
      <c r="P7" s="2"/>
    </row>
    <row r="8" spans="1:16" x14ac:dyDescent="0.2">
      <c r="B8" s="376" t="s">
        <v>29</v>
      </c>
      <c r="C8" s="353"/>
      <c r="D8" s="371"/>
      <c r="E8" s="371"/>
      <c r="F8" s="371">
        <v>1</v>
      </c>
      <c r="M8" s="2"/>
      <c r="N8" s="16"/>
      <c r="O8" s="17"/>
      <c r="P8" s="2"/>
    </row>
    <row r="9" spans="1:16" x14ac:dyDescent="0.2">
      <c r="B9" s="1031" t="s">
        <v>5</v>
      </c>
      <c r="C9" s="354"/>
      <c r="D9" s="371">
        <f>3*12</f>
        <v>36</v>
      </c>
      <c r="E9" s="372">
        <f>+D9/12</f>
        <v>3</v>
      </c>
      <c r="F9" s="373">
        <v>1</v>
      </c>
      <c r="M9" s="2"/>
      <c r="N9" s="16" t="s">
        <v>33</v>
      </c>
      <c r="O9" s="17"/>
      <c r="P9" s="2"/>
    </row>
    <row r="10" spans="1:16" x14ac:dyDescent="0.2">
      <c r="B10" s="1031"/>
      <c r="C10" s="354"/>
      <c r="D10" s="370">
        <f>(2+2+2+6+4+1+2)*3</f>
        <v>57</v>
      </c>
      <c r="E10" s="372">
        <f>+D10/12</f>
        <v>4.75</v>
      </c>
      <c r="F10" s="373">
        <v>1</v>
      </c>
      <c r="M10" s="2"/>
      <c r="N10" s="16"/>
      <c r="O10" s="17"/>
      <c r="P10" s="2"/>
    </row>
    <row r="11" spans="1:16" s="30" customFormat="1" ht="13.5" thickBot="1" x14ac:dyDescent="0.25">
      <c r="A11" s="27"/>
      <c r="B11" s="31"/>
      <c r="D11" s="374">
        <f>SUM(D8:D10)</f>
        <v>93</v>
      </c>
      <c r="E11" s="374">
        <f t="shared" ref="E11" si="0">SUM(E8:E10)</f>
        <v>7.75</v>
      </c>
      <c r="F11" s="374">
        <f>SUM(F8:F10)</f>
        <v>3</v>
      </c>
      <c r="M11" s="33"/>
      <c r="N11" s="33"/>
      <c r="O11" s="33"/>
      <c r="P11" s="33"/>
    </row>
    <row r="12" spans="1:16" s="30" customFormat="1" ht="13.5" thickTop="1" x14ac:dyDescent="0.2">
      <c r="A12" s="27"/>
      <c r="B12" s="125"/>
      <c r="C12" s="406"/>
      <c r="F12" s="31"/>
      <c r="G12" s="31"/>
      <c r="I12" s="366"/>
      <c r="J12" s="366"/>
      <c r="K12" s="367"/>
      <c r="M12" s="33"/>
      <c r="N12" s="33"/>
      <c r="O12" s="33"/>
      <c r="P12" s="33"/>
    </row>
    <row r="13" spans="1:16" ht="14.25" x14ac:dyDescent="0.2">
      <c r="A13" s="424"/>
      <c r="B13" s="1024" t="s">
        <v>36</v>
      </c>
      <c r="C13" s="1024"/>
      <c r="D13" s="1024"/>
      <c r="E13" s="1024"/>
      <c r="F13" s="1024"/>
      <c r="G13" s="1024"/>
      <c r="H13" s="1024"/>
      <c r="I13" s="1024"/>
      <c r="J13" s="1024"/>
      <c r="K13" s="1024"/>
      <c r="M13" s="2"/>
      <c r="N13" s="2"/>
      <c r="O13" s="2"/>
      <c r="P13" s="2"/>
    </row>
    <row r="14" spans="1:16" ht="13.5" thickBot="1" x14ac:dyDescent="0.25">
      <c r="B14" s="365"/>
      <c r="J14" s="37"/>
      <c r="M14" s="2"/>
      <c r="N14" s="2"/>
      <c r="O14" s="2"/>
      <c r="P14" s="2"/>
    </row>
    <row r="15" spans="1:16" s="38" customFormat="1" ht="14.25" x14ac:dyDescent="0.2">
      <c r="A15" s="440"/>
      <c r="B15" s="1032" t="s">
        <v>40</v>
      </c>
      <c r="C15" s="1172"/>
      <c r="D15" s="1174" t="s">
        <v>42</v>
      </c>
      <c r="E15" s="1033" t="s">
        <v>43</v>
      </c>
      <c r="F15" s="39" t="s">
        <v>386</v>
      </c>
      <c r="G15" s="1033" t="s">
        <v>43</v>
      </c>
      <c r="H15" s="1038" t="s">
        <v>46</v>
      </c>
      <c r="I15" s="1039"/>
      <c r="J15" s="1040" t="s">
        <v>47</v>
      </c>
      <c r="K15" s="1041"/>
    </row>
    <row r="16" spans="1:16" x14ac:dyDescent="0.2">
      <c r="B16" s="1034"/>
      <c r="C16" s="1173"/>
      <c r="D16" s="1175"/>
      <c r="E16" s="1035"/>
      <c r="F16" s="362" t="s">
        <v>48</v>
      </c>
      <c r="G16" s="1035"/>
      <c r="H16" s="362" t="s">
        <v>49</v>
      </c>
      <c r="I16" s="363" t="s">
        <v>48</v>
      </c>
      <c r="J16" s="362" t="s">
        <v>49</v>
      </c>
      <c r="K16" s="361" t="s">
        <v>48</v>
      </c>
    </row>
    <row r="17" spans="2:12" ht="13.5" thickBot="1" x14ac:dyDescent="0.25">
      <c r="B17" s="1210" t="s">
        <v>50</v>
      </c>
      <c r="C17" s="1211"/>
      <c r="D17" s="46"/>
      <c r="E17" s="47"/>
      <c r="F17" s="45"/>
      <c r="G17" s="47"/>
      <c r="H17" s="49"/>
      <c r="I17" s="46"/>
      <c r="J17" s="45"/>
      <c r="K17" s="47"/>
    </row>
    <row r="18" spans="2:12" s="31" customFormat="1" ht="13.5" thickBot="1" x14ac:dyDescent="0.25">
      <c r="B18" s="1027" t="s">
        <v>51</v>
      </c>
      <c r="C18" s="1327"/>
      <c r="D18" s="448">
        <f>SUM(D19:D20)</f>
        <v>19809.465555555558</v>
      </c>
      <c r="E18" s="416"/>
      <c r="F18" s="417">
        <f>+F19+F20</f>
        <v>19809.465555555558</v>
      </c>
      <c r="G18" s="416"/>
      <c r="H18" s="417"/>
      <c r="I18" s="423">
        <f>SUM(I19:I20)</f>
        <v>19809.465555555558</v>
      </c>
      <c r="J18" s="417"/>
      <c r="K18" s="416">
        <f>SUM(K19:K20)</f>
        <v>19809.465555555558</v>
      </c>
    </row>
    <row r="19" spans="2:12" x14ac:dyDescent="0.2">
      <c r="B19" s="1227" t="str">
        <f>+'TCP-RLP'!B38</f>
        <v xml:space="preserve">       GASTOS PERSONAL DEPENDIENTE</v>
      </c>
      <c r="C19" s="1328"/>
      <c r="D19" s="418">
        <f>+'TCP-RLP'!O38</f>
        <v>17797.793333333335</v>
      </c>
      <c r="E19" s="350" t="s">
        <v>27</v>
      </c>
      <c r="F19" s="420">
        <f>+D19</f>
        <v>17797.793333333335</v>
      </c>
      <c r="G19" s="57" t="s">
        <v>389</v>
      </c>
      <c r="H19" s="59" t="s">
        <v>54</v>
      </c>
      <c r="I19" s="60">
        <f>IF($H19="S",F19,0)</f>
        <v>17797.793333333335</v>
      </c>
      <c r="J19" s="59" t="s">
        <v>54</v>
      </c>
      <c r="K19" s="62">
        <f>IF($J19="S",F19,0)</f>
        <v>17797.793333333335</v>
      </c>
      <c r="L19" s="148"/>
    </row>
    <row r="20" spans="2:12" ht="13.5" thickBot="1" x14ac:dyDescent="0.25">
      <c r="B20" s="1335" t="str">
        <f>+'TCP-RLP'!B46</f>
        <v xml:space="preserve">      GASTOS PERSONAL EXTERNO</v>
      </c>
      <c r="C20" s="1336"/>
      <c r="D20" s="419">
        <f>+'TCP-RLP'!O46</f>
        <v>2011.6722222222222</v>
      </c>
      <c r="E20" s="351" t="s">
        <v>378</v>
      </c>
      <c r="F20" s="421">
        <f>+D20</f>
        <v>2011.6722222222222</v>
      </c>
      <c r="G20" s="351" t="s">
        <v>389</v>
      </c>
      <c r="H20" s="68" t="s">
        <v>54</v>
      </c>
      <c r="I20" s="60">
        <f>IF($H20="S",F20,0)</f>
        <v>2011.6722222222222</v>
      </c>
      <c r="J20" s="355" t="s">
        <v>54</v>
      </c>
      <c r="K20" s="70">
        <f>IF($J20="S",F20,0)</f>
        <v>2011.6722222222222</v>
      </c>
    </row>
    <row r="21" spans="2:12" s="31" customFormat="1" ht="13.5" thickBot="1" x14ac:dyDescent="0.25">
      <c r="B21" s="1027" t="s">
        <v>58</v>
      </c>
      <c r="C21" s="1327"/>
      <c r="D21" s="448">
        <f>SUM(D22:D51)</f>
        <v>12489.555823754787</v>
      </c>
      <c r="E21" s="416"/>
      <c r="F21" s="448">
        <f>SUM(F22:F51)</f>
        <v>12489.555823754787</v>
      </c>
      <c r="G21" s="416"/>
      <c r="H21" s="417"/>
      <c r="I21" s="448">
        <f>SUM(I22:I51)</f>
        <v>12489.555823754787</v>
      </c>
      <c r="J21" s="417"/>
      <c r="K21" s="448">
        <f>SUM(K22:K51)</f>
        <v>12489.555823754787</v>
      </c>
    </row>
    <row r="22" spans="2:12" s="31" customFormat="1" x14ac:dyDescent="0.2">
      <c r="B22" s="1217" t="str">
        <f>+'TCP-RLP'!B52</f>
        <v xml:space="preserve">         MATERIAL DE ESCRITORIO</v>
      </c>
      <c r="C22" s="1218"/>
      <c r="D22" s="449">
        <f>+'TCP-RLP'!O52</f>
        <v>30.063333333333333</v>
      </c>
      <c r="E22" s="430" t="s">
        <v>27</v>
      </c>
      <c r="F22" s="434">
        <f>+D22</f>
        <v>30.063333333333333</v>
      </c>
      <c r="G22" s="438" t="s">
        <v>389</v>
      </c>
      <c r="H22" s="427" t="s">
        <v>54</v>
      </c>
      <c r="I22" s="60">
        <f>IF($H22="S",F22,0)</f>
        <v>30.063333333333333</v>
      </c>
      <c r="J22" s="59" t="s">
        <v>54</v>
      </c>
      <c r="K22" s="62">
        <f>IF($J22="S",F22,0)</f>
        <v>30.063333333333333</v>
      </c>
    </row>
    <row r="23" spans="2:12" s="31" customFormat="1" x14ac:dyDescent="0.2">
      <c r="B23" s="1215" t="str">
        <f>+'TCP-RLP'!B53</f>
        <v xml:space="preserve">         SERVICIOS EXTERNOS  </v>
      </c>
      <c r="C23" s="1216"/>
      <c r="D23" s="450">
        <f>+'TCP-RLP'!O53</f>
        <v>896.19666666666672</v>
      </c>
      <c r="E23" s="430" t="s">
        <v>27</v>
      </c>
      <c r="F23" s="435">
        <f t="shared" ref="F23:F51" si="1">+D23</f>
        <v>896.19666666666672</v>
      </c>
      <c r="G23" s="432" t="s">
        <v>389</v>
      </c>
      <c r="H23" s="425" t="s">
        <v>54</v>
      </c>
      <c r="I23" s="60">
        <f>IF($H23="S",F23,0)</f>
        <v>896.19666666666672</v>
      </c>
      <c r="J23" s="78" t="s">
        <v>54</v>
      </c>
      <c r="K23" s="62">
        <f t="shared" ref="K23:K51" si="2">IF($J23="S",F23,0)</f>
        <v>896.19666666666672</v>
      </c>
    </row>
    <row r="24" spans="2:12" s="31" customFormat="1" x14ac:dyDescent="0.2">
      <c r="B24" s="1215" t="str">
        <f>+'TCP-RLP'!B54</f>
        <v xml:space="preserve">         SERVICIO DE COURIER</v>
      </c>
      <c r="C24" s="1216"/>
      <c r="D24" s="450">
        <f>+'TCP-RLP'!O54</f>
        <v>42.316666666666663</v>
      </c>
      <c r="E24" s="430" t="s">
        <v>27</v>
      </c>
      <c r="F24" s="435">
        <f t="shared" si="1"/>
        <v>42.316666666666663</v>
      </c>
      <c r="G24" s="432" t="s">
        <v>389</v>
      </c>
      <c r="H24" s="426" t="s">
        <v>54</v>
      </c>
      <c r="I24" s="60">
        <f t="shared" ref="I24:I51" si="3">IF($H24="S",F24,0)</f>
        <v>42.316666666666663</v>
      </c>
      <c r="J24" s="78" t="s">
        <v>54</v>
      </c>
      <c r="K24" s="62">
        <f t="shared" si="2"/>
        <v>42.316666666666663</v>
      </c>
    </row>
    <row r="25" spans="2:12" s="31" customFormat="1" x14ac:dyDescent="0.2">
      <c r="B25" s="1215" t="str">
        <f>+'TCP-RLP'!B55</f>
        <v xml:space="preserve">         SERVICIOS Y COMUNICACIONES</v>
      </c>
      <c r="C25" s="1216"/>
      <c r="D25" s="450">
        <f>+'TCP-RLP'!O55</f>
        <v>725.92</v>
      </c>
      <c r="E25" s="430" t="s">
        <v>27</v>
      </c>
      <c r="F25" s="435">
        <f t="shared" si="1"/>
        <v>725.92</v>
      </c>
      <c r="G25" s="432" t="s">
        <v>389</v>
      </c>
      <c r="H25" s="426" t="s">
        <v>54</v>
      </c>
      <c r="I25" s="60">
        <f t="shared" si="3"/>
        <v>725.92</v>
      </c>
      <c r="J25" s="78" t="s">
        <v>54</v>
      </c>
      <c r="K25" s="62">
        <f t="shared" si="2"/>
        <v>725.92</v>
      </c>
    </row>
    <row r="26" spans="2:12" s="31" customFormat="1" x14ac:dyDescent="0.2">
      <c r="B26" s="1215" t="str">
        <f>+'TCP-RLP'!B56</f>
        <v xml:space="preserve">         SERVICIO DE SEGURIDAD</v>
      </c>
      <c r="C26" s="1216"/>
      <c r="D26" s="450">
        <f>+'TCP-RLP'!O56</f>
        <v>317.15111111111116</v>
      </c>
      <c r="E26" s="430" t="s">
        <v>27</v>
      </c>
      <c r="F26" s="435">
        <f t="shared" si="1"/>
        <v>317.15111111111116</v>
      </c>
      <c r="G26" s="432" t="s">
        <v>389</v>
      </c>
      <c r="H26" s="426" t="s">
        <v>54</v>
      </c>
      <c r="I26" s="60">
        <f t="shared" si="3"/>
        <v>317.15111111111116</v>
      </c>
      <c r="J26" s="78" t="s">
        <v>54</v>
      </c>
      <c r="K26" s="62">
        <f t="shared" si="2"/>
        <v>317.15111111111116</v>
      </c>
    </row>
    <row r="27" spans="2:12" s="31" customFormat="1" x14ac:dyDescent="0.2">
      <c r="B27" s="1215" t="str">
        <f>+'TCP-RLP'!B57</f>
        <v xml:space="preserve">         REFRIGERIOS CURSOS-COMITÉS-OTROS</v>
      </c>
      <c r="C27" s="1216"/>
      <c r="D27" s="450">
        <f>+'TCP-RLP'!O57</f>
        <v>0</v>
      </c>
      <c r="E27" s="430" t="s">
        <v>27</v>
      </c>
      <c r="F27" s="435">
        <f t="shared" si="1"/>
        <v>0</v>
      </c>
      <c r="G27" s="432" t="s">
        <v>389</v>
      </c>
      <c r="H27" s="426" t="s">
        <v>54</v>
      </c>
      <c r="I27" s="60">
        <f t="shared" si="3"/>
        <v>0</v>
      </c>
      <c r="J27" s="78" t="s">
        <v>54</v>
      </c>
      <c r="K27" s="62">
        <f t="shared" si="2"/>
        <v>0</v>
      </c>
    </row>
    <row r="28" spans="2:12" s="31" customFormat="1" x14ac:dyDescent="0.2">
      <c r="B28" s="1215" t="str">
        <f>+'TCP-RLP'!B58</f>
        <v xml:space="preserve">         REPARACION Y MANTENIMIENTO</v>
      </c>
      <c r="C28" s="1216"/>
      <c r="D28" s="450">
        <f>+'TCP-RLP'!O58</f>
        <v>0</v>
      </c>
      <c r="E28" s="430" t="s">
        <v>27</v>
      </c>
      <c r="F28" s="435">
        <f t="shared" si="1"/>
        <v>0</v>
      </c>
      <c r="G28" s="432" t="s">
        <v>389</v>
      </c>
      <c r="H28" s="426" t="s">
        <v>54</v>
      </c>
      <c r="I28" s="60">
        <f t="shared" si="3"/>
        <v>0</v>
      </c>
      <c r="J28" s="78" t="s">
        <v>54</v>
      </c>
      <c r="K28" s="62">
        <f t="shared" si="2"/>
        <v>0</v>
      </c>
    </row>
    <row r="29" spans="2:12" s="31" customFormat="1" x14ac:dyDescent="0.2">
      <c r="B29" s="1215" t="str">
        <f>+'TCP-RLP'!B59</f>
        <v xml:space="preserve">         ALQUILER OFICINAS</v>
      </c>
      <c r="C29" s="1216"/>
      <c r="D29" s="450">
        <f>+'TCP-RLP'!O59</f>
        <v>0</v>
      </c>
      <c r="E29" s="430" t="s">
        <v>27</v>
      </c>
      <c r="F29" s="435">
        <f t="shared" si="1"/>
        <v>0</v>
      </c>
      <c r="G29" s="432" t="s">
        <v>389</v>
      </c>
      <c r="H29" s="426" t="s">
        <v>54</v>
      </c>
      <c r="I29" s="60">
        <f t="shared" si="3"/>
        <v>0</v>
      </c>
      <c r="J29" s="78" t="s">
        <v>54</v>
      </c>
      <c r="K29" s="62">
        <f t="shared" si="2"/>
        <v>0</v>
      </c>
    </row>
    <row r="30" spans="2:12" s="31" customFormat="1" x14ac:dyDescent="0.2">
      <c r="B30" s="1215" t="str">
        <f>+'TCP-RLP'!B60</f>
        <v xml:space="preserve">         ALQUILER OTROS</v>
      </c>
      <c r="C30" s="1216"/>
      <c r="D30" s="450">
        <f>+'TCP-RLP'!O60</f>
        <v>0</v>
      </c>
      <c r="E30" s="430" t="s">
        <v>27</v>
      </c>
      <c r="F30" s="435">
        <f t="shared" si="1"/>
        <v>0</v>
      </c>
      <c r="G30" s="432" t="s">
        <v>389</v>
      </c>
      <c r="H30" s="426" t="s">
        <v>54</v>
      </c>
      <c r="I30" s="60">
        <f t="shared" si="3"/>
        <v>0</v>
      </c>
      <c r="J30" s="78" t="s">
        <v>54</v>
      </c>
      <c r="K30" s="62">
        <f t="shared" si="2"/>
        <v>0</v>
      </c>
    </row>
    <row r="31" spans="2:12" s="31" customFormat="1" x14ac:dyDescent="0.2">
      <c r="B31" s="1215" t="str">
        <f>+'TCP-RLP'!B61</f>
        <v xml:space="preserve">         SEGUROS</v>
      </c>
      <c r="C31" s="1216"/>
      <c r="D31" s="450">
        <f>+'TCP-RLP'!O61</f>
        <v>96.927777777777777</v>
      </c>
      <c r="E31" s="430" t="s">
        <v>27</v>
      </c>
      <c r="F31" s="435">
        <f t="shared" si="1"/>
        <v>96.927777777777777</v>
      </c>
      <c r="G31" s="432" t="s">
        <v>389</v>
      </c>
      <c r="H31" s="426" t="s">
        <v>54</v>
      </c>
      <c r="I31" s="60">
        <f t="shared" si="3"/>
        <v>96.927777777777777</v>
      </c>
      <c r="J31" s="78" t="s">
        <v>54</v>
      </c>
      <c r="K31" s="62">
        <f t="shared" si="2"/>
        <v>96.927777777777777</v>
      </c>
    </row>
    <row r="32" spans="2:12" s="31" customFormat="1" x14ac:dyDescent="0.2">
      <c r="B32" s="1215" t="str">
        <f>+'TCP-RLP'!B62</f>
        <v xml:space="preserve">         IMPUESTO A LAS TRANSACCIONES</v>
      </c>
      <c r="C32" s="1216"/>
      <c r="D32" s="450">
        <f>+'TCP-RLP'!O62</f>
        <v>1892.5402681992337</v>
      </c>
      <c r="E32" s="430" t="s">
        <v>27</v>
      </c>
      <c r="F32" s="435">
        <f t="shared" si="1"/>
        <v>1892.5402681992337</v>
      </c>
      <c r="G32" s="432" t="s">
        <v>389</v>
      </c>
      <c r="H32" s="426" t="s">
        <v>54</v>
      </c>
      <c r="I32" s="60">
        <f t="shared" si="3"/>
        <v>1892.5402681992337</v>
      </c>
      <c r="J32" s="78" t="s">
        <v>54</v>
      </c>
      <c r="K32" s="62">
        <f t="shared" si="2"/>
        <v>1892.5402681992337</v>
      </c>
    </row>
    <row r="33" spans="2:11" s="31" customFormat="1" x14ac:dyDescent="0.2">
      <c r="B33" s="1215" t="str">
        <f>+'TCP-RLP'!B63</f>
        <v xml:space="preserve">         DEPRECIACION DE ACTIVOS FIJOS</v>
      </c>
      <c r="C33" s="1216"/>
      <c r="D33" s="450">
        <f>+'TCP-RLP'!O63</f>
        <v>0</v>
      </c>
      <c r="E33" s="430" t="s">
        <v>27</v>
      </c>
      <c r="F33" s="435">
        <f t="shared" si="1"/>
        <v>0</v>
      </c>
      <c r="G33" s="432" t="s">
        <v>389</v>
      </c>
      <c r="H33" s="426" t="s">
        <v>54</v>
      </c>
      <c r="I33" s="60">
        <f t="shared" si="3"/>
        <v>0</v>
      </c>
      <c r="J33" s="78" t="s">
        <v>54</v>
      </c>
      <c r="K33" s="62">
        <f t="shared" si="2"/>
        <v>0</v>
      </c>
    </row>
    <row r="34" spans="2:11" s="31" customFormat="1" x14ac:dyDescent="0.2">
      <c r="B34" s="1215" t="str">
        <f>+'TCP-RLP'!B64</f>
        <v xml:space="preserve">         AMORTIZACION OTROS ACTIVOS</v>
      </c>
      <c r="C34" s="1216"/>
      <c r="D34" s="450">
        <f>+'TCP-RLP'!O64</f>
        <v>0</v>
      </c>
      <c r="E34" s="430" t="s">
        <v>27</v>
      </c>
      <c r="F34" s="435">
        <f t="shared" si="1"/>
        <v>0</v>
      </c>
      <c r="G34" s="432" t="s">
        <v>389</v>
      </c>
      <c r="H34" s="426" t="s">
        <v>54</v>
      </c>
      <c r="I34" s="60">
        <f t="shared" si="3"/>
        <v>0</v>
      </c>
      <c r="J34" s="78" t="s">
        <v>54</v>
      </c>
      <c r="K34" s="62">
        <f t="shared" si="2"/>
        <v>0</v>
      </c>
    </row>
    <row r="35" spans="2:11" s="31" customFormat="1" x14ac:dyDescent="0.2">
      <c r="B35" s="1215" t="str">
        <f>+'TCP-RLP'!B65</f>
        <v xml:space="preserve">         SERVICIO DE FOTOCOPIAS</v>
      </c>
      <c r="C35" s="1216"/>
      <c r="D35" s="450">
        <f>+'TCP-RLP'!O65</f>
        <v>186.99111111111111</v>
      </c>
      <c r="E35" s="430" t="s">
        <v>27</v>
      </c>
      <c r="F35" s="435">
        <f t="shared" si="1"/>
        <v>186.99111111111111</v>
      </c>
      <c r="G35" s="432" t="s">
        <v>389</v>
      </c>
      <c r="H35" s="426" t="s">
        <v>54</v>
      </c>
      <c r="I35" s="60">
        <f t="shared" si="3"/>
        <v>186.99111111111111</v>
      </c>
      <c r="J35" s="78" t="s">
        <v>54</v>
      </c>
      <c r="K35" s="62">
        <f t="shared" si="2"/>
        <v>186.99111111111111</v>
      </c>
    </row>
    <row r="36" spans="2:11" s="31" customFormat="1" x14ac:dyDescent="0.2">
      <c r="B36" s="1215" t="str">
        <f>+'TCP-RLP'!B66</f>
        <v xml:space="preserve">         PASAJES Y VIATICOS</v>
      </c>
      <c r="C36" s="1216"/>
      <c r="D36" s="450">
        <f>+'TCP-RLP'!O66</f>
        <v>7406.0844444444438</v>
      </c>
      <c r="E36" s="430" t="s">
        <v>27</v>
      </c>
      <c r="F36" s="435">
        <f t="shared" si="1"/>
        <v>7406.0844444444438</v>
      </c>
      <c r="G36" s="432" t="s">
        <v>389</v>
      </c>
      <c r="H36" s="426" t="s">
        <v>54</v>
      </c>
      <c r="I36" s="60">
        <f t="shared" si="3"/>
        <v>7406.0844444444438</v>
      </c>
      <c r="J36" s="78" t="s">
        <v>54</v>
      </c>
      <c r="K36" s="62">
        <f t="shared" si="2"/>
        <v>7406.0844444444438</v>
      </c>
    </row>
    <row r="37" spans="2:11" s="31" customFormat="1" x14ac:dyDescent="0.2">
      <c r="B37" s="1215" t="str">
        <f>+'TCP-RLP'!B67</f>
        <v xml:space="preserve">         GASTOS BANCARIOS</v>
      </c>
      <c r="C37" s="1216"/>
      <c r="D37" s="450">
        <f>+'TCP-RLP'!O67</f>
        <v>107.39555555555555</v>
      </c>
      <c r="E37" s="430" t="s">
        <v>27</v>
      </c>
      <c r="F37" s="435">
        <f t="shared" si="1"/>
        <v>107.39555555555555</v>
      </c>
      <c r="G37" s="432" t="s">
        <v>389</v>
      </c>
      <c r="H37" s="426" t="s">
        <v>54</v>
      </c>
      <c r="I37" s="60">
        <f t="shared" si="3"/>
        <v>107.39555555555555</v>
      </c>
      <c r="J37" s="78" t="s">
        <v>54</v>
      </c>
      <c r="K37" s="62">
        <f t="shared" si="2"/>
        <v>107.39555555555555</v>
      </c>
    </row>
    <row r="38" spans="2:11" s="31" customFormat="1" x14ac:dyDescent="0.2">
      <c r="B38" s="1215" t="str">
        <f>+'TCP-RLP'!B68</f>
        <v xml:space="preserve">         GASTOS DE IMPRENTA</v>
      </c>
      <c r="C38" s="1216"/>
      <c r="D38" s="450">
        <f>+'TCP-RLP'!O68</f>
        <v>0</v>
      </c>
      <c r="E38" s="430" t="s">
        <v>27</v>
      </c>
      <c r="F38" s="435">
        <f t="shared" si="1"/>
        <v>0</v>
      </c>
      <c r="G38" s="432" t="s">
        <v>389</v>
      </c>
      <c r="H38" s="426" t="s">
        <v>54</v>
      </c>
      <c r="I38" s="60">
        <f t="shared" si="3"/>
        <v>0</v>
      </c>
      <c r="J38" s="78" t="s">
        <v>54</v>
      </c>
      <c r="K38" s="62">
        <f t="shared" si="2"/>
        <v>0</v>
      </c>
    </row>
    <row r="39" spans="2:11" s="31" customFormat="1" x14ac:dyDescent="0.2">
      <c r="B39" s="1215" t="str">
        <f>+'TCP-RLP'!B69</f>
        <v xml:space="preserve">         GASTOS MOVILIDAD</v>
      </c>
      <c r="C39" s="1216"/>
      <c r="D39" s="450">
        <f>+'TCP-RLP'!O69</f>
        <v>196.85666666666668</v>
      </c>
      <c r="E39" s="430" t="s">
        <v>27</v>
      </c>
      <c r="F39" s="435">
        <f t="shared" si="1"/>
        <v>196.85666666666668</v>
      </c>
      <c r="G39" s="432" t="s">
        <v>389</v>
      </c>
      <c r="H39" s="426" t="s">
        <v>54</v>
      </c>
      <c r="I39" s="60">
        <f t="shared" si="3"/>
        <v>196.85666666666668</v>
      </c>
      <c r="J39" s="78" t="s">
        <v>54</v>
      </c>
      <c r="K39" s="62">
        <f t="shared" si="2"/>
        <v>196.85666666666668</v>
      </c>
    </row>
    <row r="40" spans="2:11" s="31" customFormat="1" x14ac:dyDescent="0.2">
      <c r="B40" s="1215" t="str">
        <f>+'TCP-RLP'!B70</f>
        <v xml:space="preserve">         SERVICIOS Y MATERIAL DE LIMPIEZA</v>
      </c>
      <c r="C40" s="1216"/>
      <c r="D40" s="450">
        <f>+'TCP-RLP'!O70</f>
        <v>391.89555555555563</v>
      </c>
      <c r="E40" s="430" t="s">
        <v>27</v>
      </c>
      <c r="F40" s="435">
        <f t="shared" si="1"/>
        <v>391.89555555555563</v>
      </c>
      <c r="G40" s="432" t="s">
        <v>389</v>
      </c>
      <c r="H40" s="426" t="s">
        <v>54</v>
      </c>
      <c r="I40" s="60">
        <f t="shared" si="3"/>
        <v>391.89555555555563</v>
      </c>
      <c r="J40" s="78" t="s">
        <v>54</v>
      </c>
      <c r="K40" s="62">
        <f t="shared" si="2"/>
        <v>391.89555555555563</v>
      </c>
    </row>
    <row r="41" spans="2:11" s="31" customFormat="1" x14ac:dyDescent="0.2">
      <c r="B41" s="1215" t="str">
        <f>+'TCP-RLP'!B71</f>
        <v xml:space="preserve">         GASTOS DE REPRESENTACION</v>
      </c>
      <c r="C41" s="1216"/>
      <c r="D41" s="450">
        <f>+'TCP-RLP'!O71</f>
        <v>0</v>
      </c>
      <c r="E41" s="430" t="s">
        <v>27</v>
      </c>
      <c r="F41" s="435">
        <f t="shared" si="1"/>
        <v>0</v>
      </c>
      <c r="G41" s="432" t="s">
        <v>389</v>
      </c>
      <c r="H41" s="426" t="s">
        <v>54</v>
      </c>
      <c r="I41" s="60">
        <f t="shared" si="3"/>
        <v>0</v>
      </c>
      <c r="J41" s="78" t="s">
        <v>54</v>
      </c>
      <c r="K41" s="62">
        <f t="shared" si="2"/>
        <v>0</v>
      </c>
    </row>
    <row r="42" spans="2:11" s="31" customFormat="1" x14ac:dyDescent="0.2">
      <c r="B42" s="1215" t="str">
        <f>+'TCP-RLP'!B72</f>
        <v xml:space="preserve">         SUSCRIPCIONES Y CUOTAS</v>
      </c>
      <c r="C42" s="1216"/>
      <c r="D42" s="450">
        <f>+'TCP-RLP'!O72</f>
        <v>168.28333333333336</v>
      </c>
      <c r="E42" s="430" t="s">
        <v>27</v>
      </c>
      <c r="F42" s="435">
        <f t="shared" si="1"/>
        <v>168.28333333333336</v>
      </c>
      <c r="G42" s="432" t="s">
        <v>389</v>
      </c>
      <c r="H42" s="426" t="s">
        <v>54</v>
      </c>
      <c r="I42" s="60">
        <f t="shared" si="3"/>
        <v>168.28333333333336</v>
      </c>
      <c r="J42" s="78" t="s">
        <v>54</v>
      </c>
      <c r="K42" s="62">
        <f t="shared" si="2"/>
        <v>168.28333333333336</v>
      </c>
    </row>
    <row r="43" spans="2:11" s="31" customFormat="1" x14ac:dyDescent="0.2">
      <c r="B43" s="1215" t="str">
        <f>+'TCP-RLP'!B73</f>
        <v xml:space="preserve">         INTERESES Y MULTAS</v>
      </c>
      <c r="C43" s="1216"/>
      <c r="D43" s="450">
        <f>+'TCP-RLP'!O73</f>
        <v>0</v>
      </c>
      <c r="E43" s="430" t="s">
        <v>27</v>
      </c>
      <c r="F43" s="435">
        <f t="shared" si="1"/>
        <v>0</v>
      </c>
      <c r="G43" s="432" t="s">
        <v>389</v>
      </c>
      <c r="H43" s="426" t="s">
        <v>54</v>
      </c>
      <c r="I43" s="60">
        <f t="shared" si="3"/>
        <v>0</v>
      </c>
      <c r="J43" s="78" t="s">
        <v>54</v>
      </c>
      <c r="K43" s="62">
        <f t="shared" si="2"/>
        <v>0</v>
      </c>
    </row>
    <row r="44" spans="2:11" s="31" customFormat="1" x14ac:dyDescent="0.2">
      <c r="B44" s="1215" t="str">
        <f>+'TCP-RLP'!B74</f>
        <v xml:space="preserve">         PATENTES MUNICIPALES</v>
      </c>
      <c r="C44" s="1216"/>
      <c r="D44" s="450">
        <f>+'TCP-RLP'!O74</f>
        <v>0</v>
      </c>
      <c r="E44" s="430" t="s">
        <v>27</v>
      </c>
      <c r="F44" s="435">
        <f t="shared" si="1"/>
        <v>0</v>
      </c>
      <c r="G44" s="432" t="s">
        <v>389</v>
      </c>
      <c r="H44" s="426" t="s">
        <v>54</v>
      </c>
      <c r="I44" s="60">
        <f t="shared" si="3"/>
        <v>0</v>
      </c>
      <c r="J44" s="78" t="s">
        <v>54</v>
      </c>
      <c r="K44" s="62">
        <f t="shared" si="2"/>
        <v>0</v>
      </c>
    </row>
    <row r="45" spans="2:11" s="31" customFormat="1" x14ac:dyDescent="0.2">
      <c r="B45" s="1215" t="str">
        <f>+'TCP-RLP'!B75</f>
        <v xml:space="preserve">         CAPACITACION PERSONAL</v>
      </c>
      <c r="C45" s="1216"/>
      <c r="D45" s="450">
        <f>+'TCP-RLP'!O75</f>
        <v>0</v>
      </c>
      <c r="E45" s="430" t="s">
        <v>27</v>
      </c>
      <c r="F45" s="435">
        <f t="shared" si="1"/>
        <v>0</v>
      </c>
      <c r="G45" s="432" t="s">
        <v>389</v>
      </c>
      <c r="H45" s="426" t="s">
        <v>54</v>
      </c>
      <c r="I45" s="60">
        <f t="shared" si="3"/>
        <v>0</v>
      </c>
      <c r="J45" s="78" t="s">
        <v>54</v>
      </c>
      <c r="K45" s="62">
        <f t="shared" si="2"/>
        <v>0</v>
      </c>
    </row>
    <row r="46" spans="2:11" s="31" customFormat="1" x14ac:dyDescent="0.2">
      <c r="B46" s="1215" t="str">
        <f>+'TCP-RLP'!B76</f>
        <v xml:space="preserve">         MEJORAS Y ARREGLOS A LAS INSTALACIONES</v>
      </c>
      <c r="C46" s="1216"/>
      <c r="D46" s="450">
        <f>+'TCP-RLP'!O76</f>
        <v>0</v>
      </c>
      <c r="E46" s="430" t="s">
        <v>27</v>
      </c>
      <c r="F46" s="435">
        <f t="shared" si="1"/>
        <v>0</v>
      </c>
      <c r="G46" s="432" t="s">
        <v>389</v>
      </c>
      <c r="H46" s="426" t="s">
        <v>54</v>
      </c>
      <c r="I46" s="60">
        <f t="shared" si="3"/>
        <v>0</v>
      </c>
      <c r="J46" s="78" t="s">
        <v>54</v>
      </c>
      <c r="K46" s="62">
        <f t="shared" si="2"/>
        <v>0</v>
      </c>
    </row>
    <row r="47" spans="2:11" s="31" customFormat="1" x14ac:dyDescent="0.2">
      <c r="B47" s="1215" t="str">
        <f>+'TCP-RLP'!B77</f>
        <v xml:space="preserve">         SERVICIOS PUBLICITARIOS</v>
      </c>
      <c r="C47" s="1216"/>
      <c r="D47" s="450">
        <f>+'TCP-RLP'!O77</f>
        <v>0</v>
      </c>
      <c r="E47" s="430" t="s">
        <v>27</v>
      </c>
      <c r="F47" s="435">
        <f t="shared" si="1"/>
        <v>0</v>
      </c>
      <c r="G47" s="432" t="s">
        <v>389</v>
      </c>
      <c r="H47" s="426" t="s">
        <v>54</v>
      </c>
      <c r="I47" s="60">
        <f t="shared" si="3"/>
        <v>0</v>
      </c>
      <c r="J47" s="78" t="s">
        <v>54</v>
      </c>
      <c r="K47" s="62">
        <f t="shared" si="2"/>
        <v>0</v>
      </c>
    </row>
    <row r="48" spans="2:11" s="31" customFormat="1" x14ac:dyDescent="0.2">
      <c r="B48" s="1215" t="str">
        <f>+'TCP-RLP'!B78</f>
        <v xml:space="preserve">         IMPUESTO A LAS TRANSCCIONES FINANCIERAS</v>
      </c>
      <c r="C48" s="1216"/>
      <c r="D48" s="450">
        <f>+'TCP-RLP'!O78</f>
        <v>0</v>
      </c>
      <c r="E48" s="430" t="s">
        <v>27</v>
      </c>
      <c r="F48" s="435">
        <f t="shared" si="1"/>
        <v>0</v>
      </c>
      <c r="G48" s="432" t="s">
        <v>389</v>
      </c>
      <c r="H48" s="426" t="s">
        <v>54</v>
      </c>
      <c r="I48" s="60">
        <f t="shared" si="3"/>
        <v>0</v>
      </c>
      <c r="J48" s="78" t="s">
        <v>54</v>
      </c>
      <c r="K48" s="62">
        <f t="shared" si="2"/>
        <v>0</v>
      </c>
    </row>
    <row r="49" spans="2:11" s="31" customFormat="1" x14ac:dyDescent="0.2">
      <c r="B49" s="1215" t="str">
        <f>+'TCP-RLP'!B79</f>
        <v xml:space="preserve">         PERDIDA EN INVENTARIOS</v>
      </c>
      <c r="C49" s="1216"/>
      <c r="D49" s="450">
        <f>+'TCP-RLP'!O79</f>
        <v>0</v>
      </c>
      <c r="E49" s="430" t="s">
        <v>27</v>
      </c>
      <c r="F49" s="435">
        <f t="shared" si="1"/>
        <v>0</v>
      </c>
      <c r="G49" s="432" t="s">
        <v>389</v>
      </c>
      <c r="H49" s="426" t="s">
        <v>54</v>
      </c>
      <c r="I49" s="60">
        <f t="shared" si="3"/>
        <v>0</v>
      </c>
      <c r="J49" s="78" t="s">
        <v>54</v>
      </c>
      <c r="K49" s="62">
        <f t="shared" si="2"/>
        <v>0</v>
      </c>
    </row>
    <row r="50" spans="2:11" s="31" customFormat="1" x14ac:dyDescent="0.2">
      <c r="B50" s="1215" t="str">
        <f>+'TCP-RLP'!B80</f>
        <v xml:space="preserve">         AUSPICIOS Y EVENTOS</v>
      </c>
      <c r="C50" s="1216"/>
      <c r="D50" s="450">
        <f>+'TCP-RLP'!O80</f>
        <v>0</v>
      </c>
      <c r="E50" s="430" t="s">
        <v>27</v>
      </c>
      <c r="F50" s="435">
        <f t="shared" si="1"/>
        <v>0</v>
      </c>
      <c r="G50" s="432" t="s">
        <v>389</v>
      </c>
      <c r="H50" s="426" t="s">
        <v>54</v>
      </c>
      <c r="I50" s="60">
        <f t="shared" si="3"/>
        <v>0</v>
      </c>
      <c r="J50" s="78" t="s">
        <v>54</v>
      </c>
      <c r="K50" s="62">
        <f t="shared" si="2"/>
        <v>0</v>
      </c>
    </row>
    <row r="51" spans="2:11" s="31" customFormat="1" ht="13.5" thickBot="1" x14ac:dyDescent="0.25">
      <c r="B51" s="1215" t="str">
        <f>+'TCP-RLP'!B81</f>
        <v xml:space="preserve">         GASTOS VARIOS</v>
      </c>
      <c r="C51" s="1216"/>
      <c r="D51" s="450">
        <f>+'TCP-RLP'!O81</f>
        <v>30.93333333333333</v>
      </c>
      <c r="E51" s="430" t="s">
        <v>27</v>
      </c>
      <c r="F51" s="435">
        <f t="shared" si="1"/>
        <v>30.93333333333333</v>
      </c>
      <c r="G51" s="432" t="s">
        <v>389</v>
      </c>
      <c r="H51" s="426" t="s">
        <v>54</v>
      </c>
      <c r="I51" s="60">
        <f t="shared" si="3"/>
        <v>30.93333333333333</v>
      </c>
      <c r="J51" s="78" t="s">
        <v>54</v>
      </c>
      <c r="K51" s="62">
        <f t="shared" si="2"/>
        <v>30.93333333333333</v>
      </c>
    </row>
    <row r="52" spans="2:11" ht="13.5" thickBot="1" x14ac:dyDescent="0.25">
      <c r="B52" s="996" t="s">
        <v>76</v>
      </c>
      <c r="C52" s="997"/>
      <c r="D52" s="391">
        <f>+D21+D18</f>
        <v>32299.021379310347</v>
      </c>
      <c r="E52" s="475"/>
      <c r="F52" s="391">
        <f>+F18+F21</f>
        <v>32299.021379310347</v>
      </c>
      <c r="G52" s="392"/>
      <c r="H52" s="467"/>
      <c r="I52" s="467">
        <f>+I18+I21</f>
        <v>32299.021379310347</v>
      </c>
      <c r="J52" s="467"/>
      <c r="K52" s="775">
        <f>+K18+K21</f>
        <v>32299.021379310347</v>
      </c>
    </row>
    <row r="53" spans="2:11" x14ac:dyDescent="0.2">
      <c r="B53" s="1227" t="str">
        <f>+'TCP-RLP'!B82</f>
        <v xml:space="preserve">         GASTOS SA</v>
      </c>
      <c r="C53" s="1228"/>
      <c r="D53" s="778">
        <f>+'TCP-RLP'!O82</f>
        <v>3691.0197777777776</v>
      </c>
      <c r="E53" s="779" t="s">
        <v>27</v>
      </c>
      <c r="F53" s="778">
        <f>+D53</f>
        <v>3691.0197777777776</v>
      </c>
      <c r="G53" s="780" t="s">
        <v>389</v>
      </c>
      <c r="H53" s="781" t="s">
        <v>54</v>
      </c>
      <c r="I53" s="782">
        <f>IF($H53="S",F53,0)</f>
        <v>3691.0197777777776</v>
      </c>
      <c r="J53" s="781" t="s">
        <v>54</v>
      </c>
      <c r="K53" s="783">
        <f>IF($J53="S",F53,0)</f>
        <v>3691.0197777777776</v>
      </c>
    </row>
    <row r="54" spans="2:11" ht="13.5" thickBot="1" x14ac:dyDescent="0.25">
      <c r="B54" s="1329" t="str">
        <f>+'TCP-RLP'!B83</f>
        <v xml:space="preserve">         GASTOS DN</v>
      </c>
      <c r="C54" s="1330"/>
      <c r="D54" s="790">
        <f>+'TCP-RLP'!O83</f>
        <v>5338.2238888888896</v>
      </c>
      <c r="E54" s="791" t="s">
        <v>78</v>
      </c>
      <c r="F54" s="792">
        <f>D54</f>
        <v>5338.2238888888896</v>
      </c>
      <c r="G54" s="791" t="s">
        <v>78</v>
      </c>
      <c r="H54" s="792"/>
      <c r="I54" s="792">
        <f>+F54</f>
        <v>5338.2238888888896</v>
      </c>
      <c r="J54" s="792"/>
      <c r="K54" s="793">
        <f>+F54</f>
        <v>5338.2238888888896</v>
      </c>
    </row>
    <row r="55" spans="2:11" ht="13.5" thickBot="1" x14ac:dyDescent="0.25">
      <c r="B55" s="1185" t="s">
        <v>80</v>
      </c>
      <c r="C55" s="1186"/>
      <c r="D55" s="787">
        <f>SUM(D52:D54)</f>
        <v>41328.265045977016</v>
      </c>
      <c r="E55" s="788"/>
      <c r="F55" s="789"/>
      <c r="G55" s="788"/>
      <c r="H55" s="414"/>
      <c r="I55" s="457">
        <f>SUM(I52:I54)</f>
        <v>41328.265045977016</v>
      </c>
      <c r="J55" s="789"/>
      <c r="K55" s="437">
        <f>SUM(K52:K54)</f>
        <v>41328.265045977016</v>
      </c>
    </row>
    <row r="56" spans="2:11" ht="13.5" thickBot="1" x14ac:dyDescent="0.25">
      <c r="B56" s="1004" t="s">
        <v>81</v>
      </c>
      <c r="C56" s="1005"/>
      <c r="D56" s="87"/>
      <c r="E56" s="88"/>
      <c r="F56" s="87"/>
      <c r="G56" s="88"/>
      <c r="H56" s="87"/>
      <c r="I56" s="99"/>
      <c r="J56" s="87"/>
      <c r="K56" s="88"/>
    </row>
    <row r="57" spans="2:11" x14ac:dyDescent="0.2">
      <c r="B57" s="1338"/>
      <c r="C57" s="1339"/>
      <c r="D57" s="456"/>
      <c r="E57" s="398"/>
      <c r="F57" s="397"/>
      <c r="G57" s="398"/>
      <c r="H57" s="59" t="s">
        <v>54</v>
      </c>
      <c r="I57" s="60">
        <f>IF($H57="S",F57,0)</f>
        <v>0</v>
      </c>
      <c r="J57" s="59" t="s">
        <v>54</v>
      </c>
      <c r="K57" s="62">
        <f>IF($J57="S",F57,0)</f>
        <v>0</v>
      </c>
    </row>
    <row r="58" spans="2:11" x14ac:dyDescent="0.2">
      <c r="B58" s="1113"/>
      <c r="C58" s="1340"/>
      <c r="D58" s="107"/>
      <c r="E58" s="91"/>
      <c r="F58" s="108"/>
      <c r="G58" s="91"/>
      <c r="H58" s="78" t="s">
        <v>54</v>
      </c>
      <c r="I58" s="81">
        <f t="shared" ref="I58:I68" si="4">IF($H58="S",F58,0)</f>
        <v>0</v>
      </c>
      <c r="J58" s="78" t="s">
        <v>54</v>
      </c>
      <c r="K58" s="82">
        <f t="shared" ref="K58:K68" si="5">IF($J58="S",F58,0)</f>
        <v>0</v>
      </c>
    </row>
    <row r="59" spans="2:11" x14ac:dyDescent="0.2">
      <c r="B59" s="1113"/>
      <c r="C59" s="1340"/>
      <c r="D59" s="107"/>
      <c r="E59" s="91"/>
      <c r="F59" s="108"/>
      <c r="G59" s="91"/>
      <c r="H59" s="78" t="s">
        <v>54</v>
      </c>
      <c r="I59" s="81">
        <f t="shared" si="4"/>
        <v>0</v>
      </c>
      <c r="J59" s="78" t="s">
        <v>54</v>
      </c>
      <c r="K59" s="82">
        <f t="shared" si="5"/>
        <v>0</v>
      </c>
    </row>
    <row r="60" spans="2:11" x14ac:dyDescent="0.2">
      <c r="B60" s="1113"/>
      <c r="C60" s="1340"/>
      <c r="D60" s="107"/>
      <c r="E60" s="91"/>
      <c r="F60" s="108"/>
      <c r="G60" s="91"/>
      <c r="H60" s="78" t="s">
        <v>54</v>
      </c>
      <c r="I60" s="81">
        <f t="shared" si="4"/>
        <v>0</v>
      </c>
      <c r="J60" s="78" t="s">
        <v>54</v>
      </c>
      <c r="K60" s="82">
        <f t="shared" si="5"/>
        <v>0</v>
      </c>
    </row>
    <row r="61" spans="2:11" x14ac:dyDescent="0.2">
      <c r="B61" s="1113"/>
      <c r="C61" s="1340"/>
      <c r="D61" s="107"/>
      <c r="E61" s="91"/>
      <c r="F61" s="108"/>
      <c r="G61" s="91"/>
      <c r="H61" s="78" t="s">
        <v>54</v>
      </c>
      <c r="I61" s="81">
        <f t="shared" si="4"/>
        <v>0</v>
      </c>
      <c r="J61" s="78" t="s">
        <v>54</v>
      </c>
      <c r="K61" s="82">
        <f t="shared" si="5"/>
        <v>0</v>
      </c>
    </row>
    <row r="62" spans="2:11" x14ac:dyDescent="0.2">
      <c r="B62" s="1113"/>
      <c r="C62" s="1341"/>
      <c r="D62" s="107"/>
      <c r="E62" s="91"/>
      <c r="F62" s="108"/>
      <c r="G62" s="91"/>
      <c r="H62" s="78" t="s">
        <v>54</v>
      </c>
      <c r="I62" s="81">
        <f t="shared" si="4"/>
        <v>0</v>
      </c>
      <c r="J62" s="78" t="s">
        <v>54</v>
      </c>
      <c r="K62" s="82">
        <f t="shared" si="5"/>
        <v>0</v>
      </c>
    </row>
    <row r="63" spans="2:11" x14ac:dyDescent="0.2">
      <c r="B63" s="1113"/>
      <c r="C63" s="1341"/>
      <c r="D63" s="107"/>
      <c r="E63" s="91"/>
      <c r="F63" s="108"/>
      <c r="G63" s="91"/>
      <c r="H63" s="78" t="s">
        <v>54</v>
      </c>
      <c r="I63" s="81">
        <f t="shared" si="4"/>
        <v>0</v>
      </c>
      <c r="J63" s="78" t="s">
        <v>54</v>
      </c>
      <c r="K63" s="82">
        <f t="shared" si="5"/>
        <v>0</v>
      </c>
    </row>
    <row r="64" spans="2:11" x14ac:dyDescent="0.2">
      <c r="B64" s="1113"/>
      <c r="C64" s="1341"/>
      <c r="D64" s="107"/>
      <c r="E64" s="91"/>
      <c r="F64" s="108"/>
      <c r="G64" s="91"/>
      <c r="H64" s="78" t="s">
        <v>54</v>
      </c>
      <c r="I64" s="81">
        <f t="shared" si="4"/>
        <v>0</v>
      </c>
      <c r="J64" s="78" t="s">
        <v>54</v>
      </c>
      <c r="K64" s="82">
        <f t="shared" si="5"/>
        <v>0</v>
      </c>
    </row>
    <row r="65" spans="1:16" x14ac:dyDescent="0.2">
      <c r="B65" s="1072"/>
      <c r="C65" s="1342"/>
      <c r="D65" s="107"/>
      <c r="E65" s="91"/>
      <c r="F65" s="111"/>
      <c r="G65" s="91"/>
      <c r="H65" s="78" t="s">
        <v>54</v>
      </c>
      <c r="I65" s="81">
        <f t="shared" si="4"/>
        <v>0</v>
      </c>
      <c r="J65" s="78" t="s">
        <v>54</v>
      </c>
      <c r="K65" s="82">
        <f t="shared" si="5"/>
        <v>0</v>
      </c>
    </row>
    <row r="66" spans="1:16" x14ac:dyDescent="0.2">
      <c r="B66" s="1113"/>
      <c r="C66" s="1341"/>
      <c r="D66" s="107"/>
      <c r="E66" s="91"/>
      <c r="F66" s="112"/>
      <c r="G66" s="91"/>
      <c r="H66" s="78" t="s">
        <v>54</v>
      </c>
      <c r="I66" s="81">
        <f t="shared" si="4"/>
        <v>0</v>
      </c>
      <c r="J66" s="78" t="s">
        <v>54</v>
      </c>
      <c r="K66" s="82">
        <f t="shared" si="5"/>
        <v>0</v>
      </c>
    </row>
    <row r="67" spans="1:16" x14ac:dyDescent="0.2">
      <c r="B67" s="1110"/>
      <c r="C67" s="1337"/>
      <c r="D67" s="107"/>
      <c r="E67" s="91"/>
      <c r="F67" s="108"/>
      <c r="G67" s="91"/>
      <c r="H67" s="78" t="s">
        <v>54</v>
      </c>
      <c r="I67" s="81">
        <f t="shared" si="4"/>
        <v>0</v>
      </c>
      <c r="J67" s="78" t="s">
        <v>54</v>
      </c>
      <c r="K67" s="82">
        <f t="shared" si="5"/>
        <v>0</v>
      </c>
      <c r="P67" s="1">
        <f>100/5</f>
        <v>20</v>
      </c>
    </row>
    <row r="68" spans="1:16" x14ac:dyDescent="0.2">
      <c r="B68" s="1110"/>
      <c r="C68" s="1337"/>
      <c r="D68" s="107"/>
      <c r="E68" s="113"/>
      <c r="F68" s="112"/>
      <c r="G68" s="113"/>
      <c r="H68" s="78" t="s">
        <v>54</v>
      </c>
      <c r="I68" s="81">
        <f t="shared" si="4"/>
        <v>0</v>
      </c>
      <c r="J68" s="78" t="s">
        <v>54</v>
      </c>
      <c r="K68" s="82">
        <f t="shared" si="5"/>
        <v>0</v>
      </c>
    </row>
    <row r="69" spans="1:16" s="27" customFormat="1" x14ac:dyDescent="0.2">
      <c r="B69" s="1192" t="s">
        <v>96</v>
      </c>
      <c r="C69" s="1193"/>
      <c r="D69" s="114"/>
      <c r="E69" s="115"/>
      <c r="F69" s="116"/>
      <c r="G69" s="115"/>
      <c r="H69" s="118"/>
      <c r="I69" s="117">
        <f>SUM(I57:I68)</f>
        <v>0</v>
      </c>
      <c r="J69" s="114"/>
      <c r="K69" s="453">
        <f>SUM(K57:K68)</f>
        <v>0</v>
      </c>
    </row>
    <row r="70" spans="1:16" s="27" customFormat="1" ht="13.5" thickBot="1" x14ac:dyDescent="0.25">
      <c r="B70" s="992" t="s">
        <v>45</v>
      </c>
      <c r="C70" s="1194"/>
      <c r="D70" s="454"/>
      <c r="E70" s="454"/>
      <c r="F70" s="454"/>
      <c r="G70" s="454"/>
      <c r="H70" s="454"/>
      <c r="I70" s="454">
        <f>+I69+I55</f>
        <v>41328.265045977016</v>
      </c>
      <c r="J70" s="454"/>
      <c r="K70" s="455">
        <f>+K69+K55</f>
        <v>41328.265045977016</v>
      </c>
    </row>
    <row r="71" spans="1:16" s="37" customFormat="1" ht="13.5" thickBot="1" x14ac:dyDescent="0.25">
      <c r="A71" s="441"/>
      <c r="B71" s="405"/>
      <c r="C71" s="405"/>
      <c r="D71" s="83"/>
      <c r="E71" s="83"/>
      <c r="G71" s="83"/>
      <c r="H71" s="134"/>
      <c r="I71" s="135"/>
      <c r="J71" s="136"/>
    </row>
    <row r="72" spans="1:16" s="37" customFormat="1" ht="34.5" thickBot="1" x14ac:dyDescent="0.25">
      <c r="A72" s="441"/>
      <c r="B72" s="405"/>
      <c r="C72" s="405"/>
      <c r="E72" s="364" t="s">
        <v>382</v>
      </c>
      <c r="F72" s="364" t="s">
        <v>383</v>
      </c>
      <c r="G72" s="364" t="s">
        <v>47</v>
      </c>
      <c r="H72" s="364" t="s">
        <v>384</v>
      </c>
    </row>
    <row r="73" spans="1:16" s="37" customFormat="1" ht="13.5" thickBot="1" x14ac:dyDescent="0.25">
      <c r="A73" s="441"/>
      <c r="B73" s="1004" t="s">
        <v>80</v>
      </c>
      <c r="C73" s="1005"/>
      <c r="D73" s="24"/>
      <c r="E73" s="24">
        <f>+(I55-$F$20)/$F$11+$F$20</f>
        <v>15117.20316347382</v>
      </c>
      <c r="G73" s="24">
        <f>+(K55-$F$20)/$F$11+$F$20</f>
        <v>15117.20316347382</v>
      </c>
      <c r="H73" s="24"/>
    </row>
    <row r="74" spans="1:16" s="144" customFormat="1" ht="13.5" thickBot="1" x14ac:dyDescent="0.25">
      <c r="A74" s="442"/>
      <c r="B74" s="996" t="s">
        <v>81</v>
      </c>
      <c r="C74" s="997"/>
      <c r="D74" s="141"/>
      <c r="E74" s="141">
        <f>+I69</f>
        <v>0</v>
      </c>
      <c r="F74" s="141"/>
      <c r="G74" s="141">
        <f>+K69</f>
        <v>0</v>
      </c>
      <c r="H74" s="141"/>
    </row>
    <row r="75" spans="1:16" ht="13.5" thickBot="1" x14ac:dyDescent="0.25">
      <c r="B75" s="998" t="s">
        <v>45</v>
      </c>
      <c r="C75" s="999"/>
      <c r="D75" s="145"/>
      <c r="E75" s="145">
        <f>SUM(E73:E74)</f>
        <v>15117.20316347382</v>
      </c>
      <c r="F75" s="145">
        <f>+E77*E79</f>
        <v>15117.20316347382</v>
      </c>
      <c r="G75" s="145">
        <f>SUM(G73:G74)</f>
        <v>15117.20316347382</v>
      </c>
      <c r="H75" s="145"/>
    </row>
    <row r="76" spans="1:16" x14ac:dyDescent="0.2">
      <c r="B76" s="1000" t="s">
        <v>103</v>
      </c>
      <c r="C76" s="1001"/>
      <c r="D76" s="147">
        <v>0</v>
      </c>
      <c r="E76" s="148"/>
      <c r="F76" s="148"/>
      <c r="G76" s="148">
        <f>+G75/(1-$D$76)</f>
        <v>15117.20316347382</v>
      </c>
      <c r="H76" s="148"/>
    </row>
    <row r="77" spans="1:16" x14ac:dyDescent="0.2">
      <c r="B77" s="1219" t="s">
        <v>106</v>
      </c>
      <c r="C77" s="407" t="s">
        <v>107</v>
      </c>
      <c r="D77" s="151" t="s">
        <v>108</v>
      </c>
      <c r="E77" s="152">
        <v>580</v>
      </c>
      <c r="F77" s="153">
        <v>500</v>
      </c>
      <c r="G77" s="158"/>
      <c r="H77" s="153"/>
    </row>
    <row r="78" spans="1:16" x14ac:dyDescent="0.2">
      <c r="B78" s="1220"/>
      <c r="C78" s="407" t="s">
        <v>109</v>
      </c>
      <c r="D78" s="151" t="s">
        <v>108</v>
      </c>
      <c r="E78" s="155">
        <v>600</v>
      </c>
      <c r="F78" s="154"/>
      <c r="G78" s="15"/>
      <c r="H78" s="154"/>
    </row>
    <row r="79" spans="1:16" x14ac:dyDescent="0.2">
      <c r="B79" s="1189" t="s">
        <v>110</v>
      </c>
      <c r="C79" s="1190"/>
      <c r="D79" s="156" t="s">
        <v>111</v>
      </c>
      <c r="E79" s="359">
        <f>+E75/E77</f>
        <v>26.06414338529969</v>
      </c>
      <c r="F79" s="357">
        <f>E75/F77</f>
        <v>30.234406326947639</v>
      </c>
      <c r="G79" s="154"/>
      <c r="H79" s="158"/>
    </row>
    <row r="80" spans="1:16" x14ac:dyDescent="0.2">
      <c r="D80" s="156" t="s">
        <v>112</v>
      </c>
      <c r="E80" s="359">
        <f>+E75/E78</f>
        <v>25.195338605789701</v>
      </c>
      <c r="F80" s="154">
        <f>+F79*E77</f>
        <v>17535.955669629631</v>
      </c>
      <c r="H80" s="15"/>
    </row>
    <row r="81" spans="4:8" x14ac:dyDescent="0.2">
      <c r="D81" s="1" t="s">
        <v>380</v>
      </c>
      <c r="E81" s="356">
        <f>+E79*E77</f>
        <v>15117.20316347382</v>
      </c>
      <c r="F81" s="356">
        <f>+F79*F77</f>
        <v>15117.20316347382</v>
      </c>
      <c r="G81" s="356"/>
      <c r="H81" s="360"/>
    </row>
    <row r="82" spans="4:8" ht="13.5" thickBot="1" x14ac:dyDescent="0.25">
      <c r="D82" s="1" t="s">
        <v>381</v>
      </c>
      <c r="E82" s="356">
        <f>+E80*E78</f>
        <v>15117.20316347382</v>
      </c>
      <c r="F82" s="369">
        <f>+F80-F81</f>
        <v>2418.7525061558117</v>
      </c>
    </row>
    <row r="83" spans="4:8" ht="13.5" thickTop="1" x14ac:dyDescent="0.2">
      <c r="E83" s="356"/>
      <c r="F83" s="356">
        <f>+F81/F80</f>
        <v>0.86206896551724133</v>
      </c>
      <c r="H83" s="356"/>
    </row>
    <row r="84" spans="4:8" x14ac:dyDescent="0.2">
      <c r="E84" s="356"/>
      <c r="F84" s="360">
        <f>+F82/F80</f>
        <v>0.13793103448275865</v>
      </c>
      <c r="H84" s="356"/>
    </row>
    <row r="85" spans="4:8" x14ac:dyDescent="0.2">
      <c r="D85" s="356"/>
    </row>
    <row r="88" spans="4:8" x14ac:dyDescent="0.2">
      <c r="D88" s="368"/>
    </row>
  </sheetData>
  <sheetProtection selectLockedCells="1"/>
  <mergeCells count="71">
    <mergeCell ref="B76:C76"/>
    <mergeCell ref="B77:B78"/>
    <mergeCell ref="B79:C79"/>
    <mergeCell ref="B69:C69"/>
    <mergeCell ref="B70:C70"/>
    <mergeCell ref="B73:C73"/>
    <mergeCell ref="B74:C74"/>
    <mergeCell ref="B75:C75"/>
    <mergeCell ref="B54:C54"/>
    <mergeCell ref="B55:C55"/>
    <mergeCell ref="B56:C56"/>
    <mergeCell ref="B68:C68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3:C53"/>
    <mergeCell ref="B52:C52"/>
    <mergeCell ref="B51:C51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35:C35"/>
    <mergeCell ref="B36:C36"/>
    <mergeCell ref="B37:C37"/>
    <mergeCell ref="B38:C38"/>
    <mergeCell ref="B39:C39"/>
    <mergeCell ref="B18:C18"/>
    <mergeCell ref="B19:C19"/>
    <mergeCell ref="B20:C20"/>
    <mergeCell ref="B30:C30"/>
    <mergeCell ref="B31:C31"/>
    <mergeCell ref="B28:C28"/>
    <mergeCell ref="B29:C29"/>
    <mergeCell ref="B32:C32"/>
    <mergeCell ref="B33:C33"/>
    <mergeCell ref="B34:C34"/>
    <mergeCell ref="B27:C27"/>
    <mergeCell ref="B21:C21"/>
    <mergeCell ref="B26:C26"/>
    <mergeCell ref="B22:C22"/>
    <mergeCell ref="B23:C23"/>
    <mergeCell ref="B24:C24"/>
    <mergeCell ref="B25:C25"/>
    <mergeCell ref="J15:K15"/>
    <mergeCell ref="B17:C17"/>
    <mergeCell ref="B1:K2"/>
    <mergeCell ref="B3:K4"/>
    <mergeCell ref="B5:K6"/>
    <mergeCell ref="B9:B10"/>
    <mergeCell ref="B13:K13"/>
    <mergeCell ref="H15:I15"/>
    <mergeCell ref="B15:C16"/>
    <mergeCell ref="D15:D16"/>
    <mergeCell ref="E15:E16"/>
    <mergeCell ref="G15:G16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C00"/>
  </sheetPr>
  <dimension ref="A1:O97"/>
  <sheetViews>
    <sheetView topLeftCell="A55" workbookViewId="0">
      <selection activeCell="N79" sqref="C1:N1048576"/>
    </sheetView>
  </sheetViews>
  <sheetFormatPr baseColWidth="10" defaultColWidth="10" defaultRowHeight="15" x14ac:dyDescent="0.25"/>
  <cols>
    <col min="1" max="1" width="11.28515625" style="284" customWidth="1"/>
    <col min="2" max="2" width="39.5703125" style="283" bestFit="1" customWidth="1"/>
    <col min="3" max="4" width="9.85546875" style="284" hidden="1" customWidth="1"/>
    <col min="5" max="7" width="9.85546875" style="285" hidden="1" customWidth="1"/>
    <col min="8" max="8" width="10.85546875" style="285" hidden="1" customWidth="1"/>
    <col min="9" max="9" width="10.140625" style="285" hidden="1" customWidth="1"/>
    <col min="10" max="10" width="10.28515625" style="285" hidden="1" customWidth="1"/>
    <col min="11" max="11" width="10.140625" style="285" hidden="1" customWidth="1"/>
    <col min="12" max="13" width="10.85546875" style="285" hidden="1" customWidth="1"/>
    <col min="14" max="14" width="9.140625" style="284" hidden="1" customWidth="1"/>
    <col min="15" max="15" width="12.28515625" style="286" customWidth="1"/>
    <col min="16" max="255" width="10" style="284"/>
    <col min="256" max="256" width="9.7109375" style="284" bestFit="1" customWidth="1"/>
    <col min="257" max="257" width="40.140625" style="284" bestFit="1" customWidth="1"/>
    <col min="258" max="258" width="11.7109375" style="284" customWidth="1"/>
    <col min="259" max="269" width="9.85546875" style="284" customWidth="1"/>
    <col min="270" max="270" width="10.5703125" style="284" bestFit="1" customWidth="1"/>
    <col min="271" max="511" width="10" style="284"/>
    <col min="512" max="512" width="9.7109375" style="284" bestFit="1" customWidth="1"/>
    <col min="513" max="513" width="40.140625" style="284" bestFit="1" customWidth="1"/>
    <col min="514" max="514" width="11.7109375" style="284" customWidth="1"/>
    <col min="515" max="525" width="9.85546875" style="284" customWidth="1"/>
    <col min="526" max="526" width="10.5703125" style="284" bestFit="1" customWidth="1"/>
    <col min="527" max="767" width="10" style="284"/>
    <col min="768" max="768" width="9.7109375" style="284" bestFit="1" customWidth="1"/>
    <col min="769" max="769" width="40.140625" style="284" bestFit="1" customWidth="1"/>
    <col min="770" max="770" width="11.7109375" style="284" customWidth="1"/>
    <col min="771" max="781" width="9.85546875" style="284" customWidth="1"/>
    <col min="782" max="782" width="10.5703125" style="284" bestFit="1" customWidth="1"/>
    <col min="783" max="1023" width="10" style="284"/>
    <col min="1024" max="1024" width="9.7109375" style="284" bestFit="1" customWidth="1"/>
    <col min="1025" max="1025" width="40.140625" style="284" bestFit="1" customWidth="1"/>
    <col min="1026" max="1026" width="11.7109375" style="284" customWidth="1"/>
    <col min="1027" max="1037" width="9.85546875" style="284" customWidth="1"/>
    <col min="1038" max="1038" width="10.5703125" style="284" bestFit="1" customWidth="1"/>
    <col min="1039" max="1279" width="10" style="284"/>
    <col min="1280" max="1280" width="9.7109375" style="284" bestFit="1" customWidth="1"/>
    <col min="1281" max="1281" width="40.140625" style="284" bestFit="1" customWidth="1"/>
    <col min="1282" max="1282" width="11.7109375" style="284" customWidth="1"/>
    <col min="1283" max="1293" width="9.85546875" style="284" customWidth="1"/>
    <col min="1294" max="1294" width="10.5703125" style="284" bestFit="1" customWidth="1"/>
    <col min="1295" max="1535" width="10" style="284"/>
    <col min="1536" max="1536" width="9.7109375" style="284" bestFit="1" customWidth="1"/>
    <col min="1537" max="1537" width="40.140625" style="284" bestFit="1" customWidth="1"/>
    <col min="1538" max="1538" width="11.7109375" style="284" customWidth="1"/>
    <col min="1539" max="1549" width="9.85546875" style="284" customWidth="1"/>
    <col min="1550" max="1550" width="10.5703125" style="284" bestFit="1" customWidth="1"/>
    <col min="1551" max="1791" width="10" style="284"/>
    <col min="1792" max="1792" width="9.7109375" style="284" bestFit="1" customWidth="1"/>
    <col min="1793" max="1793" width="40.140625" style="284" bestFit="1" customWidth="1"/>
    <col min="1794" max="1794" width="11.7109375" style="284" customWidth="1"/>
    <col min="1795" max="1805" width="9.85546875" style="284" customWidth="1"/>
    <col min="1806" max="1806" width="10.5703125" style="284" bestFit="1" customWidth="1"/>
    <col min="1807" max="2047" width="10" style="284"/>
    <col min="2048" max="2048" width="9.7109375" style="284" bestFit="1" customWidth="1"/>
    <col min="2049" max="2049" width="40.140625" style="284" bestFit="1" customWidth="1"/>
    <col min="2050" max="2050" width="11.7109375" style="284" customWidth="1"/>
    <col min="2051" max="2061" width="9.85546875" style="284" customWidth="1"/>
    <col min="2062" max="2062" width="10.5703125" style="284" bestFit="1" customWidth="1"/>
    <col min="2063" max="2303" width="10" style="284"/>
    <col min="2304" max="2304" width="9.7109375" style="284" bestFit="1" customWidth="1"/>
    <col min="2305" max="2305" width="40.140625" style="284" bestFit="1" customWidth="1"/>
    <col min="2306" max="2306" width="11.7109375" style="284" customWidth="1"/>
    <col min="2307" max="2317" width="9.85546875" style="284" customWidth="1"/>
    <col min="2318" max="2318" width="10.5703125" style="284" bestFit="1" customWidth="1"/>
    <col min="2319" max="2559" width="10" style="284"/>
    <col min="2560" max="2560" width="9.7109375" style="284" bestFit="1" customWidth="1"/>
    <col min="2561" max="2561" width="40.140625" style="284" bestFit="1" customWidth="1"/>
    <col min="2562" max="2562" width="11.7109375" style="284" customWidth="1"/>
    <col min="2563" max="2573" width="9.85546875" style="284" customWidth="1"/>
    <col min="2574" max="2574" width="10.5703125" style="284" bestFit="1" customWidth="1"/>
    <col min="2575" max="2815" width="10" style="284"/>
    <col min="2816" max="2816" width="9.7109375" style="284" bestFit="1" customWidth="1"/>
    <col min="2817" max="2817" width="40.140625" style="284" bestFit="1" customWidth="1"/>
    <col min="2818" max="2818" width="11.7109375" style="284" customWidth="1"/>
    <col min="2819" max="2829" width="9.85546875" style="284" customWidth="1"/>
    <col min="2830" max="2830" width="10.5703125" style="284" bestFit="1" customWidth="1"/>
    <col min="2831" max="3071" width="10" style="284"/>
    <col min="3072" max="3072" width="9.7109375" style="284" bestFit="1" customWidth="1"/>
    <col min="3073" max="3073" width="40.140625" style="284" bestFit="1" customWidth="1"/>
    <col min="3074" max="3074" width="11.7109375" style="284" customWidth="1"/>
    <col min="3075" max="3085" width="9.85546875" style="284" customWidth="1"/>
    <col min="3086" max="3086" width="10.5703125" style="284" bestFit="1" customWidth="1"/>
    <col min="3087" max="3327" width="10" style="284"/>
    <col min="3328" max="3328" width="9.7109375" style="284" bestFit="1" customWidth="1"/>
    <col min="3329" max="3329" width="40.140625" style="284" bestFit="1" customWidth="1"/>
    <col min="3330" max="3330" width="11.7109375" style="284" customWidth="1"/>
    <col min="3331" max="3341" width="9.85546875" style="284" customWidth="1"/>
    <col min="3342" max="3342" width="10.5703125" style="284" bestFit="1" customWidth="1"/>
    <col min="3343" max="3583" width="10" style="284"/>
    <col min="3584" max="3584" width="9.7109375" style="284" bestFit="1" customWidth="1"/>
    <col min="3585" max="3585" width="40.140625" style="284" bestFit="1" customWidth="1"/>
    <col min="3586" max="3586" width="11.7109375" style="284" customWidth="1"/>
    <col min="3587" max="3597" width="9.85546875" style="284" customWidth="1"/>
    <col min="3598" max="3598" width="10.5703125" style="284" bestFit="1" customWidth="1"/>
    <col min="3599" max="3839" width="10" style="284"/>
    <col min="3840" max="3840" width="9.7109375" style="284" bestFit="1" customWidth="1"/>
    <col min="3841" max="3841" width="40.140625" style="284" bestFit="1" customWidth="1"/>
    <col min="3842" max="3842" width="11.7109375" style="284" customWidth="1"/>
    <col min="3843" max="3853" width="9.85546875" style="284" customWidth="1"/>
    <col min="3854" max="3854" width="10.5703125" style="284" bestFit="1" customWidth="1"/>
    <col min="3855" max="4095" width="10" style="284"/>
    <col min="4096" max="4096" width="9.7109375" style="284" bestFit="1" customWidth="1"/>
    <col min="4097" max="4097" width="40.140625" style="284" bestFit="1" customWidth="1"/>
    <col min="4098" max="4098" width="11.7109375" style="284" customWidth="1"/>
    <col min="4099" max="4109" width="9.85546875" style="284" customWidth="1"/>
    <col min="4110" max="4110" width="10.5703125" style="284" bestFit="1" customWidth="1"/>
    <col min="4111" max="4351" width="10" style="284"/>
    <col min="4352" max="4352" width="9.7109375" style="284" bestFit="1" customWidth="1"/>
    <col min="4353" max="4353" width="40.140625" style="284" bestFit="1" customWidth="1"/>
    <col min="4354" max="4354" width="11.7109375" style="284" customWidth="1"/>
    <col min="4355" max="4365" width="9.85546875" style="284" customWidth="1"/>
    <col min="4366" max="4366" width="10.5703125" style="284" bestFit="1" customWidth="1"/>
    <col min="4367" max="4607" width="10" style="284"/>
    <col min="4608" max="4608" width="9.7109375" style="284" bestFit="1" customWidth="1"/>
    <col min="4609" max="4609" width="40.140625" style="284" bestFit="1" customWidth="1"/>
    <col min="4610" max="4610" width="11.7109375" style="284" customWidth="1"/>
    <col min="4611" max="4621" width="9.85546875" style="284" customWidth="1"/>
    <col min="4622" max="4622" width="10.5703125" style="284" bestFit="1" customWidth="1"/>
    <col min="4623" max="4863" width="10" style="284"/>
    <col min="4864" max="4864" width="9.7109375" style="284" bestFit="1" customWidth="1"/>
    <col min="4865" max="4865" width="40.140625" style="284" bestFit="1" customWidth="1"/>
    <col min="4866" max="4866" width="11.7109375" style="284" customWidth="1"/>
    <col min="4867" max="4877" width="9.85546875" style="284" customWidth="1"/>
    <col min="4878" max="4878" width="10.5703125" style="284" bestFit="1" customWidth="1"/>
    <col min="4879" max="5119" width="10" style="284"/>
    <col min="5120" max="5120" width="9.7109375" style="284" bestFit="1" customWidth="1"/>
    <col min="5121" max="5121" width="40.140625" style="284" bestFit="1" customWidth="1"/>
    <col min="5122" max="5122" width="11.7109375" style="284" customWidth="1"/>
    <col min="5123" max="5133" width="9.85546875" style="284" customWidth="1"/>
    <col min="5134" max="5134" width="10.5703125" style="284" bestFit="1" customWidth="1"/>
    <col min="5135" max="5375" width="10" style="284"/>
    <col min="5376" max="5376" width="9.7109375" style="284" bestFit="1" customWidth="1"/>
    <col min="5377" max="5377" width="40.140625" style="284" bestFit="1" customWidth="1"/>
    <col min="5378" max="5378" width="11.7109375" style="284" customWidth="1"/>
    <col min="5379" max="5389" width="9.85546875" style="284" customWidth="1"/>
    <col min="5390" max="5390" width="10.5703125" style="284" bestFit="1" customWidth="1"/>
    <col min="5391" max="5631" width="10" style="284"/>
    <col min="5632" max="5632" width="9.7109375" style="284" bestFit="1" customWidth="1"/>
    <col min="5633" max="5633" width="40.140625" style="284" bestFit="1" customWidth="1"/>
    <col min="5634" max="5634" width="11.7109375" style="284" customWidth="1"/>
    <col min="5635" max="5645" width="9.85546875" style="284" customWidth="1"/>
    <col min="5646" max="5646" width="10.5703125" style="284" bestFit="1" customWidth="1"/>
    <col min="5647" max="5887" width="10" style="284"/>
    <col min="5888" max="5888" width="9.7109375" style="284" bestFit="1" customWidth="1"/>
    <col min="5889" max="5889" width="40.140625" style="284" bestFit="1" customWidth="1"/>
    <col min="5890" max="5890" width="11.7109375" style="284" customWidth="1"/>
    <col min="5891" max="5901" width="9.85546875" style="284" customWidth="1"/>
    <col min="5902" max="5902" width="10.5703125" style="284" bestFit="1" customWidth="1"/>
    <col min="5903" max="6143" width="10" style="284"/>
    <col min="6144" max="6144" width="9.7109375" style="284" bestFit="1" customWidth="1"/>
    <col min="6145" max="6145" width="40.140625" style="284" bestFit="1" customWidth="1"/>
    <col min="6146" max="6146" width="11.7109375" style="284" customWidth="1"/>
    <col min="6147" max="6157" width="9.85546875" style="284" customWidth="1"/>
    <col min="6158" max="6158" width="10.5703125" style="284" bestFit="1" customWidth="1"/>
    <col min="6159" max="6399" width="10" style="284"/>
    <col min="6400" max="6400" width="9.7109375" style="284" bestFit="1" customWidth="1"/>
    <col min="6401" max="6401" width="40.140625" style="284" bestFit="1" customWidth="1"/>
    <col min="6402" max="6402" width="11.7109375" style="284" customWidth="1"/>
    <col min="6403" max="6413" width="9.85546875" style="284" customWidth="1"/>
    <col min="6414" max="6414" width="10.5703125" style="284" bestFit="1" customWidth="1"/>
    <col min="6415" max="6655" width="10" style="284"/>
    <col min="6656" max="6656" width="9.7109375" style="284" bestFit="1" customWidth="1"/>
    <col min="6657" max="6657" width="40.140625" style="284" bestFit="1" customWidth="1"/>
    <col min="6658" max="6658" width="11.7109375" style="284" customWidth="1"/>
    <col min="6659" max="6669" width="9.85546875" style="284" customWidth="1"/>
    <col min="6670" max="6670" width="10.5703125" style="284" bestFit="1" customWidth="1"/>
    <col min="6671" max="6911" width="10" style="284"/>
    <col min="6912" max="6912" width="9.7109375" style="284" bestFit="1" customWidth="1"/>
    <col min="6913" max="6913" width="40.140625" style="284" bestFit="1" customWidth="1"/>
    <col min="6914" max="6914" width="11.7109375" style="284" customWidth="1"/>
    <col min="6915" max="6925" width="9.85546875" style="284" customWidth="1"/>
    <col min="6926" max="6926" width="10.5703125" style="284" bestFit="1" customWidth="1"/>
    <col min="6927" max="7167" width="10" style="284"/>
    <col min="7168" max="7168" width="9.7109375" style="284" bestFit="1" customWidth="1"/>
    <col min="7169" max="7169" width="40.140625" style="284" bestFit="1" customWidth="1"/>
    <col min="7170" max="7170" width="11.7109375" style="284" customWidth="1"/>
    <col min="7171" max="7181" width="9.85546875" style="284" customWidth="1"/>
    <col min="7182" max="7182" width="10.5703125" style="284" bestFit="1" customWidth="1"/>
    <col min="7183" max="7423" width="10" style="284"/>
    <col min="7424" max="7424" width="9.7109375" style="284" bestFit="1" customWidth="1"/>
    <col min="7425" max="7425" width="40.140625" style="284" bestFit="1" customWidth="1"/>
    <col min="7426" max="7426" width="11.7109375" style="284" customWidth="1"/>
    <col min="7427" max="7437" width="9.85546875" style="284" customWidth="1"/>
    <col min="7438" max="7438" width="10.5703125" style="284" bestFit="1" customWidth="1"/>
    <col min="7439" max="7679" width="10" style="284"/>
    <col min="7680" max="7680" width="9.7109375" style="284" bestFit="1" customWidth="1"/>
    <col min="7681" max="7681" width="40.140625" style="284" bestFit="1" customWidth="1"/>
    <col min="7682" max="7682" width="11.7109375" style="284" customWidth="1"/>
    <col min="7683" max="7693" width="9.85546875" style="284" customWidth="1"/>
    <col min="7694" max="7694" width="10.5703125" style="284" bestFit="1" customWidth="1"/>
    <col min="7695" max="7935" width="10" style="284"/>
    <col min="7936" max="7936" width="9.7109375" style="284" bestFit="1" customWidth="1"/>
    <col min="7937" max="7937" width="40.140625" style="284" bestFit="1" customWidth="1"/>
    <col min="7938" max="7938" width="11.7109375" style="284" customWidth="1"/>
    <col min="7939" max="7949" width="9.85546875" style="284" customWidth="1"/>
    <col min="7950" max="7950" width="10.5703125" style="284" bestFit="1" customWidth="1"/>
    <col min="7951" max="8191" width="10" style="284"/>
    <col min="8192" max="8192" width="9.7109375" style="284" bestFit="1" customWidth="1"/>
    <col min="8193" max="8193" width="40.140625" style="284" bestFit="1" customWidth="1"/>
    <col min="8194" max="8194" width="11.7109375" style="284" customWidth="1"/>
    <col min="8195" max="8205" width="9.85546875" style="284" customWidth="1"/>
    <col min="8206" max="8206" width="10.5703125" style="284" bestFit="1" customWidth="1"/>
    <col min="8207" max="8447" width="10" style="284"/>
    <col min="8448" max="8448" width="9.7109375" style="284" bestFit="1" customWidth="1"/>
    <col min="8449" max="8449" width="40.140625" style="284" bestFit="1" customWidth="1"/>
    <col min="8450" max="8450" width="11.7109375" style="284" customWidth="1"/>
    <col min="8451" max="8461" width="9.85546875" style="284" customWidth="1"/>
    <col min="8462" max="8462" width="10.5703125" style="284" bestFit="1" customWidth="1"/>
    <col min="8463" max="8703" width="10" style="284"/>
    <col min="8704" max="8704" width="9.7109375" style="284" bestFit="1" customWidth="1"/>
    <col min="8705" max="8705" width="40.140625" style="284" bestFit="1" customWidth="1"/>
    <col min="8706" max="8706" width="11.7109375" style="284" customWidth="1"/>
    <col min="8707" max="8717" width="9.85546875" style="284" customWidth="1"/>
    <col min="8718" max="8718" width="10.5703125" style="284" bestFit="1" customWidth="1"/>
    <col min="8719" max="8959" width="10" style="284"/>
    <col min="8960" max="8960" width="9.7109375" style="284" bestFit="1" customWidth="1"/>
    <col min="8961" max="8961" width="40.140625" style="284" bestFit="1" customWidth="1"/>
    <col min="8962" max="8962" width="11.7109375" style="284" customWidth="1"/>
    <col min="8963" max="8973" width="9.85546875" style="284" customWidth="1"/>
    <col min="8974" max="8974" width="10.5703125" style="284" bestFit="1" customWidth="1"/>
    <col min="8975" max="9215" width="10" style="284"/>
    <col min="9216" max="9216" width="9.7109375" style="284" bestFit="1" customWidth="1"/>
    <col min="9217" max="9217" width="40.140625" style="284" bestFit="1" customWidth="1"/>
    <col min="9218" max="9218" width="11.7109375" style="284" customWidth="1"/>
    <col min="9219" max="9229" width="9.85546875" style="284" customWidth="1"/>
    <col min="9230" max="9230" width="10.5703125" style="284" bestFit="1" customWidth="1"/>
    <col min="9231" max="9471" width="10" style="284"/>
    <col min="9472" max="9472" width="9.7109375" style="284" bestFit="1" customWidth="1"/>
    <col min="9473" max="9473" width="40.140625" style="284" bestFit="1" customWidth="1"/>
    <col min="9474" max="9474" width="11.7109375" style="284" customWidth="1"/>
    <col min="9475" max="9485" width="9.85546875" style="284" customWidth="1"/>
    <col min="9486" max="9486" width="10.5703125" style="284" bestFit="1" customWidth="1"/>
    <col min="9487" max="9727" width="10" style="284"/>
    <col min="9728" max="9728" width="9.7109375" style="284" bestFit="1" customWidth="1"/>
    <col min="9729" max="9729" width="40.140625" style="284" bestFit="1" customWidth="1"/>
    <col min="9730" max="9730" width="11.7109375" style="284" customWidth="1"/>
    <col min="9731" max="9741" width="9.85546875" style="284" customWidth="1"/>
    <col min="9742" max="9742" width="10.5703125" style="284" bestFit="1" customWidth="1"/>
    <col min="9743" max="9983" width="10" style="284"/>
    <col min="9984" max="9984" width="9.7109375" style="284" bestFit="1" customWidth="1"/>
    <col min="9985" max="9985" width="40.140625" style="284" bestFit="1" customWidth="1"/>
    <col min="9986" max="9986" width="11.7109375" style="284" customWidth="1"/>
    <col min="9987" max="9997" width="9.85546875" style="284" customWidth="1"/>
    <col min="9998" max="9998" width="10.5703125" style="284" bestFit="1" customWidth="1"/>
    <col min="9999" max="10239" width="10" style="284"/>
    <col min="10240" max="10240" width="9.7109375" style="284" bestFit="1" customWidth="1"/>
    <col min="10241" max="10241" width="40.140625" style="284" bestFit="1" customWidth="1"/>
    <col min="10242" max="10242" width="11.7109375" style="284" customWidth="1"/>
    <col min="10243" max="10253" width="9.85546875" style="284" customWidth="1"/>
    <col min="10254" max="10254" width="10.5703125" style="284" bestFit="1" customWidth="1"/>
    <col min="10255" max="10495" width="10" style="284"/>
    <col min="10496" max="10496" width="9.7109375" style="284" bestFit="1" customWidth="1"/>
    <col min="10497" max="10497" width="40.140625" style="284" bestFit="1" customWidth="1"/>
    <col min="10498" max="10498" width="11.7109375" style="284" customWidth="1"/>
    <col min="10499" max="10509" width="9.85546875" style="284" customWidth="1"/>
    <col min="10510" max="10510" width="10.5703125" style="284" bestFit="1" customWidth="1"/>
    <col min="10511" max="10751" width="10" style="284"/>
    <col min="10752" max="10752" width="9.7109375" style="284" bestFit="1" customWidth="1"/>
    <col min="10753" max="10753" width="40.140625" style="284" bestFit="1" customWidth="1"/>
    <col min="10754" max="10754" width="11.7109375" style="284" customWidth="1"/>
    <col min="10755" max="10765" width="9.85546875" style="284" customWidth="1"/>
    <col min="10766" max="10766" width="10.5703125" style="284" bestFit="1" customWidth="1"/>
    <col min="10767" max="11007" width="10" style="284"/>
    <col min="11008" max="11008" width="9.7109375" style="284" bestFit="1" customWidth="1"/>
    <col min="11009" max="11009" width="40.140625" style="284" bestFit="1" customWidth="1"/>
    <col min="11010" max="11010" width="11.7109375" style="284" customWidth="1"/>
    <col min="11011" max="11021" width="9.85546875" style="284" customWidth="1"/>
    <col min="11022" max="11022" width="10.5703125" style="284" bestFit="1" customWidth="1"/>
    <col min="11023" max="11263" width="10" style="284"/>
    <col min="11264" max="11264" width="9.7109375" style="284" bestFit="1" customWidth="1"/>
    <col min="11265" max="11265" width="40.140625" style="284" bestFit="1" customWidth="1"/>
    <col min="11266" max="11266" width="11.7109375" style="284" customWidth="1"/>
    <col min="11267" max="11277" width="9.85546875" style="284" customWidth="1"/>
    <col min="11278" max="11278" width="10.5703125" style="284" bestFit="1" customWidth="1"/>
    <col min="11279" max="11519" width="10" style="284"/>
    <col min="11520" max="11520" width="9.7109375" style="284" bestFit="1" customWidth="1"/>
    <col min="11521" max="11521" width="40.140625" style="284" bestFit="1" customWidth="1"/>
    <col min="11522" max="11522" width="11.7109375" style="284" customWidth="1"/>
    <col min="11523" max="11533" width="9.85546875" style="284" customWidth="1"/>
    <col min="11534" max="11534" width="10.5703125" style="284" bestFit="1" customWidth="1"/>
    <col min="11535" max="11775" width="10" style="284"/>
    <col min="11776" max="11776" width="9.7109375" style="284" bestFit="1" customWidth="1"/>
    <col min="11777" max="11777" width="40.140625" style="284" bestFit="1" customWidth="1"/>
    <col min="11778" max="11778" width="11.7109375" style="284" customWidth="1"/>
    <col min="11779" max="11789" width="9.85546875" style="284" customWidth="1"/>
    <col min="11790" max="11790" width="10.5703125" style="284" bestFit="1" customWidth="1"/>
    <col min="11791" max="12031" width="10" style="284"/>
    <col min="12032" max="12032" width="9.7109375" style="284" bestFit="1" customWidth="1"/>
    <col min="12033" max="12033" width="40.140625" style="284" bestFit="1" customWidth="1"/>
    <col min="12034" max="12034" width="11.7109375" style="284" customWidth="1"/>
    <col min="12035" max="12045" width="9.85546875" style="284" customWidth="1"/>
    <col min="12046" max="12046" width="10.5703125" style="284" bestFit="1" customWidth="1"/>
    <col min="12047" max="12287" width="10" style="284"/>
    <col min="12288" max="12288" width="9.7109375" style="284" bestFit="1" customWidth="1"/>
    <col min="12289" max="12289" width="40.140625" style="284" bestFit="1" customWidth="1"/>
    <col min="12290" max="12290" width="11.7109375" style="284" customWidth="1"/>
    <col min="12291" max="12301" width="9.85546875" style="284" customWidth="1"/>
    <col min="12302" max="12302" width="10.5703125" style="284" bestFit="1" customWidth="1"/>
    <col min="12303" max="12543" width="10" style="284"/>
    <col min="12544" max="12544" width="9.7109375" style="284" bestFit="1" customWidth="1"/>
    <col min="12545" max="12545" width="40.140625" style="284" bestFit="1" customWidth="1"/>
    <col min="12546" max="12546" width="11.7109375" style="284" customWidth="1"/>
    <col min="12547" max="12557" width="9.85546875" style="284" customWidth="1"/>
    <col min="12558" max="12558" width="10.5703125" style="284" bestFit="1" customWidth="1"/>
    <col min="12559" max="12799" width="10" style="284"/>
    <col min="12800" max="12800" width="9.7109375" style="284" bestFit="1" customWidth="1"/>
    <col min="12801" max="12801" width="40.140625" style="284" bestFit="1" customWidth="1"/>
    <col min="12802" max="12802" width="11.7109375" style="284" customWidth="1"/>
    <col min="12803" max="12813" width="9.85546875" style="284" customWidth="1"/>
    <col min="12814" max="12814" width="10.5703125" style="284" bestFit="1" customWidth="1"/>
    <col min="12815" max="13055" width="10" style="284"/>
    <col min="13056" max="13056" width="9.7109375" style="284" bestFit="1" customWidth="1"/>
    <col min="13057" max="13057" width="40.140625" style="284" bestFit="1" customWidth="1"/>
    <col min="13058" max="13058" width="11.7109375" style="284" customWidth="1"/>
    <col min="13059" max="13069" width="9.85546875" style="284" customWidth="1"/>
    <col min="13070" max="13070" width="10.5703125" style="284" bestFit="1" customWidth="1"/>
    <col min="13071" max="13311" width="10" style="284"/>
    <col min="13312" max="13312" width="9.7109375" style="284" bestFit="1" customWidth="1"/>
    <col min="13313" max="13313" width="40.140625" style="284" bestFit="1" customWidth="1"/>
    <col min="13314" max="13314" width="11.7109375" style="284" customWidth="1"/>
    <col min="13315" max="13325" width="9.85546875" style="284" customWidth="1"/>
    <col min="13326" max="13326" width="10.5703125" style="284" bestFit="1" customWidth="1"/>
    <col min="13327" max="13567" width="10" style="284"/>
    <col min="13568" max="13568" width="9.7109375" style="284" bestFit="1" customWidth="1"/>
    <col min="13569" max="13569" width="40.140625" style="284" bestFit="1" customWidth="1"/>
    <col min="13570" max="13570" width="11.7109375" style="284" customWidth="1"/>
    <col min="13571" max="13581" width="9.85546875" style="284" customWidth="1"/>
    <col min="13582" max="13582" width="10.5703125" style="284" bestFit="1" customWidth="1"/>
    <col min="13583" max="13823" width="10" style="284"/>
    <col min="13824" max="13824" width="9.7109375" style="284" bestFit="1" customWidth="1"/>
    <col min="13825" max="13825" width="40.140625" style="284" bestFit="1" customWidth="1"/>
    <col min="13826" max="13826" width="11.7109375" style="284" customWidth="1"/>
    <col min="13827" max="13837" width="9.85546875" style="284" customWidth="1"/>
    <col min="13838" max="13838" width="10.5703125" style="284" bestFit="1" customWidth="1"/>
    <col min="13839" max="14079" width="10" style="284"/>
    <col min="14080" max="14080" width="9.7109375" style="284" bestFit="1" customWidth="1"/>
    <col min="14081" max="14081" width="40.140625" style="284" bestFit="1" customWidth="1"/>
    <col min="14082" max="14082" width="11.7109375" style="284" customWidth="1"/>
    <col min="14083" max="14093" width="9.85546875" style="284" customWidth="1"/>
    <col min="14094" max="14094" width="10.5703125" style="284" bestFit="1" customWidth="1"/>
    <col min="14095" max="14335" width="10" style="284"/>
    <col min="14336" max="14336" width="9.7109375" style="284" bestFit="1" customWidth="1"/>
    <col min="14337" max="14337" width="40.140625" style="284" bestFit="1" customWidth="1"/>
    <col min="14338" max="14338" width="11.7109375" style="284" customWidth="1"/>
    <col min="14339" max="14349" width="9.85546875" style="284" customWidth="1"/>
    <col min="14350" max="14350" width="10.5703125" style="284" bestFit="1" customWidth="1"/>
    <col min="14351" max="14591" width="10" style="284"/>
    <col min="14592" max="14592" width="9.7109375" style="284" bestFit="1" customWidth="1"/>
    <col min="14593" max="14593" width="40.140625" style="284" bestFit="1" customWidth="1"/>
    <col min="14594" max="14594" width="11.7109375" style="284" customWidth="1"/>
    <col min="14595" max="14605" width="9.85546875" style="284" customWidth="1"/>
    <col min="14606" max="14606" width="10.5703125" style="284" bestFit="1" customWidth="1"/>
    <col min="14607" max="14847" width="10" style="284"/>
    <col min="14848" max="14848" width="9.7109375" style="284" bestFit="1" customWidth="1"/>
    <col min="14849" max="14849" width="40.140625" style="284" bestFit="1" customWidth="1"/>
    <col min="14850" max="14850" width="11.7109375" style="284" customWidth="1"/>
    <col min="14851" max="14861" width="9.85546875" style="284" customWidth="1"/>
    <col min="14862" max="14862" width="10.5703125" style="284" bestFit="1" customWidth="1"/>
    <col min="14863" max="15103" width="10" style="284"/>
    <col min="15104" max="15104" width="9.7109375" style="284" bestFit="1" customWidth="1"/>
    <col min="15105" max="15105" width="40.140625" style="284" bestFit="1" customWidth="1"/>
    <col min="15106" max="15106" width="11.7109375" style="284" customWidth="1"/>
    <col min="15107" max="15117" width="9.85546875" style="284" customWidth="1"/>
    <col min="15118" max="15118" width="10.5703125" style="284" bestFit="1" customWidth="1"/>
    <col min="15119" max="15359" width="10" style="284"/>
    <col min="15360" max="15360" width="9.7109375" style="284" bestFit="1" customWidth="1"/>
    <col min="15361" max="15361" width="40.140625" style="284" bestFit="1" customWidth="1"/>
    <col min="15362" max="15362" width="11.7109375" style="284" customWidth="1"/>
    <col min="15363" max="15373" width="9.85546875" style="284" customWidth="1"/>
    <col min="15374" max="15374" width="10.5703125" style="284" bestFit="1" customWidth="1"/>
    <col min="15375" max="15615" width="10" style="284"/>
    <col min="15616" max="15616" width="9.7109375" style="284" bestFit="1" customWidth="1"/>
    <col min="15617" max="15617" width="40.140625" style="284" bestFit="1" customWidth="1"/>
    <col min="15618" max="15618" width="11.7109375" style="284" customWidth="1"/>
    <col min="15619" max="15629" width="9.85546875" style="284" customWidth="1"/>
    <col min="15630" max="15630" width="10.5703125" style="284" bestFit="1" customWidth="1"/>
    <col min="15631" max="15871" width="10" style="284"/>
    <col min="15872" max="15872" width="9.7109375" style="284" bestFit="1" customWidth="1"/>
    <col min="15873" max="15873" width="40.140625" style="284" bestFit="1" customWidth="1"/>
    <col min="15874" max="15874" width="11.7109375" style="284" customWidth="1"/>
    <col min="15875" max="15885" width="9.85546875" style="284" customWidth="1"/>
    <col min="15886" max="15886" width="10.5703125" style="284" bestFit="1" customWidth="1"/>
    <col min="15887" max="16127" width="10" style="284"/>
    <col min="16128" max="16128" width="9.7109375" style="284" bestFit="1" customWidth="1"/>
    <col min="16129" max="16129" width="40.140625" style="284" bestFit="1" customWidth="1"/>
    <col min="16130" max="16130" width="11.7109375" style="284" customWidth="1"/>
    <col min="16131" max="16141" width="9.85546875" style="284" customWidth="1"/>
    <col min="16142" max="16142" width="10.5703125" style="284" bestFit="1" customWidth="1"/>
    <col min="16143" max="16384" width="10" style="284"/>
  </cols>
  <sheetData>
    <row r="1" spans="1:15" s="280" customFormat="1" ht="30" customHeight="1" x14ac:dyDescent="0.2">
      <c r="B1" s="1198" t="s">
        <v>208</v>
      </c>
      <c r="C1" s="1199"/>
      <c r="D1" s="1199"/>
      <c r="E1" s="1199"/>
      <c r="F1" s="1199"/>
      <c r="G1" s="1199"/>
      <c r="H1" s="1199"/>
      <c r="I1" s="1199"/>
      <c r="J1" s="1199"/>
      <c r="K1" s="1199"/>
      <c r="L1" s="1199"/>
      <c r="M1" s="1199"/>
      <c r="N1" s="1199"/>
      <c r="O1" s="377"/>
    </row>
    <row r="2" spans="1:15" s="280" customFormat="1" ht="30" customHeight="1" x14ac:dyDescent="0.2">
      <c r="A2" s="281"/>
      <c r="B2" s="1201"/>
      <c r="C2" s="1202"/>
      <c r="D2" s="1202"/>
      <c r="E2" s="1202"/>
      <c r="F2" s="1202"/>
      <c r="G2" s="1202"/>
      <c r="H2" s="1202"/>
      <c r="I2" s="1202"/>
      <c r="J2" s="1202"/>
      <c r="K2" s="1202"/>
      <c r="L2" s="1202"/>
      <c r="M2" s="1202"/>
      <c r="N2" s="1202"/>
      <c r="O2" s="377"/>
    </row>
    <row r="3" spans="1:15" x14ac:dyDescent="0.25">
      <c r="A3" s="282"/>
    </row>
    <row r="4" spans="1:15" x14ac:dyDescent="0.25">
      <c r="A4" s="287"/>
      <c r="B4" s="287"/>
      <c r="C4" s="287"/>
      <c r="D4" s="287"/>
      <c r="E4" s="288"/>
      <c r="F4" s="288"/>
      <c r="G4" s="288"/>
      <c r="H4" s="288"/>
      <c r="I4" s="288"/>
      <c r="J4" s="288"/>
      <c r="K4" s="288"/>
      <c r="L4" s="288"/>
      <c r="M4" s="288"/>
    </row>
    <row r="5" spans="1:15" x14ac:dyDescent="0.25">
      <c r="A5" s="282"/>
      <c r="N5" s="388">
        <v>2016</v>
      </c>
    </row>
    <row r="6" spans="1:15" x14ac:dyDescent="0.25">
      <c r="A6" s="282" t="s">
        <v>209</v>
      </c>
      <c r="B6" s="289"/>
      <c r="N6" s="389"/>
    </row>
    <row r="7" spans="1:15" ht="15.75" thickBot="1" x14ac:dyDescent="0.3"/>
    <row r="8" spans="1:15" ht="12.75" customHeight="1" x14ac:dyDescent="0.25">
      <c r="A8" s="1164" t="s">
        <v>210</v>
      </c>
      <c r="B8" s="1165"/>
      <c r="C8" s="1168" t="s">
        <v>516</v>
      </c>
      <c r="D8" s="1168" t="s">
        <v>212</v>
      </c>
      <c r="E8" s="1168" t="s">
        <v>213</v>
      </c>
      <c r="F8" s="1168" t="s">
        <v>214</v>
      </c>
      <c r="G8" s="1168" t="s">
        <v>215</v>
      </c>
      <c r="H8" s="1168" t="s">
        <v>216</v>
      </c>
      <c r="I8" s="1168" t="s">
        <v>517</v>
      </c>
      <c r="J8" s="1168" t="s">
        <v>218</v>
      </c>
      <c r="K8" s="1168" t="s">
        <v>518</v>
      </c>
      <c r="L8" s="1150" t="s">
        <v>519</v>
      </c>
      <c r="M8" s="1150" t="s">
        <v>520</v>
      </c>
      <c r="N8" s="1345" t="s">
        <v>222</v>
      </c>
      <c r="O8" s="1343" t="s">
        <v>152</v>
      </c>
    </row>
    <row r="9" spans="1:15" ht="15.75" thickBot="1" x14ac:dyDescent="0.3">
      <c r="A9" s="1166"/>
      <c r="B9" s="1167"/>
      <c r="C9" s="1169"/>
      <c r="D9" s="1169"/>
      <c r="E9" s="1169"/>
      <c r="F9" s="1169"/>
      <c r="G9" s="1169"/>
      <c r="H9" s="1169"/>
      <c r="I9" s="1169"/>
      <c r="J9" s="1169"/>
      <c r="K9" s="1169"/>
      <c r="L9" s="1197"/>
      <c r="M9" s="1197"/>
      <c r="N9" s="1346"/>
      <c r="O9" s="1344"/>
    </row>
    <row r="10" spans="1:15" s="294" customFormat="1" ht="13.5" customHeight="1" x14ac:dyDescent="0.2">
      <c r="A10" s="719" t="s">
        <v>223</v>
      </c>
      <c r="B10" s="720" t="s">
        <v>224</v>
      </c>
      <c r="C10" s="721">
        <f>C11+C24+C27</f>
        <v>5089.5</v>
      </c>
      <c r="D10" s="721">
        <f t="shared" ref="D10:N10" si="0">D11+D24+D27</f>
        <v>69681.850000000006</v>
      </c>
      <c r="E10" s="721">
        <f t="shared" si="0"/>
        <v>92524.5</v>
      </c>
      <c r="F10" s="721">
        <f t="shared" si="0"/>
        <v>9570</v>
      </c>
      <c r="G10" s="721">
        <f t="shared" si="0"/>
        <v>58333.5</v>
      </c>
      <c r="H10" s="721">
        <f t="shared" si="0"/>
        <v>38814.18</v>
      </c>
      <c r="I10" s="721">
        <f t="shared" si="0"/>
        <v>53891.28</v>
      </c>
      <c r="J10" s="721">
        <f t="shared" si="0"/>
        <v>55281.54</v>
      </c>
      <c r="K10" s="721">
        <f t="shared" si="0"/>
        <v>110766.66</v>
      </c>
      <c r="L10" s="721">
        <f t="shared" si="0"/>
        <v>34030.22</v>
      </c>
      <c r="M10" s="721">
        <f t="shared" si="0"/>
        <v>0</v>
      </c>
      <c r="N10" s="774">
        <f t="shared" si="0"/>
        <v>127171.94</v>
      </c>
      <c r="O10" s="722">
        <f>+AVERAGE(C10:K10)</f>
        <v>54883.66777777778</v>
      </c>
    </row>
    <row r="11" spans="1:15" s="294" customFormat="1" ht="13.5" customHeight="1" x14ac:dyDescent="0.2">
      <c r="A11" s="725" t="s">
        <v>225</v>
      </c>
      <c r="B11" s="726" t="s">
        <v>226</v>
      </c>
      <c r="C11" s="727">
        <f>C12+C17+C20+C22</f>
        <v>5089.5</v>
      </c>
      <c r="D11" s="727">
        <f t="shared" ref="D11:N11" si="1">D12+D17+D20+D22</f>
        <v>69681.850000000006</v>
      </c>
      <c r="E11" s="727">
        <f t="shared" si="1"/>
        <v>92524.5</v>
      </c>
      <c r="F11" s="727">
        <f t="shared" si="1"/>
        <v>9570</v>
      </c>
      <c r="G11" s="727">
        <f t="shared" si="1"/>
        <v>58333.5</v>
      </c>
      <c r="H11" s="727">
        <f t="shared" si="1"/>
        <v>38814.18</v>
      </c>
      <c r="I11" s="727">
        <f t="shared" si="1"/>
        <v>53891.28</v>
      </c>
      <c r="J11" s="727">
        <f t="shared" si="1"/>
        <v>55281.54</v>
      </c>
      <c r="K11" s="727">
        <f t="shared" si="1"/>
        <v>110766.66</v>
      </c>
      <c r="L11" s="727">
        <f t="shared" si="1"/>
        <v>34030.22</v>
      </c>
      <c r="M11" s="727">
        <f t="shared" si="1"/>
        <v>0</v>
      </c>
      <c r="N11" s="794">
        <f t="shared" si="1"/>
        <v>127171.94</v>
      </c>
      <c r="O11" s="729">
        <f t="shared" ref="O11:O74" si="2">+AVERAGE(C11:K11)</f>
        <v>54883.66777777778</v>
      </c>
    </row>
    <row r="12" spans="1:15" s="294" customFormat="1" ht="13.5" customHeight="1" x14ac:dyDescent="0.2">
      <c r="A12" s="731" t="s">
        <v>227</v>
      </c>
      <c r="B12" s="732" t="s">
        <v>228</v>
      </c>
      <c r="C12" s="733">
        <f>C13+C14+C15+C16</f>
        <v>5089.5</v>
      </c>
      <c r="D12" s="733">
        <f t="shared" ref="D12:N12" si="3">D13+D14+D15+D16</f>
        <v>69681.850000000006</v>
      </c>
      <c r="E12" s="733">
        <f t="shared" si="3"/>
        <v>92524.5</v>
      </c>
      <c r="F12" s="733">
        <f t="shared" si="3"/>
        <v>9570</v>
      </c>
      <c r="G12" s="733">
        <f t="shared" si="3"/>
        <v>58333.5</v>
      </c>
      <c r="H12" s="733">
        <f t="shared" si="3"/>
        <v>38814.18</v>
      </c>
      <c r="I12" s="733">
        <f t="shared" si="3"/>
        <v>53891.28</v>
      </c>
      <c r="J12" s="733">
        <f t="shared" si="3"/>
        <v>55281.54</v>
      </c>
      <c r="K12" s="733">
        <f t="shared" si="3"/>
        <v>110766.66</v>
      </c>
      <c r="L12" s="733">
        <f t="shared" si="3"/>
        <v>34030.22</v>
      </c>
      <c r="M12" s="733">
        <f t="shared" si="3"/>
        <v>0</v>
      </c>
      <c r="N12" s="795">
        <f t="shared" si="3"/>
        <v>127171.94</v>
      </c>
      <c r="O12" s="734">
        <f t="shared" si="2"/>
        <v>54883.66777777778</v>
      </c>
    </row>
    <row r="13" spans="1:15" s="309" customFormat="1" ht="13.5" customHeight="1" x14ac:dyDescent="0.2">
      <c r="A13" s="735" t="s">
        <v>229</v>
      </c>
      <c r="B13" s="736" t="s">
        <v>230</v>
      </c>
      <c r="C13" s="737">
        <v>0</v>
      </c>
      <c r="D13" s="737">
        <v>0</v>
      </c>
      <c r="E13" s="737">
        <v>0</v>
      </c>
      <c r="F13" s="737">
        <v>0</v>
      </c>
      <c r="G13" s="737">
        <v>0</v>
      </c>
      <c r="H13" s="737">
        <v>0</v>
      </c>
      <c r="I13" s="737">
        <v>0</v>
      </c>
      <c r="J13" s="737">
        <v>0</v>
      </c>
      <c r="K13" s="737">
        <v>0</v>
      </c>
      <c r="L13" s="737">
        <v>0</v>
      </c>
      <c r="M13" s="737">
        <v>0</v>
      </c>
      <c r="N13" s="796">
        <v>0</v>
      </c>
      <c r="O13" s="738">
        <f t="shared" si="2"/>
        <v>0</v>
      </c>
    </row>
    <row r="14" spans="1:15" s="309" customFormat="1" ht="13.5" customHeight="1" x14ac:dyDescent="0.2">
      <c r="A14" s="735" t="s">
        <v>231</v>
      </c>
      <c r="B14" s="736" t="s">
        <v>232</v>
      </c>
      <c r="C14" s="737">
        <v>5089.5</v>
      </c>
      <c r="D14" s="737">
        <v>69681.850000000006</v>
      </c>
      <c r="E14" s="737">
        <v>92524.5</v>
      </c>
      <c r="F14" s="737">
        <v>9570</v>
      </c>
      <c r="G14" s="737">
        <v>58333.5</v>
      </c>
      <c r="H14" s="737">
        <v>38814.18</v>
      </c>
      <c r="I14" s="737">
        <v>53891.28</v>
      </c>
      <c r="J14" s="737">
        <v>55281.54</v>
      </c>
      <c r="K14" s="737">
        <v>110766.66</v>
      </c>
      <c r="L14" s="737">
        <v>34030.22</v>
      </c>
      <c r="M14" s="737">
        <v>0</v>
      </c>
      <c r="N14" s="796">
        <f>107055.94+20116</f>
        <v>127171.94</v>
      </c>
      <c r="O14" s="738">
        <f t="shared" si="2"/>
        <v>54883.66777777778</v>
      </c>
    </row>
    <row r="15" spans="1:15" s="309" customFormat="1" ht="13.5" customHeight="1" x14ac:dyDescent="0.2">
      <c r="A15" s="735" t="s">
        <v>233</v>
      </c>
      <c r="B15" s="736" t="s">
        <v>234</v>
      </c>
      <c r="C15" s="741">
        <v>0</v>
      </c>
      <c r="D15" s="741">
        <v>0</v>
      </c>
      <c r="E15" s="741">
        <v>0</v>
      </c>
      <c r="F15" s="741">
        <v>0</v>
      </c>
      <c r="G15" s="741">
        <v>0</v>
      </c>
      <c r="H15" s="741">
        <v>0</v>
      </c>
      <c r="I15" s="741">
        <v>0</v>
      </c>
      <c r="J15" s="741">
        <v>0</v>
      </c>
      <c r="K15" s="741">
        <v>0</v>
      </c>
      <c r="L15" s="741">
        <v>0</v>
      </c>
      <c r="M15" s="741">
        <v>0</v>
      </c>
      <c r="N15" s="797">
        <v>0</v>
      </c>
      <c r="O15" s="742">
        <f t="shared" si="2"/>
        <v>0</v>
      </c>
    </row>
    <row r="16" spans="1:15" s="294" customFormat="1" ht="13.5" customHeight="1" x14ac:dyDescent="0.2">
      <c r="A16" s="735" t="s">
        <v>235</v>
      </c>
      <c r="B16" s="736" t="s">
        <v>236</v>
      </c>
      <c r="C16" s="737">
        <v>0</v>
      </c>
      <c r="D16" s="737">
        <v>0</v>
      </c>
      <c r="E16" s="737">
        <v>0</v>
      </c>
      <c r="F16" s="737">
        <v>0</v>
      </c>
      <c r="G16" s="737">
        <v>0</v>
      </c>
      <c r="H16" s="737">
        <v>0</v>
      </c>
      <c r="I16" s="737">
        <v>0</v>
      </c>
      <c r="J16" s="737">
        <v>0</v>
      </c>
      <c r="K16" s="737">
        <v>0</v>
      </c>
      <c r="L16" s="737">
        <v>0</v>
      </c>
      <c r="M16" s="737">
        <v>0</v>
      </c>
      <c r="N16" s="796">
        <v>0</v>
      </c>
      <c r="O16" s="738">
        <f t="shared" si="2"/>
        <v>0</v>
      </c>
    </row>
    <row r="17" spans="1:15" s="294" customFormat="1" ht="13.5" customHeight="1" x14ac:dyDescent="0.2">
      <c r="A17" s="731" t="s">
        <v>237</v>
      </c>
      <c r="B17" s="732" t="s">
        <v>238</v>
      </c>
      <c r="C17" s="733">
        <f>C18+C19</f>
        <v>0</v>
      </c>
      <c r="D17" s="733">
        <f t="shared" ref="D17:N17" si="4">D18+D19</f>
        <v>0</v>
      </c>
      <c r="E17" s="733">
        <f t="shared" si="4"/>
        <v>0</v>
      </c>
      <c r="F17" s="733">
        <f t="shared" si="4"/>
        <v>0</v>
      </c>
      <c r="G17" s="733">
        <f t="shared" si="4"/>
        <v>0</v>
      </c>
      <c r="H17" s="733">
        <f t="shared" si="4"/>
        <v>0</v>
      </c>
      <c r="I17" s="733">
        <f t="shared" si="4"/>
        <v>0</v>
      </c>
      <c r="J17" s="733">
        <f t="shared" si="4"/>
        <v>0</v>
      </c>
      <c r="K17" s="733">
        <f t="shared" si="4"/>
        <v>0</v>
      </c>
      <c r="L17" s="733">
        <f t="shared" si="4"/>
        <v>0</v>
      </c>
      <c r="M17" s="733">
        <f t="shared" si="4"/>
        <v>0</v>
      </c>
      <c r="N17" s="795">
        <f t="shared" si="4"/>
        <v>0</v>
      </c>
      <c r="O17" s="734">
        <f t="shared" si="2"/>
        <v>0</v>
      </c>
    </row>
    <row r="18" spans="1:15" s="294" customFormat="1" ht="13.5" customHeight="1" x14ac:dyDescent="0.2">
      <c r="A18" s="735" t="s">
        <v>239</v>
      </c>
      <c r="B18" s="736" t="s">
        <v>240</v>
      </c>
      <c r="C18" s="737">
        <v>0</v>
      </c>
      <c r="D18" s="737">
        <v>0</v>
      </c>
      <c r="E18" s="737">
        <v>0</v>
      </c>
      <c r="F18" s="737">
        <v>0</v>
      </c>
      <c r="G18" s="737">
        <v>0</v>
      </c>
      <c r="H18" s="737">
        <v>0</v>
      </c>
      <c r="I18" s="737">
        <v>0</v>
      </c>
      <c r="J18" s="737">
        <v>0</v>
      </c>
      <c r="K18" s="737">
        <v>0</v>
      </c>
      <c r="L18" s="737">
        <v>0</v>
      </c>
      <c r="M18" s="737">
        <v>0</v>
      </c>
      <c r="N18" s="796">
        <v>0</v>
      </c>
      <c r="O18" s="738">
        <f t="shared" si="2"/>
        <v>0</v>
      </c>
    </row>
    <row r="19" spans="1:15" s="294" customFormat="1" ht="13.5" customHeight="1" x14ac:dyDescent="0.2">
      <c r="A19" s="735" t="s">
        <v>241</v>
      </c>
      <c r="B19" s="736" t="s">
        <v>242</v>
      </c>
      <c r="C19" s="737">
        <v>0</v>
      </c>
      <c r="D19" s="737">
        <v>0</v>
      </c>
      <c r="E19" s="737">
        <v>0</v>
      </c>
      <c r="F19" s="737">
        <v>0</v>
      </c>
      <c r="G19" s="737">
        <v>0</v>
      </c>
      <c r="H19" s="737">
        <v>0</v>
      </c>
      <c r="I19" s="737">
        <v>0</v>
      </c>
      <c r="J19" s="737">
        <v>0</v>
      </c>
      <c r="K19" s="737">
        <v>0</v>
      </c>
      <c r="L19" s="737">
        <v>0</v>
      </c>
      <c r="M19" s="737">
        <v>0</v>
      </c>
      <c r="N19" s="796">
        <v>0</v>
      </c>
      <c r="O19" s="738">
        <f t="shared" si="2"/>
        <v>0</v>
      </c>
    </row>
    <row r="20" spans="1:15" s="294" customFormat="1" ht="13.5" customHeight="1" x14ac:dyDescent="0.2">
      <c r="A20" s="731" t="s">
        <v>243</v>
      </c>
      <c r="B20" s="732" t="s">
        <v>244</v>
      </c>
      <c r="C20" s="733">
        <f>C21</f>
        <v>0</v>
      </c>
      <c r="D20" s="733">
        <f t="shared" ref="D20:N20" si="5">D21</f>
        <v>0</v>
      </c>
      <c r="E20" s="733">
        <f t="shared" si="5"/>
        <v>0</v>
      </c>
      <c r="F20" s="733">
        <f t="shared" si="5"/>
        <v>0</v>
      </c>
      <c r="G20" s="733">
        <f t="shared" si="5"/>
        <v>0</v>
      </c>
      <c r="H20" s="733">
        <f t="shared" si="5"/>
        <v>0</v>
      </c>
      <c r="I20" s="733">
        <f t="shared" si="5"/>
        <v>0</v>
      </c>
      <c r="J20" s="733">
        <f t="shared" si="5"/>
        <v>0</v>
      </c>
      <c r="K20" s="733">
        <f t="shared" si="5"/>
        <v>0</v>
      </c>
      <c r="L20" s="733">
        <f t="shared" si="5"/>
        <v>0</v>
      </c>
      <c r="M20" s="733">
        <f t="shared" si="5"/>
        <v>0</v>
      </c>
      <c r="N20" s="795">
        <f t="shared" si="5"/>
        <v>0</v>
      </c>
      <c r="O20" s="734">
        <f t="shared" si="2"/>
        <v>0</v>
      </c>
    </row>
    <row r="21" spans="1:15" s="294" customFormat="1" ht="13.5" customHeight="1" x14ac:dyDescent="0.2">
      <c r="A21" s="735" t="s">
        <v>245</v>
      </c>
      <c r="B21" s="736" t="s">
        <v>246</v>
      </c>
      <c r="C21" s="737">
        <v>0</v>
      </c>
      <c r="D21" s="737">
        <v>0</v>
      </c>
      <c r="E21" s="737">
        <v>0</v>
      </c>
      <c r="F21" s="737">
        <v>0</v>
      </c>
      <c r="G21" s="737">
        <v>0</v>
      </c>
      <c r="H21" s="737">
        <v>0</v>
      </c>
      <c r="I21" s="737">
        <v>0</v>
      </c>
      <c r="J21" s="737">
        <v>0</v>
      </c>
      <c r="K21" s="737">
        <v>0</v>
      </c>
      <c r="L21" s="737">
        <v>0</v>
      </c>
      <c r="M21" s="737">
        <v>0</v>
      </c>
      <c r="N21" s="796">
        <v>0</v>
      </c>
      <c r="O21" s="738">
        <f t="shared" si="2"/>
        <v>0</v>
      </c>
    </row>
    <row r="22" spans="1:15" s="294" customFormat="1" ht="13.5" customHeight="1" x14ac:dyDescent="0.2">
      <c r="A22" s="731" t="s">
        <v>247</v>
      </c>
      <c r="B22" s="732" t="s">
        <v>248</v>
      </c>
      <c r="C22" s="733">
        <f>C23</f>
        <v>0</v>
      </c>
      <c r="D22" s="733">
        <f t="shared" ref="D22:N22" si="6">D23</f>
        <v>0</v>
      </c>
      <c r="E22" s="733">
        <f t="shared" si="6"/>
        <v>0</v>
      </c>
      <c r="F22" s="733">
        <f t="shared" si="6"/>
        <v>0</v>
      </c>
      <c r="G22" s="733">
        <f t="shared" si="6"/>
        <v>0</v>
      </c>
      <c r="H22" s="733">
        <f t="shared" si="6"/>
        <v>0</v>
      </c>
      <c r="I22" s="733">
        <f t="shared" si="6"/>
        <v>0</v>
      </c>
      <c r="J22" s="733">
        <f t="shared" si="6"/>
        <v>0</v>
      </c>
      <c r="K22" s="733">
        <f t="shared" si="6"/>
        <v>0</v>
      </c>
      <c r="L22" s="733">
        <f t="shared" si="6"/>
        <v>0</v>
      </c>
      <c r="M22" s="733">
        <f t="shared" si="6"/>
        <v>0</v>
      </c>
      <c r="N22" s="795">
        <f t="shared" si="6"/>
        <v>0</v>
      </c>
      <c r="O22" s="734">
        <f t="shared" si="2"/>
        <v>0</v>
      </c>
    </row>
    <row r="23" spans="1:15" s="294" customFormat="1" ht="13.5" customHeight="1" x14ac:dyDescent="0.2">
      <c r="A23" s="735" t="s">
        <v>249</v>
      </c>
      <c r="B23" s="736" t="s">
        <v>250</v>
      </c>
      <c r="C23" s="737">
        <v>0</v>
      </c>
      <c r="D23" s="737">
        <v>0</v>
      </c>
      <c r="E23" s="737">
        <v>0</v>
      </c>
      <c r="F23" s="737">
        <v>0</v>
      </c>
      <c r="G23" s="737">
        <v>0</v>
      </c>
      <c r="H23" s="737">
        <v>0</v>
      </c>
      <c r="I23" s="737">
        <v>0</v>
      </c>
      <c r="J23" s="737">
        <v>0</v>
      </c>
      <c r="K23" s="737">
        <v>0</v>
      </c>
      <c r="L23" s="737">
        <v>0</v>
      </c>
      <c r="M23" s="737">
        <v>0</v>
      </c>
      <c r="N23" s="796">
        <v>0</v>
      </c>
      <c r="O23" s="738">
        <f t="shared" si="2"/>
        <v>0</v>
      </c>
    </row>
    <row r="24" spans="1:15" s="294" customFormat="1" ht="13.5" customHeight="1" x14ac:dyDescent="0.2">
      <c r="A24" s="725" t="s">
        <v>251</v>
      </c>
      <c r="B24" s="726" t="s">
        <v>252</v>
      </c>
      <c r="C24" s="727">
        <f>C25</f>
        <v>0</v>
      </c>
      <c r="D24" s="727">
        <f t="shared" ref="D24:N25" si="7">D25</f>
        <v>0</v>
      </c>
      <c r="E24" s="727">
        <f t="shared" si="7"/>
        <v>0</v>
      </c>
      <c r="F24" s="727">
        <f t="shared" si="7"/>
        <v>0</v>
      </c>
      <c r="G24" s="727">
        <f t="shared" si="7"/>
        <v>0</v>
      </c>
      <c r="H24" s="727">
        <f t="shared" si="7"/>
        <v>0</v>
      </c>
      <c r="I24" s="727">
        <f t="shared" si="7"/>
        <v>0</v>
      </c>
      <c r="J24" s="727">
        <f t="shared" si="7"/>
        <v>0</v>
      </c>
      <c r="K24" s="727">
        <f t="shared" si="7"/>
        <v>0</v>
      </c>
      <c r="L24" s="727">
        <f t="shared" si="7"/>
        <v>0</v>
      </c>
      <c r="M24" s="727">
        <f t="shared" si="7"/>
        <v>0</v>
      </c>
      <c r="N24" s="794">
        <f t="shared" si="7"/>
        <v>0</v>
      </c>
      <c r="O24" s="729">
        <f t="shared" si="2"/>
        <v>0</v>
      </c>
    </row>
    <row r="25" spans="1:15" s="294" customFormat="1" ht="13.5" customHeight="1" x14ac:dyDescent="0.2">
      <c r="A25" s="731" t="s">
        <v>253</v>
      </c>
      <c r="B25" s="732" t="s">
        <v>254</v>
      </c>
      <c r="C25" s="733">
        <f>C26</f>
        <v>0</v>
      </c>
      <c r="D25" s="733">
        <f t="shared" si="7"/>
        <v>0</v>
      </c>
      <c r="E25" s="733">
        <f t="shared" si="7"/>
        <v>0</v>
      </c>
      <c r="F25" s="733">
        <f t="shared" si="7"/>
        <v>0</v>
      </c>
      <c r="G25" s="733">
        <f t="shared" si="7"/>
        <v>0</v>
      </c>
      <c r="H25" s="733">
        <f t="shared" si="7"/>
        <v>0</v>
      </c>
      <c r="I25" s="733">
        <f t="shared" si="7"/>
        <v>0</v>
      </c>
      <c r="J25" s="733">
        <f t="shared" si="7"/>
        <v>0</v>
      </c>
      <c r="K25" s="733">
        <f t="shared" si="7"/>
        <v>0</v>
      </c>
      <c r="L25" s="733">
        <f t="shared" si="7"/>
        <v>0</v>
      </c>
      <c r="M25" s="733">
        <f t="shared" si="7"/>
        <v>0</v>
      </c>
      <c r="N25" s="795">
        <f t="shared" si="7"/>
        <v>0</v>
      </c>
      <c r="O25" s="734">
        <f t="shared" si="2"/>
        <v>0</v>
      </c>
    </row>
    <row r="26" spans="1:15" s="294" customFormat="1" ht="13.5" customHeight="1" x14ac:dyDescent="0.2">
      <c r="A26" s="735" t="s">
        <v>255</v>
      </c>
      <c r="B26" s="736" t="s">
        <v>256</v>
      </c>
      <c r="C26" s="737">
        <v>0</v>
      </c>
      <c r="D26" s="737">
        <v>0</v>
      </c>
      <c r="E26" s="737">
        <v>0</v>
      </c>
      <c r="F26" s="737">
        <v>0</v>
      </c>
      <c r="G26" s="737">
        <v>0</v>
      </c>
      <c r="H26" s="737">
        <v>0</v>
      </c>
      <c r="I26" s="737">
        <v>0</v>
      </c>
      <c r="J26" s="737">
        <v>0</v>
      </c>
      <c r="K26" s="737">
        <v>0</v>
      </c>
      <c r="L26" s="737">
        <v>0</v>
      </c>
      <c r="M26" s="737">
        <v>0</v>
      </c>
      <c r="N26" s="796">
        <v>0</v>
      </c>
      <c r="O26" s="738">
        <f t="shared" si="2"/>
        <v>0</v>
      </c>
    </row>
    <row r="27" spans="1:15" s="294" customFormat="1" ht="13.5" customHeight="1" x14ac:dyDescent="0.2">
      <c r="A27" s="725" t="s">
        <v>257</v>
      </c>
      <c r="B27" s="726" t="s">
        <v>258</v>
      </c>
      <c r="C27" s="727">
        <f>C28+C31</f>
        <v>0</v>
      </c>
      <c r="D27" s="727">
        <f t="shared" ref="D27:N27" si="8">D28+D31</f>
        <v>0</v>
      </c>
      <c r="E27" s="727">
        <f t="shared" si="8"/>
        <v>0</v>
      </c>
      <c r="F27" s="727">
        <f t="shared" si="8"/>
        <v>0</v>
      </c>
      <c r="G27" s="727">
        <f t="shared" si="8"/>
        <v>0</v>
      </c>
      <c r="H27" s="727">
        <f t="shared" si="8"/>
        <v>0</v>
      </c>
      <c r="I27" s="727">
        <f t="shared" si="8"/>
        <v>0</v>
      </c>
      <c r="J27" s="727">
        <f t="shared" si="8"/>
        <v>0</v>
      </c>
      <c r="K27" s="727">
        <f t="shared" si="8"/>
        <v>0</v>
      </c>
      <c r="L27" s="727">
        <f t="shared" si="8"/>
        <v>0</v>
      </c>
      <c r="M27" s="727">
        <f t="shared" si="8"/>
        <v>0</v>
      </c>
      <c r="N27" s="794">
        <f t="shared" si="8"/>
        <v>0</v>
      </c>
      <c r="O27" s="729">
        <f t="shared" si="2"/>
        <v>0</v>
      </c>
    </row>
    <row r="28" spans="1:15" s="294" customFormat="1" ht="13.5" customHeight="1" x14ac:dyDescent="0.2">
      <c r="A28" s="731" t="s">
        <v>259</v>
      </c>
      <c r="B28" s="732" t="s">
        <v>260</v>
      </c>
      <c r="C28" s="733">
        <f>C29+C30</f>
        <v>0</v>
      </c>
      <c r="D28" s="733">
        <f t="shared" ref="D28:N28" si="9">D29+D30</f>
        <v>0</v>
      </c>
      <c r="E28" s="733">
        <f t="shared" si="9"/>
        <v>0</v>
      </c>
      <c r="F28" s="733">
        <f t="shared" si="9"/>
        <v>0</v>
      </c>
      <c r="G28" s="733">
        <f t="shared" si="9"/>
        <v>0</v>
      </c>
      <c r="H28" s="733">
        <f t="shared" si="9"/>
        <v>0</v>
      </c>
      <c r="I28" s="733">
        <f t="shared" si="9"/>
        <v>0</v>
      </c>
      <c r="J28" s="733">
        <f t="shared" si="9"/>
        <v>0</v>
      </c>
      <c r="K28" s="733">
        <f t="shared" si="9"/>
        <v>0</v>
      </c>
      <c r="L28" s="733">
        <f t="shared" si="9"/>
        <v>0</v>
      </c>
      <c r="M28" s="733">
        <f t="shared" si="9"/>
        <v>0</v>
      </c>
      <c r="N28" s="795">
        <f t="shared" si="9"/>
        <v>0</v>
      </c>
      <c r="O28" s="734">
        <f t="shared" si="2"/>
        <v>0</v>
      </c>
    </row>
    <row r="29" spans="1:15" s="309" customFormat="1" ht="13.5" customHeight="1" x14ac:dyDescent="0.2">
      <c r="A29" s="735" t="s">
        <v>261</v>
      </c>
      <c r="B29" s="736" t="s">
        <v>262</v>
      </c>
      <c r="C29" s="737">
        <v>0</v>
      </c>
      <c r="D29" s="737">
        <v>0</v>
      </c>
      <c r="E29" s="737">
        <v>0</v>
      </c>
      <c r="F29" s="737">
        <v>0</v>
      </c>
      <c r="G29" s="737">
        <v>0</v>
      </c>
      <c r="H29" s="737">
        <v>0</v>
      </c>
      <c r="I29" s="737">
        <v>0</v>
      </c>
      <c r="J29" s="737">
        <v>0</v>
      </c>
      <c r="K29" s="737">
        <v>0</v>
      </c>
      <c r="L29" s="737">
        <v>0</v>
      </c>
      <c r="M29" s="737">
        <v>0</v>
      </c>
      <c r="N29" s="796">
        <v>0</v>
      </c>
      <c r="O29" s="738">
        <f t="shared" si="2"/>
        <v>0</v>
      </c>
    </row>
    <row r="30" spans="1:15" s="294" customFormat="1" ht="13.5" customHeight="1" x14ac:dyDescent="0.2">
      <c r="A30" s="735" t="s">
        <v>263</v>
      </c>
      <c r="B30" s="736" t="s">
        <v>264</v>
      </c>
      <c r="C30" s="737">
        <v>0</v>
      </c>
      <c r="D30" s="737">
        <v>0</v>
      </c>
      <c r="E30" s="737">
        <v>0</v>
      </c>
      <c r="F30" s="737">
        <v>0</v>
      </c>
      <c r="G30" s="737">
        <v>0</v>
      </c>
      <c r="H30" s="737">
        <v>0</v>
      </c>
      <c r="I30" s="737">
        <v>0</v>
      </c>
      <c r="J30" s="737">
        <v>0</v>
      </c>
      <c r="K30" s="737">
        <v>0</v>
      </c>
      <c r="L30" s="737">
        <v>0</v>
      </c>
      <c r="M30" s="737">
        <v>0</v>
      </c>
      <c r="N30" s="796">
        <v>0</v>
      </c>
      <c r="O30" s="738">
        <f t="shared" si="2"/>
        <v>0</v>
      </c>
    </row>
    <row r="31" spans="1:15" s="294" customFormat="1" ht="13.5" customHeight="1" x14ac:dyDescent="0.2">
      <c r="A31" s="731" t="s">
        <v>265</v>
      </c>
      <c r="B31" s="732" t="s">
        <v>266</v>
      </c>
      <c r="C31" s="733">
        <f>C32</f>
        <v>0</v>
      </c>
      <c r="D31" s="733">
        <f t="shared" ref="D31:N31" si="10">D32</f>
        <v>0</v>
      </c>
      <c r="E31" s="733">
        <f t="shared" si="10"/>
        <v>0</v>
      </c>
      <c r="F31" s="733">
        <f t="shared" si="10"/>
        <v>0</v>
      </c>
      <c r="G31" s="733">
        <f t="shared" si="10"/>
        <v>0</v>
      </c>
      <c r="H31" s="733">
        <f t="shared" si="10"/>
        <v>0</v>
      </c>
      <c r="I31" s="733">
        <f t="shared" si="10"/>
        <v>0</v>
      </c>
      <c r="J31" s="733">
        <f t="shared" si="10"/>
        <v>0</v>
      </c>
      <c r="K31" s="733">
        <f t="shared" si="10"/>
        <v>0</v>
      </c>
      <c r="L31" s="733">
        <f t="shared" si="10"/>
        <v>0</v>
      </c>
      <c r="M31" s="733">
        <f t="shared" si="10"/>
        <v>0</v>
      </c>
      <c r="N31" s="795">
        <f t="shared" si="10"/>
        <v>0</v>
      </c>
      <c r="O31" s="734">
        <f t="shared" si="2"/>
        <v>0</v>
      </c>
    </row>
    <row r="32" spans="1:15" s="309" customFormat="1" ht="13.5" customHeight="1" x14ac:dyDescent="0.2">
      <c r="A32" s="735" t="s">
        <v>267</v>
      </c>
      <c r="B32" s="736" t="s">
        <v>256</v>
      </c>
      <c r="C32" s="737">
        <v>0</v>
      </c>
      <c r="D32" s="737">
        <v>0</v>
      </c>
      <c r="E32" s="737">
        <v>0</v>
      </c>
      <c r="F32" s="737">
        <v>0</v>
      </c>
      <c r="G32" s="737">
        <v>0</v>
      </c>
      <c r="H32" s="737">
        <v>0</v>
      </c>
      <c r="I32" s="737">
        <v>0</v>
      </c>
      <c r="J32" s="737">
        <v>0</v>
      </c>
      <c r="K32" s="737">
        <v>0</v>
      </c>
      <c r="L32" s="737">
        <v>0</v>
      </c>
      <c r="M32" s="737">
        <v>0</v>
      </c>
      <c r="N32" s="796">
        <v>0</v>
      </c>
      <c r="O32" s="738">
        <f t="shared" si="2"/>
        <v>0</v>
      </c>
    </row>
    <row r="33" spans="1:15" s="294" customFormat="1" ht="13.5" customHeight="1" x14ac:dyDescent="0.2">
      <c r="A33" s="719" t="s">
        <v>268</v>
      </c>
      <c r="B33" s="720" t="s">
        <v>269</v>
      </c>
      <c r="C33" s="721">
        <f t="shared" ref="C33:N33" si="11">C34+C37+C50+C85</f>
        <v>24809.625</v>
      </c>
      <c r="D33" s="721">
        <f t="shared" si="11"/>
        <v>30321.323913793105</v>
      </c>
      <c r="E33" s="721">
        <f t="shared" si="11"/>
        <v>56648.883499999996</v>
      </c>
      <c r="F33" s="721">
        <f t="shared" si="11"/>
        <v>26474.71</v>
      </c>
      <c r="G33" s="721">
        <f t="shared" si="11"/>
        <v>36904.926999999996</v>
      </c>
      <c r="H33" s="721">
        <f t="shared" si="11"/>
        <v>37417.534500000009</v>
      </c>
      <c r="I33" s="721">
        <f t="shared" si="11"/>
        <v>43746.120999999999</v>
      </c>
      <c r="J33" s="721">
        <f t="shared" si="11"/>
        <v>45589.183000000005</v>
      </c>
      <c r="K33" s="721">
        <f t="shared" si="11"/>
        <v>70042.077499999999</v>
      </c>
      <c r="L33" s="721">
        <f t="shared" si="11"/>
        <v>50176.402984598964</v>
      </c>
      <c r="M33" s="721">
        <f t="shared" si="11"/>
        <v>43255.107622529998</v>
      </c>
      <c r="N33" s="774">
        <f t="shared" si="11"/>
        <v>51041.065432874821</v>
      </c>
      <c r="O33" s="744">
        <f t="shared" si="2"/>
        <v>41328.265045977016</v>
      </c>
    </row>
    <row r="34" spans="1:15" s="294" customFormat="1" ht="13.5" customHeight="1" x14ac:dyDescent="0.2">
      <c r="A34" s="725" t="s">
        <v>270</v>
      </c>
      <c r="B34" s="726" t="s">
        <v>271</v>
      </c>
      <c r="C34" s="745">
        <f>C35</f>
        <v>0</v>
      </c>
      <c r="D34" s="745">
        <f t="shared" ref="D34:N35" si="12">D35</f>
        <v>0</v>
      </c>
      <c r="E34" s="745">
        <f t="shared" si="12"/>
        <v>0</v>
      </c>
      <c r="F34" s="745">
        <f t="shared" si="12"/>
        <v>0</v>
      </c>
      <c r="G34" s="745">
        <f t="shared" si="12"/>
        <v>0</v>
      </c>
      <c r="H34" s="745">
        <f t="shared" si="12"/>
        <v>0</v>
      </c>
      <c r="I34" s="745">
        <f t="shared" si="12"/>
        <v>0</v>
      </c>
      <c r="J34" s="745">
        <f t="shared" si="12"/>
        <v>0</v>
      </c>
      <c r="K34" s="745">
        <f t="shared" si="12"/>
        <v>0</v>
      </c>
      <c r="L34" s="745">
        <f t="shared" si="12"/>
        <v>0</v>
      </c>
      <c r="M34" s="745">
        <f t="shared" si="12"/>
        <v>0</v>
      </c>
      <c r="N34" s="798">
        <f t="shared" si="12"/>
        <v>0</v>
      </c>
      <c r="O34" s="746">
        <f t="shared" si="2"/>
        <v>0</v>
      </c>
    </row>
    <row r="35" spans="1:15" s="294" customFormat="1" ht="13.5" customHeight="1" x14ac:dyDescent="0.2">
      <c r="A35" s="731" t="s">
        <v>272</v>
      </c>
      <c r="B35" s="732" t="s">
        <v>273</v>
      </c>
      <c r="C35" s="747">
        <f>C36</f>
        <v>0</v>
      </c>
      <c r="D35" s="747">
        <f t="shared" si="12"/>
        <v>0</v>
      </c>
      <c r="E35" s="747">
        <f t="shared" si="12"/>
        <v>0</v>
      </c>
      <c r="F35" s="747">
        <f t="shared" si="12"/>
        <v>0</v>
      </c>
      <c r="G35" s="747">
        <f t="shared" si="12"/>
        <v>0</v>
      </c>
      <c r="H35" s="747">
        <f t="shared" si="12"/>
        <v>0</v>
      </c>
      <c r="I35" s="747">
        <f t="shared" si="12"/>
        <v>0</v>
      </c>
      <c r="J35" s="747">
        <f t="shared" si="12"/>
        <v>0</v>
      </c>
      <c r="K35" s="747">
        <f t="shared" si="12"/>
        <v>0</v>
      </c>
      <c r="L35" s="747">
        <f t="shared" si="12"/>
        <v>0</v>
      </c>
      <c r="M35" s="747">
        <f t="shared" si="12"/>
        <v>0</v>
      </c>
      <c r="N35" s="799">
        <f t="shared" si="12"/>
        <v>0</v>
      </c>
      <c r="O35" s="748">
        <f t="shared" si="2"/>
        <v>0</v>
      </c>
    </row>
    <row r="36" spans="1:15" s="309" customFormat="1" ht="13.5" customHeight="1" x14ac:dyDescent="0.2">
      <c r="A36" s="735" t="s">
        <v>274</v>
      </c>
      <c r="B36" s="736" t="s">
        <v>275</v>
      </c>
      <c r="C36" s="743">
        <v>0</v>
      </c>
      <c r="D36" s="743">
        <v>0</v>
      </c>
      <c r="E36" s="743">
        <v>0</v>
      </c>
      <c r="F36" s="743">
        <v>0</v>
      </c>
      <c r="G36" s="743">
        <v>0</v>
      </c>
      <c r="H36" s="743">
        <v>0</v>
      </c>
      <c r="I36" s="743">
        <v>0</v>
      </c>
      <c r="J36" s="743">
        <v>0</v>
      </c>
      <c r="K36" s="743">
        <v>0</v>
      </c>
      <c r="L36" s="741">
        <v>0</v>
      </c>
      <c r="M36" s="741">
        <v>0</v>
      </c>
      <c r="N36" s="797">
        <v>0</v>
      </c>
      <c r="O36" s="742">
        <f t="shared" si="2"/>
        <v>0</v>
      </c>
    </row>
    <row r="37" spans="1:15" s="294" customFormat="1" ht="13.5" customHeight="1" x14ac:dyDescent="0.2">
      <c r="A37" s="725" t="s">
        <v>276</v>
      </c>
      <c r="B37" s="726" t="s">
        <v>277</v>
      </c>
      <c r="C37" s="727">
        <f>C38+C46</f>
        <v>16453.04</v>
      </c>
      <c r="D37" s="727">
        <f t="shared" ref="D37:N37" si="13">D38+D46</f>
        <v>16187.61</v>
      </c>
      <c r="E37" s="727">
        <f t="shared" si="13"/>
        <v>22180.74</v>
      </c>
      <c r="F37" s="727">
        <f t="shared" si="13"/>
        <v>16001.41</v>
      </c>
      <c r="G37" s="727">
        <f t="shared" si="13"/>
        <v>23179.899999999998</v>
      </c>
      <c r="H37" s="727">
        <f t="shared" si="13"/>
        <v>16384.93</v>
      </c>
      <c r="I37" s="727">
        <f t="shared" si="13"/>
        <v>23240.47</v>
      </c>
      <c r="J37" s="727">
        <f t="shared" si="13"/>
        <v>21525.850000000002</v>
      </c>
      <c r="K37" s="727">
        <f t="shared" si="13"/>
        <v>23131.24</v>
      </c>
      <c r="L37" s="727">
        <f t="shared" si="13"/>
        <v>36665.837062599996</v>
      </c>
      <c r="M37" s="727">
        <f t="shared" si="13"/>
        <v>31863.437062599998</v>
      </c>
      <c r="N37" s="794">
        <f t="shared" si="13"/>
        <v>28661.837062599996</v>
      </c>
      <c r="O37" s="729">
        <f t="shared" si="2"/>
        <v>19809.465555555555</v>
      </c>
    </row>
    <row r="38" spans="1:15" s="309" customFormat="1" ht="13.5" customHeight="1" x14ac:dyDescent="0.2">
      <c r="A38" s="731" t="s">
        <v>276</v>
      </c>
      <c r="B38" s="732" t="s">
        <v>278</v>
      </c>
      <c r="C38" s="733">
        <f>C39+C40+C41+C42+C43+C44+C45</f>
        <v>16453.04</v>
      </c>
      <c r="D38" s="733">
        <f t="shared" ref="D38:N38" si="14">D39+D40+D41+D42+D43+D44+D45</f>
        <v>16187.61</v>
      </c>
      <c r="E38" s="733">
        <f t="shared" si="14"/>
        <v>16125.54</v>
      </c>
      <c r="F38" s="733">
        <f t="shared" si="14"/>
        <v>16001.41</v>
      </c>
      <c r="G38" s="733">
        <f t="shared" si="14"/>
        <v>20636.719999999998</v>
      </c>
      <c r="H38" s="733">
        <f t="shared" si="14"/>
        <v>16384.93</v>
      </c>
      <c r="I38" s="733">
        <f t="shared" si="14"/>
        <v>19425.690000000002</v>
      </c>
      <c r="J38" s="733">
        <f t="shared" si="14"/>
        <v>19467.080000000002</v>
      </c>
      <c r="K38" s="733">
        <f t="shared" si="14"/>
        <v>19498.120000000003</v>
      </c>
      <c r="L38" s="733">
        <f t="shared" si="14"/>
        <v>23859.437062599998</v>
      </c>
      <c r="M38" s="733">
        <f t="shared" si="14"/>
        <v>23859.437062599998</v>
      </c>
      <c r="N38" s="795">
        <f t="shared" si="14"/>
        <v>23859.437062599998</v>
      </c>
      <c r="O38" s="734">
        <f t="shared" si="2"/>
        <v>17797.793333333335</v>
      </c>
    </row>
    <row r="39" spans="1:15" s="309" customFormat="1" ht="13.5" customHeight="1" x14ac:dyDescent="0.2">
      <c r="A39" s="735" t="s">
        <v>279</v>
      </c>
      <c r="B39" s="736" t="s">
        <v>280</v>
      </c>
      <c r="C39" s="750">
        <v>11088.04</v>
      </c>
      <c r="D39" s="750">
        <v>11088.04</v>
      </c>
      <c r="E39" s="750">
        <v>11088.04</v>
      </c>
      <c r="F39" s="750">
        <v>11088.04</v>
      </c>
      <c r="G39" s="750">
        <v>13131.3</v>
      </c>
      <c r="H39" s="750">
        <v>11198.09</v>
      </c>
      <c r="I39" s="750">
        <v>12327.78</v>
      </c>
      <c r="J39" s="750">
        <v>12327.78</v>
      </c>
      <c r="K39" s="750">
        <v>12327.78</v>
      </c>
      <c r="L39" s="743">
        <v>16195.537799999998</v>
      </c>
      <c r="M39" s="743">
        <v>16195.537799999998</v>
      </c>
      <c r="N39" s="800">
        <v>16195.537799999998</v>
      </c>
      <c r="O39" s="749">
        <f t="shared" si="2"/>
        <v>11740.543333333333</v>
      </c>
    </row>
    <row r="40" spans="1:15" s="309" customFormat="1" ht="13.5" customHeight="1" x14ac:dyDescent="0.2">
      <c r="A40" s="752" t="s">
        <v>281</v>
      </c>
      <c r="B40" s="753" t="s">
        <v>282</v>
      </c>
      <c r="C40" s="755">
        <v>1852.81</v>
      </c>
      <c r="D40" s="755">
        <v>1852.81</v>
      </c>
      <c r="E40" s="755">
        <v>1852.81</v>
      </c>
      <c r="F40" s="755">
        <v>1852.81</v>
      </c>
      <c r="G40" s="755">
        <v>2194.2199999999998</v>
      </c>
      <c r="H40" s="755">
        <v>1871.2</v>
      </c>
      <c r="I40" s="755">
        <v>2059.9699999999998</v>
      </c>
      <c r="J40" s="755">
        <v>2059.9699999999998</v>
      </c>
      <c r="K40" s="755">
        <v>2059.9699999999998</v>
      </c>
      <c r="L40" s="754">
        <v>2706.2743663799997</v>
      </c>
      <c r="M40" s="754">
        <v>2706.2743663799997</v>
      </c>
      <c r="N40" s="801">
        <v>2706.2743663799997</v>
      </c>
      <c r="O40" s="802">
        <f t="shared" si="2"/>
        <v>1961.8411111111111</v>
      </c>
    </row>
    <row r="41" spans="1:15" s="309" customFormat="1" ht="13.5" customHeight="1" x14ac:dyDescent="0.2">
      <c r="A41" s="752" t="s">
        <v>283</v>
      </c>
      <c r="B41" s="753" t="s">
        <v>284</v>
      </c>
      <c r="C41" s="755">
        <v>2148.35</v>
      </c>
      <c r="D41" s="755">
        <v>1847.27</v>
      </c>
      <c r="E41" s="755">
        <v>1847.27</v>
      </c>
      <c r="F41" s="755">
        <v>1847.27</v>
      </c>
      <c r="G41" s="755">
        <v>2187.69</v>
      </c>
      <c r="H41" s="755">
        <v>1865.6</v>
      </c>
      <c r="I41" s="755">
        <v>2053.81</v>
      </c>
      <c r="J41" s="755">
        <v>2053.81</v>
      </c>
      <c r="K41" s="755">
        <v>2053.81</v>
      </c>
      <c r="L41" s="754">
        <v>2698.1765974799996</v>
      </c>
      <c r="M41" s="754">
        <v>2698.1765974799996</v>
      </c>
      <c r="N41" s="801">
        <v>2698.1765974799996</v>
      </c>
      <c r="O41" s="802">
        <f t="shared" si="2"/>
        <v>1989.4311111111112</v>
      </c>
    </row>
    <row r="42" spans="1:15" s="309" customFormat="1" ht="13.5" customHeight="1" x14ac:dyDescent="0.2">
      <c r="A42" s="752" t="s">
        <v>285</v>
      </c>
      <c r="B42" s="753" t="s">
        <v>286</v>
      </c>
      <c r="C42" s="755">
        <v>1074.18</v>
      </c>
      <c r="D42" s="755">
        <v>923.63</v>
      </c>
      <c r="E42" s="755">
        <v>923.63</v>
      </c>
      <c r="F42" s="755">
        <v>923.63</v>
      </c>
      <c r="G42" s="755">
        <v>1093.8499999999999</v>
      </c>
      <c r="H42" s="755">
        <v>932.8</v>
      </c>
      <c r="I42" s="755">
        <v>1026.9000000000001</v>
      </c>
      <c r="J42" s="755">
        <v>1026.9000000000001</v>
      </c>
      <c r="K42" s="755">
        <v>1026.9000000000001</v>
      </c>
      <c r="L42" s="754">
        <v>1349.0882987399998</v>
      </c>
      <c r="M42" s="754">
        <v>1349.0882987399998</v>
      </c>
      <c r="N42" s="801">
        <v>1349.0882987399998</v>
      </c>
      <c r="O42" s="802">
        <f t="shared" si="2"/>
        <v>994.71333333333337</v>
      </c>
    </row>
    <row r="43" spans="1:15" s="309" customFormat="1" ht="13.5" customHeight="1" x14ac:dyDescent="0.2">
      <c r="A43" s="735" t="s">
        <v>287</v>
      </c>
      <c r="B43" s="736" t="s">
        <v>288</v>
      </c>
      <c r="C43" s="750">
        <v>0</v>
      </c>
      <c r="D43" s="750">
        <v>0</v>
      </c>
      <c r="E43" s="750">
        <v>0</v>
      </c>
      <c r="F43" s="750">
        <v>0</v>
      </c>
      <c r="G43" s="750">
        <v>0</v>
      </c>
      <c r="H43" s="750">
        <v>0</v>
      </c>
      <c r="I43" s="750">
        <v>0</v>
      </c>
      <c r="J43" s="750">
        <v>0</v>
      </c>
      <c r="K43" s="750">
        <v>0</v>
      </c>
      <c r="L43" s="743">
        <v>0</v>
      </c>
      <c r="M43" s="743">
        <v>0</v>
      </c>
      <c r="N43" s="800">
        <v>0</v>
      </c>
      <c r="O43" s="749">
        <f t="shared" si="2"/>
        <v>0</v>
      </c>
    </row>
    <row r="44" spans="1:15" s="309" customFormat="1" ht="13.5" customHeight="1" x14ac:dyDescent="0.2">
      <c r="A44" s="735" t="s">
        <v>289</v>
      </c>
      <c r="B44" s="736" t="s">
        <v>290</v>
      </c>
      <c r="C44" s="750">
        <v>0</v>
      </c>
      <c r="D44" s="750">
        <v>0</v>
      </c>
      <c r="E44" s="750">
        <v>0</v>
      </c>
      <c r="F44" s="750">
        <v>0</v>
      </c>
      <c r="G44" s="750">
        <v>1740</v>
      </c>
      <c r="H44" s="750">
        <v>0</v>
      </c>
      <c r="I44" s="750">
        <v>1740</v>
      </c>
      <c r="J44" s="750">
        <v>1740</v>
      </c>
      <c r="K44" s="750">
        <v>1740</v>
      </c>
      <c r="L44" s="743">
        <v>0</v>
      </c>
      <c r="M44" s="743">
        <v>0</v>
      </c>
      <c r="N44" s="800">
        <v>0</v>
      </c>
      <c r="O44" s="749">
        <f t="shared" si="2"/>
        <v>773.33333333333337</v>
      </c>
    </row>
    <row r="45" spans="1:15" s="309" customFormat="1" ht="13.5" customHeight="1" x14ac:dyDescent="0.2">
      <c r="A45" s="735" t="s">
        <v>291</v>
      </c>
      <c r="B45" s="736" t="s">
        <v>292</v>
      </c>
      <c r="C45" s="750">
        <v>289.66000000000003</v>
      </c>
      <c r="D45" s="750">
        <v>475.86</v>
      </c>
      <c r="E45" s="750">
        <v>413.79</v>
      </c>
      <c r="F45" s="750">
        <v>289.66000000000003</v>
      </c>
      <c r="G45" s="750">
        <v>289.66000000000003</v>
      </c>
      <c r="H45" s="750">
        <v>517.24</v>
      </c>
      <c r="I45" s="750">
        <v>217.23</v>
      </c>
      <c r="J45" s="750">
        <v>258.62</v>
      </c>
      <c r="K45" s="750">
        <v>289.66000000000003</v>
      </c>
      <c r="L45" s="743">
        <v>910.36</v>
      </c>
      <c r="M45" s="743">
        <v>910.36</v>
      </c>
      <c r="N45" s="800">
        <v>910.36</v>
      </c>
      <c r="O45" s="749">
        <f t="shared" si="2"/>
        <v>337.93111111111108</v>
      </c>
    </row>
    <row r="46" spans="1:15" s="309" customFormat="1" ht="13.5" customHeight="1" x14ac:dyDescent="0.2">
      <c r="A46" s="731" t="s">
        <v>293</v>
      </c>
      <c r="B46" s="732" t="s">
        <v>294</v>
      </c>
      <c r="C46" s="733">
        <f>C47+C48+C49</f>
        <v>0</v>
      </c>
      <c r="D46" s="733">
        <f t="shared" ref="D46:N46" si="15">D47+D48+D49</f>
        <v>0</v>
      </c>
      <c r="E46" s="733">
        <f t="shared" si="15"/>
        <v>6055.2</v>
      </c>
      <c r="F46" s="733">
        <f t="shared" si="15"/>
        <v>0</v>
      </c>
      <c r="G46" s="733">
        <f t="shared" si="15"/>
        <v>2543.1799999999998</v>
      </c>
      <c r="H46" s="733">
        <f t="shared" si="15"/>
        <v>0</v>
      </c>
      <c r="I46" s="733">
        <f t="shared" si="15"/>
        <v>3814.78</v>
      </c>
      <c r="J46" s="733">
        <f t="shared" si="15"/>
        <v>2058.77</v>
      </c>
      <c r="K46" s="733">
        <f t="shared" si="15"/>
        <v>3633.12</v>
      </c>
      <c r="L46" s="733">
        <f t="shared" si="15"/>
        <v>12806.4</v>
      </c>
      <c r="M46" s="733">
        <f t="shared" si="15"/>
        <v>8004</v>
      </c>
      <c r="N46" s="795">
        <f t="shared" si="15"/>
        <v>4802.3999999999996</v>
      </c>
      <c r="O46" s="734">
        <f t="shared" si="2"/>
        <v>2011.6722222222222</v>
      </c>
    </row>
    <row r="47" spans="1:15" s="309" customFormat="1" ht="13.5" customHeight="1" x14ac:dyDescent="0.2">
      <c r="A47" s="735" t="s">
        <v>295</v>
      </c>
      <c r="B47" s="736" t="s">
        <v>296</v>
      </c>
      <c r="C47" s="750">
        <v>0</v>
      </c>
      <c r="D47" s="750">
        <v>0</v>
      </c>
      <c r="E47" s="750">
        <v>0</v>
      </c>
      <c r="F47" s="750">
        <v>0</v>
      </c>
      <c r="G47" s="750">
        <v>0</v>
      </c>
      <c r="H47" s="750">
        <v>0</v>
      </c>
      <c r="I47" s="750">
        <v>0</v>
      </c>
      <c r="J47" s="750">
        <v>0</v>
      </c>
      <c r="K47" s="750">
        <v>0</v>
      </c>
      <c r="L47" s="743">
        <v>0</v>
      </c>
      <c r="M47" s="743">
        <v>0</v>
      </c>
      <c r="N47" s="800">
        <v>0</v>
      </c>
      <c r="O47" s="749">
        <f t="shared" si="2"/>
        <v>0</v>
      </c>
    </row>
    <row r="48" spans="1:15" s="309" customFormat="1" ht="13.5" customHeight="1" x14ac:dyDescent="0.2">
      <c r="A48" s="735" t="s">
        <v>297</v>
      </c>
      <c r="B48" s="736" t="s">
        <v>298</v>
      </c>
      <c r="C48" s="750">
        <v>0</v>
      </c>
      <c r="D48" s="750">
        <v>0</v>
      </c>
      <c r="E48" s="750">
        <v>0</v>
      </c>
      <c r="F48" s="750">
        <v>0</v>
      </c>
      <c r="G48" s="750">
        <v>0</v>
      </c>
      <c r="H48" s="750">
        <v>0</v>
      </c>
      <c r="I48" s="750">
        <v>0</v>
      </c>
      <c r="J48" s="750">
        <v>0</v>
      </c>
      <c r="K48" s="750">
        <v>0</v>
      </c>
      <c r="L48" s="743">
        <v>0</v>
      </c>
      <c r="M48" s="743">
        <v>0</v>
      </c>
      <c r="N48" s="800">
        <v>0</v>
      </c>
      <c r="O48" s="749">
        <f t="shared" si="2"/>
        <v>0</v>
      </c>
    </row>
    <row r="49" spans="1:15" s="309" customFormat="1" ht="13.5" customHeight="1" x14ac:dyDescent="0.2">
      <c r="A49" s="735" t="s">
        <v>299</v>
      </c>
      <c r="B49" s="736" t="s">
        <v>300</v>
      </c>
      <c r="C49" s="750">
        <v>0</v>
      </c>
      <c r="D49" s="750">
        <v>0</v>
      </c>
      <c r="E49" s="750">
        <v>6055.2</v>
      </c>
      <c r="F49" s="750">
        <v>0</v>
      </c>
      <c r="G49" s="750">
        <v>2543.1799999999998</v>
      </c>
      <c r="H49" s="750">
        <v>0</v>
      </c>
      <c r="I49" s="750">
        <v>3814.78</v>
      </c>
      <c r="J49" s="750">
        <v>2058.77</v>
      </c>
      <c r="K49" s="750">
        <v>3633.12</v>
      </c>
      <c r="L49" s="743">
        <v>12806.4</v>
      </c>
      <c r="M49" s="743">
        <v>8004</v>
      </c>
      <c r="N49" s="800">
        <v>4802.3999999999996</v>
      </c>
      <c r="O49" s="749">
        <f t="shared" si="2"/>
        <v>2011.6722222222222</v>
      </c>
    </row>
    <row r="50" spans="1:15" s="294" customFormat="1" ht="13.5" customHeight="1" x14ac:dyDescent="0.2">
      <c r="A50" s="757" t="s">
        <v>301</v>
      </c>
      <c r="B50" s="726" t="s">
        <v>302</v>
      </c>
      <c r="C50" s="727">
        <f>C51</f>
        <v>8356.5849999999991</v>
      </c>
      <c r="D50" s="727">
        <f t="shared" ref="D50:N50" si="16">D51</f>
        <v>14133.713913793104</v>
      </c>
      <c r="E50" s="727">
        <f t="shared" si="16"/>
        <v>34468.143499999998</v>
      </c>
      <c r="F50" s="727">
        <f t="shared" si="16"/>
        <v>10473.299999999999</v>
      </c>
      <c r="G50" s="727">
        <f t="shared" si="16"/>
        <v>13725.027000000002</v>
      </c>
      <c r="H50" s="727">
        <f t="shared" si="16"/>
        <v>21032.604500000005</v>
      </c>
      <c r="I50" s="727">
        <f t="shared" si="16"/>
        <v>20505.650999999998</v>
      </c>
      <c r="J50" s="727">
        <f t="shared" si="16"/>
        <v>24063.332999999999</v>
      </c>
      <c r="K50" s="727">
        <f t="shared" si="16"/>
        <v>46910.837500000001</v>
      </c>
      <c r="L50" s="727">
        <f t="shared" si="16"/>
        <v>13510.565921998967</v>
      </c>
      <c r="M50" s="727">
        <f t="shared" si="16"/>
        <v>11391.67055993</v>
      </c>
      <c r="N50" s="794">
        <f t="shared" si="16"/>
        <v>22379.228370274825</v>
      </c>
      <c r="O50" s="729">
        <f t="shared" si="2"/>
        <v>21518.799490421457</v>
      </c>
    </row>
    <row r="51" spans="1:15" s="294" customFormat="1" ht="13.5" customHeight="1" x14ac:dyDescent="0.2">
      <c r="A51" s="758" t="s">
        <v>303</v>
      </c>
      <c r="B51" s="732" t="s">
        <v>304</v>
      </c>
      <c r="C51" s="733">
        <f>SUM(C52:C84)</f>
        <v>8356.5849999999991</v>
      </c>
      <c r="D51" s="733">
        <f t="shared" ref="D51:N51" si="17">SUM(D52:D84)</f>
        <v>14133.713913793104</v>
      </c>
      <c r="E51" s="733">
        <f t="shared" si="17"/>
        <v>34468.143499999998</v>
      </c>
      <c r="F51" s="733">
        <f t="shared" si="17"/>
        <v>10473.299999999999</v>
      </c>
      <c r="G51" s="733">
        <f t="shared" si="17"/>
        <v>13725.027000000002</v>
      </c>
      <c r="H51" s="733">
        <f t="shared" si="17"/>
        <v>21032.604500000005</v>
      </c>
      <c r="I51" s="733">
        <f t="shared" si="17"/>
        <v>20505.650999999998</v>
      </c>
      <c r="J51" s="733">
        <f t="shared" si="17"/>
        <v>24063.332999999999</v>
      </c>
      <c r="K51" s="733">
        <f t="shared" si="17"/>
        <v>46910.837500000001</v>
      </c>
      <c r="L51" s="733">
        <f t="shared" si="17"/>
        <v>13510.565921998967</v>
      </c>
      <c r="M51" s="733">
        <f t="shared" si="17"/>
        <v>11391.67055993</v>
      </c>
      <c r="N51" s="795">
        <f t="shared" si="17"/>
        <v>22379.228370274825</v>
      </c>
      <c r="O51" s="734">
        <f t="shared" si="2"/>
        <v>21518.799490421457</v>
      </c>
    </row>
    <row r="52" spans="1:15" s="309" customFormat="1" ht="13.5" customHeight="1" x14ac:dyDescent="0.2">
      <c r="A52" s="735" t="s">
        <v>305</v>
      </c>
      <c r="B52" s="736" t="s">
        <v>59</v>
      </c>
      <c r="C52" s="750">
        <v>0</v>
      </c>
      <c r="D52" s="750">
        <v>0</v>
      </c>
      <c r="E52" s="750">
        <v>270.57</v>
      </c>
      <c r="F52" s="750">
        <v>0</v>
      </c>
      <c r="G52" s="750">
        <v>0</v>
      </c>
      <c r="H52" s="750">
        <v>0</v>
      </c>
      <c r="I52" s="750">
        <v>0</v>
      </c>
      <c r="J52" s="750">
        <v>0</v>
      </c>
      <c r="K52" s="750">
        <v>0</v>
      </c>
      <c r="L52" s="743">
        <v>110.21</v>
      </c>
      <c r="M52" s="743">
        <v>102.83</v>
      </c>
      <c r="N52" s="800">
        <v>79.91</v>
      </c>
      <c r="O52" s="749">
        <f t="shared" si="2"/>
        <v>30.063333333333333</v>
      </c>
    </row>
    <row r="53" spans="1:15" s="309" customFormat="1" ht="13.5" customHeight="1" x14ac:dyDescent="0.2">
      <c r="A53" s="735" t="s">
        <v>306</v>
      </c>
      <c r="B53" s="736" t="s">
        <v>61</v>
      </c>
      <c r="C53" s="750">
        <v>0</v>
      </c>
      <c r="D53" s="750">
        <v>0</v>
      </c>
      <c r="E53" s="750">
        <v>0</v>
      </c>
      <c r="F53" s="750">
        <v>0</v>
      </c>
      <c r="G53" s="750">
        <v>0</v>
      </c>
      <c r="H53" s="750">
        <v>337.56</v>
      </c>
      <c r="I53" s="750">
        <v>0</v>
      </c>
      <c r="J53" s="750">
        <v>2714.4</v>
      </c>
      <c r="K53" s="750">
        <v>5013.8100000000004</v>
      </c>
      <c r="L53" s="743">
        <v>0</v>
      </c>
      <c r="M53" s="743">
        <v>0</v>
      </c>
      <c r="N53" s="800">
        <v>0</v>
      </c>
      <c r="O53" s="749">
        <f t="shared" si="2"/>
        <v>896.19666666666672</v>
      </c>
    </row>
    <row r="54" spans="1:15" s="309" customFormat="1" ht="13.5" customHeight="1" x14ac:dyDescent="0.2">
      <c r="A54" s="735" t="s">
        <v>307</v>
      </c>
      <c r="B54" s="736" t="s">
        <v>62</v>
      </c>
      <c r="C54" s="750">
        <v>0</v>
      </c>
      <c r="D54" s="750">
        <v>0</v>
      </c>
      <c r="E54" s="750">
        <v>366.93</v>
      </c>
      <c r="F54" s="750">
        <v>6.96</v>
      </c>
      <c r="G54" s="750">
        <v>0</v>
      </c>
      <c r="H54" s="750">
        <v>6.96</v>
      </c>
      <c r="I54" s="750">
        <v>0</v>
      </c>
      <c r="J54" s="750">
        <v>0</v>
      </c>
      <c r="K54" s="750">
        <v>0</v>
      </c>
      <c r="L54" s="743">
        <v>40</v>
      </c>
      <c r="M54" s="743">
        <v>40</v>
      </c>
      <c r="N54" s="800">
        <v>40</v>
      </c>
      <c r="O54" s="749">
        <f t="shared" si="2"/>
        <v>42.316666666666663</v>
      </c>
    </row>
    <row r="55" spans="1:15" s="309" customFormat="1" ht="13.5" customHeight="1" x14ac:dyDescent="0.2">
      <c r="A55" s="735" t="s">
        <v>308</v>
      </c>
      <c r="B55" s="736" t="s">
        <v>63</v>
      </c>
      <c r="C55" s="750">
        <v>652.48</v>
      </c>
      <c r="D55" s="750">
        <v>651.41999999999996</v>
      </c>
      <c r="E55" s="750">
        <v>728.49</v>
      </c>
      <c r="F55" s="750">
        <v>870.34</v>
      </c>
      <c r="G55" s="750">
        <v>675.63</v>
      </c>
      <c r="H55" s="750">
        <v>746.3</v>
      </c>
      <c r="I55" s="750">
        <v>727.56</v>
      </c>
      <c r="J55" s="750">
        <v>750.68</v>
      </c>
      <c r="K55" s="750">
        <v>730.38</v>
      </c>
      <c r="L55" s="743">
        <v>1019</v>
      </c>
      <c r="M55" s="743">
        <v>1019</v>
      </c>
      <c r="N55" s="800">
        <v>1019</v>
      </c>
      <c r="O55" s="749">
        <f t="shared" si="2"/>
        <v>725.92</v>
      </c>
    </row>
    <row r="56" spans="1:15" s="309" customFormat="1" ht="13.5" customHeight="1" x14ac:dyDescent="0.2">
      <c r="A56" s="735" t="s">
        <v>309</v>
      </c>
      <c r="B56" s="736" t="s">
        <v>64</v>
      </c>
      <c r="C56" s="750">
        <v>452.59</v>
      </c>
      <c r="D56" s="750">
        <v>452.59</v>
      </c>
      <c r="E56" s="750">
        <v>452.59</v>
      </c>
      <c r="F56" s="750">
        <v>452.59</v>
      </c>
      <c r="G56" s="750">
        <v>208.8</v>
      </c>
      <c r="H56" s="750">
        <v>208.8</v>
      </c>
      <c r="I56" s="750">
        <v>208.8</v>
      </c>
      <c r="J56" s="750">
        <v>208.8</v>
      </c>
      <c r="K56" s="750">
        <v>208.8</v>
      </c>
      <c r="L56" s="743">
        <v>522</v>
      </c>
      <c r="M56" s="743">
        <v>522</v>
      </c>
      <c r="N56" s="800">
        <v>522</v>
      </c>
      <c r="O56" s="749">
        <f t="shared" si="2"/>
        <v>317.15111111111116</v>
      </c>
    </row>
    <row r="57" spans="1:15" s="309" customFormat="1" ht="13.5" customHeight="1" x14ac:dyDescent="0.2">
      <c r="A57" s="735" t="s">
        <v>310</v>
      </c>
      <c r="B57" s="736" t="s">
        <v>311</v>
      </c>
      <c r="C57" s="750">
        <v>0</v>
      </c>
      <c r="D57" s="750">
        <v>0</v>
      </c>
      <c r="E57" s="750">
        <v>0</v>
      </c>
      <c r="F57" s="750">
        <v>0</v>
      </c>
      <c r="G57" s="750">
        <v>0</v>
      </c>
      <c r="H57" s="750">
        <v>0</v>
      </c>
      <c r="I57" s="750">
        <v>0</v>
      </c>
      <c r="J57" s="750">
        <v>0</v>
      </c>
      <c r="K57" s="750">
        <v>0</v>
      </c>
      <c r="L57" s="743">
        <v>0</v>
      </c>
      <c r="M57" s="743">
        <v>0</v>
      </c>
      <c r="N57" s="800">
        <v>0</v>
      </c>
      <c r="O57" s="749">
        <f t="shared" si="2"/>
        <v>0</v>
      </c>
    </row>
    <row r="58" spans="1:15" s="309" customFormat="1" ht="13.5" customHeight="1" x14ac:dyDescent="0.2">
      <c r="A58" s="735" t="s">
        <v>312</v>
      </c>
      <c r="B58" s="736" t="s">
        <v>313</v>
      </c>
      <c r="C58" s="750">
        <v>0</v>
      </c>
      <c r="D58" s="750">
        <v>0</v>
      </c>
      <c r="E58" s="750">
        <v>0</v>
      </c>
      <c r="F58" s="750">
        <v>0</v>
      </c>
      <c r="G58" s="750">
        <v>0</v>
      </c>
      <c r="H58" s="750">
        <v>0</v>
      </c>
      <c r="I58" s="750">
        <v>0</v>
      </c>
      <c r="J58" s="750">
        <v>0</v>
      </c>
      <c r="K58" s="750">
        <v>0</v>
      </c>
      <c r="L58" s="743">
        <v>0</v>
      </c>
      <c r="M58" s="743">
        <v>0</v>
      </c>
      <c r="N58" s="800">
        <v>0</v>
      </c>
      <c r="O58" s="749">
        <f t="shared" si="2"/>
        <v>0</v>
      </c>
    </row>
    <row r="59" spans="1:15" s="309" customFormat="1" ht="13.5" customHeight="1" x14ac:dyDescent="0.2">
      <c r="A59" s="735" t="s">
        <v>314</v>
      </c>
      <c r="B59" s="736" t="s">
        <v>150</v>
      </c>
      <c r="C59" s="750">
        <v>0</v>
      </c>
      <c r="D59" s="750">
        <v>0</v>
      </c>
      <c r="E59" s="750">
        <v>0</v>
      </c>
      <c r="F59" s="750">
        <v>0</v>
      </c>
      <c r="G59" s="750">
        <v>0</v>
      </c>
      <c r="H59" s="750">
        <v>0</v>
      </c>
      <c r="I59" s="750">
        <v>0</v>
      </c>
      <c r="J59" s="750">
        <v>0</v>
      </c>
      <c r="K59" s="750">
        <v>0</v>
      </c>
      <c r="L59" s="743">
        <v>0</v>
      </c>
      <c r="M59" s="743">
        <v>0</v>
      </c>
      <c r="N59" s="800">
        <v>0</v>
      </c>
      <c r="O59" s="749">
        <f t="shared" si="2"/>
        <v>0</v>
      </c>
    </row>
    <row r="60" spans="1:15" s="309" customFormat="1" ht="13.5" customHeight="1" x14ac:dyDescent="0.2">
      <c r="A60" s="735" t="s">
        <v>315</v>
      </c>
      <c r="B60" s="736" t="s">
        <v>65</v>
      </c>
      <c r="C60" s="750">
        <v>0</v>
      </c>
      <c r="D60" s="750">
        <v>0</v>
      </c>
      <c r="E60" s="750">
        <v>0</v>
      </c>
      <c r="F60" s="750">
        <v>0</v>
      </c>
      <c r="G60" s="750">
        <v>0</v>
      </c>
      <c r="H60" s="750">
        <v>0</v>
      </c>
      <c r="I60" s="750">
        <v>0</v>
      </c>
      <c r="J60" s="750">
        <v>0</v>
      </c>
      <c r="K60" s="750">
        <v>0</v>
      </c>
      <c r="L60" s="743">
        <v>0</v>
      </c>
      <c r="M60" s="743">
        <v>0</v>
      </c>
      <c r="N60" s="800">
        <v>0</v>
      </c>
      <c r="O60" s="749">
        <f t="shared" si="2"/>
        <v>0</v>
      </c>
    </row>
    <row r="61" spans="1:15" s="309" customFormat="1" ht="13.5" customHeight="1" x14ac:dyDescent="0.2">
      <c r="A61" s="735" t="s">
        <v>316</v>
      </c>
      <c r="B61" s="736" t="s">
        <v>317</v>
      </c>
      <c r="C61" s="750">
        <v>0</v>
      </c>
      <c r="D61" s="750">
        <v>0</v>
      </c>
      <c r="E61" s="750">
        <v>0</v>
      </c>
      <c r="F61" s="750">
        <v>0</v>
      </c>
      <c r="G61" s="750">
        <v>762.96</v>
      </c>
      <c r="H61" s="750">
        <v>0</v>
      </c>
      <c r="I61" s="750">
        <v>109.39</v>
      </c>
      <c r="J61" s="750">
        <v>0</v>
      </c>
      <c r="K61" s="750">
        <v>0</v>
      </c>
      <c r="L61" s="743">
        <v>0</v>
      </c>
      <c r="M61" s="743">
        <v>0</v>
      </c>
      <c r="N61" s="800">
        <v>0</v>
      </c>
      <c r="O61" s="749">
        <f t="shared" si="2"/>
        <v>96.927777777777777</v>
      </c>
    </row>
    <row r="62" spans="1:15" s="309" customFormat="1" ht="13.5" customHeight="1" x14ac:dyDescent="0.2">
      <c r="A62" s="735" t="s">
        <v>318</v>
      </c>
      <c r="B62" s="736" t="s">
        <v>151</v>
      </c>
      <c r="C62" s="750">
        <f>C10*100/87*3%</f>
        <v>175.5</v>
      </c>
      <c r="D62" s="750">
        <f>CONCATENATE(D10*100)/87*3%</f>
        <v>2402.8224137931034</v>
      </c>
      <c r="E62" s="750">
        <f>CONCATENATE(E10*100)/87*3%</f>
        <v>3190.5</v>
      </c>
      <c r="F62" s="750">
        <f t="shared" ref="F62:K62" si="18">F10*100/87*3%</f>
        <v>330</v>
      </c>
      <c r="G62" s="750">
        <f t="shared" si="18"/>
        <v>2011.5</v>
      </c>
      <c r="H62" s="750">
        <f t="shared" si="18"/>
        <v>1338.4199999999998</v>
      </c>
      <c r="I62" s="750">
        <f t="shared" si="18"/>
        <v>1858.32</v>
      </c>
      <c r="J62" s="750">
        <f t="shared" si="18"/>
        <v>1906.26</v>
      </c>
      <c r="K62" s="750">
        <f t="shared" si="18"/>
        <v>3819.54</v>
      </c>
      <c r="L62" s="743">
        <v>1173.4558620689654</v>
      </c>
      <c r="M62" s="743">
        <v>0</v>
      </c>
      <c r="N62" s="800">
        <v>4385.2393103448267</v>
      </c>
      <c r="O62" s="749">
        <f t="shared" si="2"/>
        <v>1892.5402681992337</v>
      </c>
    </row>
    <row r="63" spans="1:15" s="309" customFormat="1" ht="13.5" customHeight="1" x14ac:dyDescent="0.2">
      <c r="A63" s="735" t="s">
        <v>319</v>
      </c>
      <c r="B63" s="736" t="s">
        <v>320</v>
      </c>
      <c r="C63" s="750">
        <v>0</v>
      </c>
      <c r="D63" s="750">
        <v>0</v>
      </c>
      <c r="E63" s="750">
        <v>0</v>
      </c>
      <c r="F63" s="750">
        <v>0</v>
      </c>
      <c r="G63" s="750">
        <v>0</v>
      </c>
      <c r="H63" s="750">
        <v>0</v>
      </c>
      <c r="I63" s="750">
        <v>0</v>
      </c>
      <c r="J63" s="750">
        <v>0</v>
      </c>
      <c r="K63" s="750">
        <v>0</v>
      </c>
      <c r="L63" s="743">
        <v>0</v>
      </c>
      <c r="M63" s="743">
        <v>0</v>
      </c>
      <c r="N63" s="800">
        <v>0</v>
      </c>
      <c r="O63" s="749">
        <f t="shared" si="2"/>
        <v>0</v>
      </c>
    </row>
    <row r="64" spans="1:15" s="309" customFormat="1" ht="13.5" customHeight="1" x14ac:dyDescent="0.2">
      <c r="A64" s="735" t="s">
        <v>321</v>
      </c>
      <c r="B64" s="736" t="s">
        <v>322</v>
      </c>
      <c r="C64" s="750">
        <v>0</v>
      </c>
      <c r="D64" s="750">
        <v>0</v>
      </c>
      <c r="E64" s="750">
        <v>0</v>
      </c>
      <c r="F64" s="750">
        <v>0</v>
      </c>
      <c r="G64" s="750">
        <v>0</v>
      </c>
      <c r="H64" s="750">
        <v>0</v>
      </c>
      <c r="I64" s="750">
        <v>0</v>
      </c>
      <c r="J64" s="750">
        <v>0</v>
      </c>
      <c r="K64" s="750">
        <v>0</v>
      </c>
      <c r="L64" s="743">
        <v>0</v>
      </c>
      <c r="M64" s="743">
        <v>0</v>
      </c>
      <c r="N64" s="800">
        <v>0</v>
      </c>
      <c r="O64" s="749">
        <f t="shared" si="2"/>
        <v>0</v>
      </c>
    </row>
    <row r="65" spans="1:15" s="309" customFormat="1" ht="13.5" customHeight="1" x14ac:dyDescent="0.2">
      <c r="A65" s="735" t="s">
        <v>323</v>
      </c>
      <c r="B65" s="736" t="s">
        <v>324</v>
      </c>
      <c r="C65" s="750">
        <v>0</v>
      </c>
      <c r="D65" s="750">
        <v>37.24</v>
      </c>
      <c r="E65" s="750">
        <v>248.73</v>
      </c>
      <c r="F65" s="750">
        <v>28.1</v>
      </c>
      <c r="G65" s="750">
        <v>90.48</v>
      </c>
      <c r="H65" s="750">
        <v>233.24</v>
      </c>
      <c r="I65" s="750">
        <v>156.6</v>
      </c>
      <c r="J65" s="750">
        <v>698.61</v>
      </c>
      <c r="K65" s="750">
        <v>189.92</v>
      </c>
      <c r="L65" s="743">
        <v>40</v>
      </c>
      <c r="M65" s="743">
        <v>40</v>
      </c>
      <c r="N65" s="800">
        <v>40</v>
      </c>
      <c r="O65" s="749">
        <f t="shared" si="2"/>
        <v>186.99111111111111</v>
      </c>
    </row>
    <row r="66" spans="1:15" s="322" customFormat="1" ht="13.5" customHeight="1" x14ac:dyDescent="0.2">
      <c r="A66" s="735" t="s">
        <v>325</v>
      </c>
      <c r="B66" s="736" t="s">
        <v>326</v>
      </c>
      <c r="C66" s="750">
        <v>910</v>
      </c>
      <c r="D66" s="750">
        <v>3963.43</v>
      </c>
      <c r="E66" s="750">
        <v>16220.02</v>
      </c>
      <c r="F66" s="750">
        <v>980</v>
      </c>
      <c r="G66" s="750">
        <v>1750</v>
      </c>
      <c r="H66" s="750">
        <v>4651.1899999999996</v>
      </c>
      <c r="I66" s="750">
        <v>8282.61</v>
      </c>
      <c r="J66" s="750">
        <v>7896.21</v>
      </c>
      <c r="K66" s="750">
        <v>22001.3</v>
      </c>
      <c r="L66" s="743">
        <v>1260</v>
      </c>
      <c r="M66" s="743">
        <v>840</v>
      </c>
      <c r="N66" s="800">
        <v>840</v>
      </c>
      <c r="O66" s="749">
        <f t="shared" si="2"/>
        <v>7406.0844444444438</v>
      </c>
    </row>
    <row r="67" spans="1:15" s="309" customFormat="1" ht="13.5" customHeight="1" x14ac:dyDescent="0.2">
      <c r="A67" s="735" t="s">
        <v>327</v>
      </c>
      <c r="B67" s="736" t="s">
        <v>328</v>
      </c>
      <c r="C67" s="750">
        <v>0</v>
      </c>
      <c r="D67" s="750">
        <v>0</v>
      </c>
      <c r="E67" s="750">
        <v>0</v>
      </c>
      <c r="F67" s="750">
        <v>119.36</v>
      </c>
      <c r="G67" s="750">
        <v>240.64</v>
      </c>
      <c r="H67" s="750">
        <v>59.68</v>
      </c>
      <c r="I67" s="750">
        <v>0</v>
      </c>
      <c r="J67" s="750">
        <v>546.88</v>
      </c>
      <c r="K67" s="750">
        <v>0</v>
      </c>
      <c r="L67" s="743">
        <v>0</v>
      </c>
      <c r="M67" s="743">
        <v>0</v>
      </c>
      <c r="N67" s="800">
        <v>0</v>
      </c>
      <c r="O67" s="749">
        <f t="shared" si="2"/>
        <v>107.39555555555555</v>
      </c>
    </row>
    <row r="68" spans="1:15" s="309" customFormat="1" ht="13.5" customHeight="1" x14ac:dyDescent="0.2">
      <c r="A68" s="735" t="s">
        <v>329</v>
      </c>
      <c r="B68" s="736" t="s">
        <v>330</v>
      </c>
      <c r="C68" s="750">
        <v>0</v>
      </c>
      <c r="D68" s="750">
        <v>0</v>
      </c>
      <c r="E68" s="750">
        <v>0</v>
      </c>
      <c r="F68" s="750">
        <v>0</v>
      </c>
      <c r="G68" s="750">
        <v>0</v>
      </c>
      <c r="H68" s="750">
        <v>0</v>
      </c>
      <c r="I68" s="750">
        <v>0</v>
      </c>
      <c r="J68" s="750">
        <v>0</v>
      </c>
      <c r="K68" s="750">
        <v>0</v>
      </c>
      <c r="L68" s="743">
        <v>0</v>
      </c>
      <c r="M68" s="743">
        <v>0</v>
      </c>
      <c r="N68" s="800">
        <v>0</v>
      </c>
      <c r="O68" s="749">
        <f t="shared" si="2"/>
        <v>0</v>
      </c>
    </row>
    <row r="69" spans="1:15" s="309" customFormat="1" ht="13.5" customHeight="1" x14ac:dyDescent="0.2">
      <c r="A69" s="735" t="s">
        <v>331</v>
      </c>
      <c r="B69" s="736" t="s">
        <v>70</v>
      </c>
      <c r="C69" s="750">
        <v>4.7300000000000004</v>
      </c>
      <c r="D69" s="750">
        <v>44.04</v>
      </c>
      <c r="E69" s="750">
        <v>24.13</v>
      </c>
      <c r="F69" s="750">
        <v>20.94</v>
      </c>
      <c r="G69" s="750">
        <v>154.56</v>
      </c>
      <c r="H69" s="750">
        <v>15.63</v>
      </c>
      <c r="I69" s="750">
        <v>246.15</v>
      </c>
      <c r="J69" s="750">
        <v>646.15</v>
      </c>
      <c r="K69" s="750">
        <v>615.38</v>
      </c>
      <c r="L69" s="743">
        <v>50</v>
      </c>
      <c r="M69" s="743">
        <v>50</v>
      </c>
      <c r="N69" s="800">
        <v>50</v>
      </c>
      <c r="O69" s="749">
        <f t="shared" si="2"/>
        <v>196.85666666666668</v>
      </c>
    </row>
    <row r="70" spans="1:15" s="309" customFormat="1" ht="13.5" customHeight="1" x14ac:dyDescent="0.2">
      <c r="A70" s="735" t="s">
        <v>332</v>
      </c>
      <c r="B70" s="736" t="s">
        <v>71</v>
      </c>
      <c r="C70" s="750">
        <v>457.64</v>
      </c>
      <c r="D70" s="750">
        <v>457.64</v>
      </c>
      <c r="E70" s="750">
        <v>457.64</v>
      </c>
      <c r="F70" s="750">
        <v>457.64</v>
      </c>
      <c r="G70" s="750">
        <v>339.3</v>
      </c>
      <c r="H70" s="750">
        <v>339.3</v>
      </c>
      <c r="I70" s="750">
        <v>339.3</v>
      </c>
      <c r="J70" s="750">
        <v>339.3</v>
      </c>
      <c r="K70" s="750">
        <v>339.3</v>
      </c>
      <c r="L70" s="743">
        <v>530</v>
      </c>
      <c r="M70" s="743">
        <v>530</v>
      </c>
      <c r="N70" s="800">
        <v>530</v>
      </c>
      <c r="O70" s="749">
        <f t="shared" si="2"/>
        <v>391.89555555555563</v>
      </c>
    </row>
    <row r="71" spans="1:15" s="309" customFormat="1" ht="13.5" customHeight="1" x14ac:dyDescent="0.2">
      <c r="A71" s="735" t="s">
        <v>333</v>
      </c>
      <c r="B71" s="736" t="s">
        <v>334</v>
      </c>
      <c r="C71" s="750">
        <v>0</v>
      </c>
      <c r="D71" s="750">
        <v>0</v>
      </c>
      <c r="E71" s="750">
        <v>0</v>
      </c>
      <c r="F71" s="750">
        <v>0</v>
      </c>
      <c r="G71" s="750">
        <v>0</v>
      </c>
      <c r="H71" s="750">
        <v>0</v>
      </c>
      <c r="I71" s="750">
        <v>0</v>
      </c>
      <c r="J71" s="750">
        <v>0</v>
      </c>
      <c r="K71" s="750">
        <v>0</v>
      </c>
      <c r="L71" s="743">
        <v>0</v>
      </c>
      <c r="M71" s="743">
        <v>0</v>
      </c>
      <c r="N71" s="800">
        <v>0</v>
      </c>
      <c r="O71" s="749">
        <f t="shared" si="2"/>
        <v>0</v>
      </c>
    </row>
    <row r="72" spans="1:15" s="309" customFormat="1" ht="13.5" customHeight="1" x14ac:dyDescent="0.2">
      <c r="A72" s="735" t="s">
        <v>335</v>
      </c>
      <c r="B72" s="736" t="s">
        <v>73</v>
      </c>
      <c r="C72" s="750">
        <v>0</v>
      </c>
      <c r="D72" s="750">
        <v>0</v>
      </c>
      <c r="E72" s="750">
        <v>0</v>
      </c>
      <c r="F72" s="750">
        <v>0</v>
      </c>
      <c r="G72" s="750">
        <v>302.91000000000003</v>
      </c>
      <c r="H72" s="750">
        <v>302.91000000000003</v>
      </c>
      <c r="I72" s="750">
        <v>302.91000000000003</v>
      </c>
      <c r="J72" s="750">
        <v>302.91000000000003</v>
      </c>
      <c r="K72" s="750">
        <v>302.91000000000003</v>
      </c>
      <c r="L72" s="743">
        <v>230</v>
      </c>
      <c r="M72" s="743">
        <v>230</v>
      </c>
      <c r="N72" s="800">
        <v>230</v>
      </c>
      <c r="O72" s="749">
        <f t="shared" si="2"/>
        <v>168.28333333333336</v>
      </c>
    </row>
    <row r="73" spans="1:15" s="309" customFormat="1" ht="13.5" customHeight="1" x14ac:dyDescent="0.2">
      <c r="A73" s="735" t="s">
        <v>336</v>
      </c>
      <c r="B73" s="736" t="s">
        <v>337</v>
      </c>
      <c r="C73" s="750">
        <v>0</v>
      </c>
      <c r="D73" s="750">
        <v>0</v>
      </c>
      <c r="E73" s="750">
        <v>0</v>
      </c>
      <c r="F73" s="750">
        <v>0</v>
      </c>
      <c r="G73" s="750">
        <v>0</v>
      </c>
      <c r="H73" s="750">
        <v>0</v>
      </c>
      <c r="I73" s="750">
        <v>0</v>
      </c>
      <c r="J73" s="750">
        <v>0</v>
      </c>
      <c r="K73" s="750">
        <v>0</v>
      </c>
      <c r="L73" s="743">
        <v>0</v>
      </c>
      <c r="M73" s="743">
        <v>0</v>
      </c>
      <c r="N73" s="800">
        <v>0</v>
      </c>
      <c r="O73" s="749">
        <f t="shared" si="2"/>
        <v>0</v>
      </c>
    </row>
    <row r="74" spans="1:15" s="309" customFormat="1" ht="13.5" customHeight="1" x14ac:dyDescent="0.2">
      <c r="A74" s="735" t="s">
        <v>338</v>
      </c>
      <c r="B74" s="736" t="s">
        <v>339</v>
      </c>
      <c r="C74" s="750">
        <v>0</v>
      </c>
      <c r="D74" s="750">
        <v>0</v>
      </c>
      <c r="E74" s="750">
        <v>0</v>
      </c>
      <c r="F74" s="750">
        <v>0</v>
      </c>
      <c r="G74" s="750">
        <v>0</v>
      </c>
      <c r="H74" s="750">
        <v>0</v>
      </c>
      <c r="I74" s="750">
        <v>0</v>
      </c>
      <c r="J74" s="750">
        <v>0</v>
      </c>
      <c r="K74" s="750">
        <v>0</v>
      </c>
      <c r="L74" s="743">
        <v>0</v>
      </c>
      <c r="M74" s="743">
        <v>0</v>
      </c>
      <c r="N74" s="800">
        <v>0</v>
      </c>
      <c r="O74" s="749">
        <f t="shared" si="2"/>
        <v>0</v>
      </c>
    </row>
    <row r="75" spans="1:15" s="309" customFormat="1" ht="13.5" customHeight="1" x14ac:dyDescent="0.2">
      <c r="A75" s="735" t="s">
        <v>340</v>
      </c>
      <c r="B75" s="736" t="s">
        <v>341</v>
      </c>
      <c r="C75" s="750">
        <v>0</v>
      </c>
      <c r="D75" s="750">
        <v>0</v>
      </c>
      <c r="E75" s="750">
        <v>0</v>
      </c>
      <c r="F75" s="750">
        <v>0</v>
      </c>
      <c r="G75" s="750">
        <v>0</v>
      </c>
      <c r="H75" s="750">
        <v>0</v>
      </c>
      <c r="I75" s="750">
        <v>0</v>
      </c>
      <c r="J75" s="750">
        <v>0</v>
      </c>
      <c r="K75" s="750">
        <v>0</v>
      </c>
      <c r="L75" s="743">
        <v>0</v>
      </c>
      <c r="M75" s="743">
        <v>0</v>
      </c>
      <c r="N75" s="800">
        <v>1500</v>
      </c>
      <c r="O75" s="749">
        <f t="shared" ref="O75:O96" si="19">+AVERAGE(C75:K75)</f>
        <v>0</v>
      </c>
    </row>
    <row r="76" spans="1:15" s="309" customFormat="1" ht="13.5" customHeight="1" x14ac:dyDescent="0.2">
      <c r="A76" s="735" t="s">
        <v>342</v>
      </c>
      <c r="B76" s="736" t="s">
        <v>74</v>
      </c>
      <c r="C76" s="750">
        <v>0</v>
      </c>
      <c r="D76" s="750">
        <v>0</v>
      </c>
      <c r="E76" s="750">
        <v>0</v>
      </c>
      <c r="F76" s="750">
        <v>0</v>
      </c>
      <c r="G76" s="750">
        <v>0</v>
      </c>
      <c r="H76" s="750">
        <v>0</v>
      </c>
      <c r="I76" s="750">
        <v>0</v>
      </c>
      <c r="J76" s="750">
        <v>0</v>
      </c>
      <c r="K76" s="750">
        <v>0</v>
      </c>
      <c r="L76" s="743">
        <v>0</v>
      </c>
      <c r="M76" s="743">
        <v>0</v>
      </c>
      <c r="N76" s="800">
        <v>0</v>
      </c>
      <c r="O76" s="749">
        <f t="shared" si="19"/>
        <v>0</v>
      </c>
    </row>
    <row r="77" spans="1:15" s="309" customFormat="1" ht="13.5" customHeight="1" x14ac:dyDescent="0.2">
      <c r="A77" s="735" t="s">
        <v>343</v>
      </c>
      <c r="B77" s="736" t="s">
        <v>75</v>
      </c>
      <c r="C77" s="750">
        <v>0</v>
      </c>
      <c r="D77" s="750">
        <v>0</v>
      </c>
      <c r="E77" s="750">
        <v>0</v>
      </c>
      <c r="F77" s="750">
        <v>0</v>
      </c>
      <c r="G77" s="750">
        <v>0</v>
      </c>
      <c r="H77" s="750">
        <v>0</v>
      </c>
      <c r="I77" s="750">
        <v>0</v>
      </c>
      <c r="J77" s="750">
        <v>0</v>
      </c>
      <c r="K77" s="750">
        <v>0</v>
      </c>
      <c r="L77" s="743">
        <v>0</v>
      </c>
      <c r="M77" s="743">
        <v>0</v>
      </c>
      <c r="N77" s="800">
        <v>0</v>
      </c>
      <c r="O77" s="749">
        <f t="shared" si="19"/>
        <v>0</v>
      </c>
    </row>
    <row r="78" spans="1:15" s="309" customFormat="1" ht="13.5" customHeight="1" x14ac:dyDescent="0.2">
      <c r="A78" s="735" t="s">
        <v>344</v>
      </c>
      <c r="B78" s="736" t="s">
        <v>345</v>
      </c>
      <c r="C78" s="750">
        <v>0</v>
      </c>
      <c r="D78" s="750">
        <v>0</v>
      </c>
      <c r="E78" s="750">
        <v>0</v>
      </c>
      <c r="F78" s="750">
        <v>0</v>
      </c>
      <c r="G78" s="750">
        <v>0</v>
      </c>
      <c r="H78" s="750">
        <v>0</v>
      </c>
      <c r="I78" s="750">
        <v>0</v>
      </c>
      <c r="J78" s="750">
        <v>0</v>
      </c>
      <c r="K78" s="750">
        <v>0</v>
      </c>
      <c r="L78" s="743">
        <v>0</v>
      </c>
      <c r="M78" s="743">
        <v>0</v>
      </c>
      <c r="N78" s="800">
        <v>0</v>
      </c>
      <c r="O78" s="749">
        <f t="shared" si="19"/>
        <v>0</v>
      </c>
    </row>
    <row r="79" spans="1:15" s="309" customFormat="1" ht="13.5" customHeight="1" x14ac:dyDescent="0.2">
      <c r="A79" s="735" t="s">
        <v>346</v>
      </c>
      <c r="B79" s="736" t="s">
        <v>347</v>
      </c>
      <c r="C79" s="750">
        <v>0</v>
      </c>
      <c r="D79" s="750">
        <v>0</v>
      </c>
      <c r="E79" s="750">
        <v>0</v>
      </c>
      <c r="F79" s="750">
        <v>0</v>
      </c>
      <c r="G79" s="750">
        <v>0</v>
      </c>
      <c r="H79" s="750">
        <v>0</v>
      </c>
      <c r="I79" s="750">
        <v>0</v>
      </c>
      <c r="J79" s="750">
        <v>0</v>
      </c>
      <c r="K79" s="750">
        <v>0</v>
      </c>
      <c r="L79" s="743">
        <v>0</v>
      </c>
      <c r="M79" s="743">
        <v>0</v>
      </c>
      <c r="N79" s="800">
        <v>0</v>
      </c>
      <c r="O79" s="749">
        <f t="shared" si="19"/>
        <v>0</v>
      </c>
    </row>
    <row r="80" spans="1:15" s="309" customFormat="1" ht="13.5" customHeight="1" x14ac:dyDescent="0.2">
      <c r="A80" s="735" t="s">
        <v>348</v>
      </c>
      <c r="B80" s="736" t="s">
        <v>242</v>
      </c>
      <c r="C80" s="750">
        <v>0</v>
      </c>
      <c r="D80" s="750">
        <v>0</v>
      </c>
      <c r="E80" s="750">
        <v>0</v>
      </c>
      <c r="F80" s="750">
        <v>0</v>
      </c>
      <c r="G80" s="750">
        <v>0</v>
      </c>
      <c r="H80" s="750">
        <v>0</v>
      </c>
      <c r="I80" s="750">
        <v>0</v>
      </c>
      <c r="J80" s="750">
        <v>0</v>
      </c>
      <c r="K80" s="750">
        <v>0</v>
      </c>
      <c r="L80" s="743">
        <v>0</v>
      </c>
      <c r="M80" s="743">
        <v>0</v>
      </c>
      <c r="N80" s="800">
        <v>0</v>
      </c>
      <c r="O80" s="749">
        <f t="shared" si="19"/>
        <v>0</v>
      </c>
    </row>
    <row r="81" spans="1:15" s="309" customFormat="1" ht="13.5" customHeight="1" x14ac:dyDescent="0.2">
      <c r="A81" s="735" t="s">
        <v>349</v>
      </c>
      <c r="B81" s="736" t="s">
        <v>69</v>
      </c>
      <c r="C81" s="750">
        <v>0</v>
      </c>
      <c r="D81" s="750">
        <v>0</v>
      </c>
      <c r="E81" s="750">
        <v>0</v>
      </c>
      <c r="F81" s="750">
        <v>0</v>
      </c>
      <c r="G81" s="750">
        <v>0</v>
      </c>
      <c r="H81" s="750">
        <v>0</v>
      </c>
      <c r="I81" s="750">
        <v>278.39999999999998</v>
      </c>
      <c r="J81" s="750">
        <v>0</v>
      </c>
      <c r="K81" s="750">
        <v>0</v>
      </c>
      <c r="L81" s="743">
        <v>200</v>
      </c>
      <c r="M81" s="743">
        <v>200</v>
      </c>
      <c r="N81" s="800">
        <v>200</v>
      </c>
      <c r="O81" s="749">
        <f t="shared" si="19"/>
        <v>30.93333333333333</v>
      </c>
    </row>
    <row r="82" spans="1:15" s="309" customFormat="1" ht="13.5" customHeight="1" x14ac:dyDescent="0.2">
      <c r="A82" s="735" t="s">
        <v>349</v>
      </c>
      <c r="B82" s="736" t="s">
        <v>77</v>
      </c>
      <c r="C82" s="750">
        <v>1213.4450000000002</v>
      </c>
      <c r="D82" s="750">
        <v>1369.1015000000004</v>
      </c>
      <c r="E82" s="750">
        <v>6689.0734999999986</v>
      </c>
      <c r="F82" s="750">
        <v>1863.76</v>
      </c>
      <c r="G82" s="750">
        <v>1587.6575000000003</v>
      </c>
      <c r="H82" s="750">
        <v>6850.8345000000018</v>
      </c>
      <c r="I82" s="750">
        <v>2714.3040000000001</v>
      </c>
      <c r="J82" s="750">
        <v>2594.8200000000002</v>
      </c>
      <c r="K82" s="750">
        <v>8336.1820000000007</v>
      </c>
      <c r="L82" s="743">
        <v>2414.0040599300005</v>
      </c>
      <c r="M82" s="743">
        <v>2292.6650599300006</v>
      </c>
      <c r="N82" s="800">
        <v>7530.8540599300004</v>
      </c>
      <c r="O82" s="749">
        <f t="shared" si="19"/>
        <v>3691.0197777777776</v>
      </c>
    </row>
    <row r="83" spans="1:15" s="294" customFormat="1" ht="13.5" customHeight="1" x14ac:dyDescent="0.2">
      <c r="A83" s="735" t="s">
        <v>349</v>
      </c>
      <c r="B83" s="736" t="s">
        <v>79</v>
      </c>
      <c r="C83" s="750">
        <v>4490.2</v>
      </c>
      <c r="D83" s="750">
        <v>4755.43</v>
      </c>
      <c r="E83" s="750">
        <v>5819.47</v>
      </c>
      <c r="F83" s="750">
        <v>5343.61</v>
      </c>
      <c r="G83" s="750">
        <v>5600.589500000001</v>
      </c>
      <c r="H83" s="750">
        <v>5941.7800000000016</v>
      </c>
      <c r="I83" s="750">
        <v>5281.3069999999998</v>
      </c>
      <c r="J83" s="750">
        <v>5458.313000000001</v>
      </c>
      <c r="K83" s="750">
        <v>5353.3154999999997</v>
      </c>
      <c r="L83" s="743">
        <v>5921.8960000000006</v>
      </c>
      <c r="M83" s="743">
        <v>5525.1755000000003</v>
      </c>
      <c r="N83" s="800">
        <v>5412.2250000000004</v>
      </c>
      <c r="O83" s="749">
        <f t="shared" si="19"/>
        <v>5338.2238888888896</v>
      </c>
    </row>
    <row r="84" spans="1:15" s="294" customFormat="1" ht="13.5" customHeight="1" x14ac:dyDescent="0.2">
      <c r="A84" s="735" t="s">
        <v>350</v>
      </c>
      <c r="B84" s="736" t="s">
        <v>351</v>
      </c>
      <c r="C84" s="750">
        <v>0</v>
      </c>
      <c r="D84" s="750">
        <v>0</v>
      </c>
      <c r="E84" s="750">
        <v>0</v>
      </c>
      <c r="F84" s="750">
        <v>0</v>
      </c>
      <c r="G84" s="750">
        <v>0</v>
      </c>
      <c r="H84" s="750">
        <v>0</v>
      </c>
      <c r="I84" s="750">
        <v>0</v>
      </c>
      <c r="J84" s="750">
        <v>0</v>
      </c>
      <c r="K84" s="750">
        <v>0</v>
      </c>
      <c r="L84" s="743">
        <v>0</v>
      </c>
      <c r="M84" s="743">
        <v>0</v>
      </c>
      <c r="N84" s="800">
        <v>0</v>
      </c>
      <c r="O84" s="749">
        <f t="shared" si="19"/>
        <v>0</v>
      </c>
    </row>
    <row r="85" spans="1:15" s="309" customFormat="1" ht="13.5" customHeight="1" x14ac:dyDescent="0.2">
      <c r="A85" s="725" t="s">
        <v>354</v>
      </c>
      <c r="B85" s="726" t="s">
        <v>355</v>
      </c>
      <c r="C85" s="727">
        <f>C86+C88+C90+C92+C94</f>
        <v>0</v>
      </c>
      <c r="D85" s="727">
        <f t="shared" ref="D85:N85" si="20">D86+D88+D90+D92+D94</f>
        <v>0</v>
      </c>
      <c r="E85" s="727">
        <f t="shared" si="20"/>
        <v>0</v>
      </c>
      <c r="F85" s="727">
        <f t="shared" si="20"/>
        <v>0</v>
      </c>
      <c r="G85" s="727">
        <f t="shared" si="20"/>
        <v>0</v>
      </c>
      <c r="H85" s="727">
        <f t="shared" si="20"/>
        <v>0</v>
      </c>
      <c r="I85" s="727">
        <f t="shared" si="20"/>
        <v>0</v>
      </c>
      <c r="J85" s="727">
        <f t="shared" si="20"/>
        <v>0</v>
      </c>
      <c r="K85" s="727">
        <f t="shared" si="20"/>
        <v>0</v>
      </c>
      <c r="L85" s="727">
        <f t="shared" si="20"/>
        <v>0</v>
      </c>
      <c r="M85" s="727">
        <f t="shared" si="20"/>
        <v>0</v>
      </c>
      <c r="N85" s="794">
        <f t="shared" si="20"/>
        <v>0</v>
      </c>
      <c r="O85" s="729">
        <f t="shared" si="19"/>
        <v>0</v>
      </c>
    </row>
    <row r="86" spans="1:15" s="309" customFormat="1" ht="13.5" customHeight="1" x14ac:dyDescent="0.2">
      <c r="A86" s="758" t="s">
        <v>356</v>
      </c>
      <c r="B86" s="732" t="s">
        <v>357</v>
      </c>
      <c r="C86" s="733">
        <f>C87</f>
        <v>0</v>
      </c>
      <c r="D86" s="733">
        <f t="shared" ref="D86:N86" si="21">D87</f>
        <v>0</v>
      </c>
      <c r="E86" s="733">
        <f t="shared" si="21"/>
        <v>0</v>
      </c>
      <c r="F86" s="733">
        <f t="shared" si="21"/>
        <v>0</v>
      </c>
      <c r="G86" s="733">
        <f t="shared" si="21"/>
        <v>0</v>
      </c>
      <c r="H86" s="733">
        <f t="shared" si="21"/>
        <v>0</v>
      </c>
      <c r="I86" s="733">
        <f t="shared" si="21"/>
        <v>0</v>
      </c>
      <c r="J86" s="733">
        <f t="shared" si="21"/>
        <v>0</v>
      </c>
      <c r="K86" s="733">
        <f t="shared" si="21"/>
        <v>0</v>
      </c>
      <c r="L86" s="733">
        <f t="shared" si="21"/>
        <v>0</v>
      </c>
      <c r="M86" s="733">
        <f t="shared" si="21"/>
        <v>0</v>
      </c>
      <c r="N86" s="795">
        <f t="shared" si="21"/>
        <v>0</v>
      </c>
      <c r="O86" s="734">
        <f t="shared" si="19"/>
        <v>0</v>
      </c>
    </row>
    <row r="87" spans="1:15" s="309" customFormat="1" ht="13.5" customHeight="1" x14ac:dyDescent="0.2">
      <c r="A87" s="735" t="s">
        <v>358</v>
      </c>
      <c r="B87" s="736" t="s">
        <v>359</v>
      </c>
      <c r="C87" s="761">
        <v>0</v>
      </c>
      <c r="D87" s="761">
        <v>0</v>
      </c>
      <c r="E87" s="761">
        <v>0</v>
      </c>
      <c r="F87" s="761">
        <v>0</v>
      </c>
      <c r="G87" s="761">
        <v>0</v>
      </c>
      <c r="H87" s="761">
        <v>0</v>
      </c>
      <c r="I87" s="761">
        <v>0</v>
      </c>
      <c r="J87" s="761">
        <v>0</v>
      </c>
      <c r="K87" s="761">
        <v>0</v>
      </c>
      <c r="L87" s="761">
        <v>0</v>
      </c>
      <c r="M87" s="761">
        <v>0</v>
      </c>
      <c r="N87" s="803">
        <v>0</v>
      </c>
      <c r="O87" s="762">
        <f t="shared" si="19"/>
        <v>0</v>
      </c>
    </row>
    <row r="88" spans="1:15" s="309" customFormat="1" ht="13.5" customHeight="1" x14ac:dyDescent="0.2">
      <c r="A88" s="758" t="s">
        <v>360</v>
      </c>
      <c r="B88" s="732" t="s">
        <v>361</v>
      </c>
      <c r="C88" s="733">
        <f>C89</f>
        <v>0</v>
      </c>
      <c r="D88" s="733">
        <f t="shared" ref="D88:N88" si="22">D89</f>
        <v>0</v>
      </c>
      <c r="E88" s="733">
        <f t="shared" si="22"/>
        <v>0</v>
      </c>
      <c r="F88" s="733">
        <f t="shared" si="22"/>
        <v>0</v>
      </c>
      <c r="G88" s="733">
        <f t="shared" si="22"/>
        <v>0</v>
      </c>
      <c r="H88" s="733">
        <f t="shared" si="22"/>
        <v>0</v>
      </c>
      <c r="I88" s="733">
        <f t="shared" si="22"/>
        <v>0</v>
      </c>
      <c r="J88" s="733">
        <f t="shared" si="22"/>
        <v>0</v>
      </c>
      <c r="K88" s="733">
        <f t="shared" si="22"/>
        <v>0</v>
      </c>
      <c r="L88" s="733">
        <f t="shared" si="22"/>
        <v>0</v>
      </c>
      <c r="M88" s="733">
        <f t="shared" si="22"/>
        <v>0</v>
      </c>
      <c r="N88" s="795">
        <f t="shared" si="22"/>
        <v>0</v>
      </c>
      <c r="O88" s="734">
        <f t="shared" si="19"/>
        <v>0</v>
      </c>
    </row>
    <row r="89" spans="1:15" s="294" customFormat="1" ht="13.5" customHeight="1" x14ac:dyDescent="0.2">
      <c r="A89" s="735" t="s">
        <v>362</v>
      </c>
      <c r="B89" s="736" t="s">
        <v>363</v>
      </c>
      <c r="C89" s="761">
        <v>0</v>
      </c>
      <c r="D89" s="761">
        <v>0</v>
      </c>
      <c r="E89" s="761">
        <v>0</v>
      </c>
      <c r="F89" s="761">
        <v>0</v>
      </c>
      <c r="G89" s="761">
        <v>0</v>
      </c>
      <c r="H89" s="761">
        <v>0</v>
      </c>
      <c r="I89" s="761">
        <v>0</v>
      </c>
      <c r="J89" s="761">
        <v>0</v>
      </c>
      <c r="K89" s="761">
        <v>0</v>
      </c>
      <c r="L89" s="761">
        <v>0</v>
      </c>
      <c r="M89" s="761">
        <v>0</v>
      </c>
      <c r="N89" s="803">
        <v>0</v>
      </c>
      <c r="O89" s="762">
        <f t="shared" si="19"/>
        <v>0</v>
      </c>
    </row>
    <row r="90" spans="1:15" s="309" customFormat="1" ht="13.5" customHeight="1" x14ac:dyDescent="0.2">
      <c r="A90" s="758" t="s">
        <v>364</v>
      </c>
      <c r="B90" s="732" t="s">
        <v>365</v>
      </c>
      <c r="C90" s="733">
        <f>C91</f>
        <v>0</v>
      </c>
      <c r="D90" s="733">
        <f t="shared" ref="D90:N90" si="23">D91</f>
        <v>0</v>
      </c>
      <c r="E90" s="733">
        <f t="shared" si="23"/>
        <v>0</v>
      </c>
      <c r="F90" s="733">
        <f t="shared" si="23"/>
        <v>0</v>
      </c>
      <c r="G90" s="733">
        <f t="shared" si="23"/>
        <v>0</v>
      </c>
      <c r="H90" s="733">
        <f t="shared" si="23"/>
        <v>0</v>
      </c>
      <c r="I90" s="733">
        <f t="shared" si="23"/>
        <v>0</v>
      </c>
      <c r="J90" s="733">
        <f t="shared" si="23"/>
        <v>0</v>
      </c>
      <c r="K90" s="733">
        <f t="shared" si="23"/>
        <v>0</v>
      </c>
      <c r="L90" s="733">
        <f t="shared" si="23"/>
        <v>0</v>
      </c>
      <c r="M90" s="733">
        <f t="shared" si="23"/>
        <v>0</v>
      </c>
      <c r="N90" s="795">
        <f t="shared" si="23"/>
        <v>0</v>
      </c>
      <c r="O90" s="734">
        <f t="shared" si="19"/>
        <v>0</v>
      </c>
    </row>
    <row r="91" spans="1:15" s="294" customFormat="1" ht="13.5" customHeight="1" x14ac:dyDescent="0.2">
      <c r="A91" s="735" t="s">
        <v>366</v>
      </c>
      <c r="B91" s="736" t="s">
        <v>367</v>
      </c>
      <c r="C91" s="761">
        <v>0</v>
      </c>
      <c r="D91" s="761">
        <v>0</v>
      </c>
      <c r="E91" s="761">
        <v>0</v>
      </c>
      <c r="F91" s="761">
        <v>0</v>
      </c>
      <c r="G91" s="761">
        <v>0</v>
      </c>
      <c r="H91" s="761">
        <v>0</v>
      </c>
      <c r="I91" s="761">
        <v>0</v>
      </c>
      <c r="J91" s="761">
        <v>0</v>
      </c>
      <c r="K91" s="761">
        <v>0</v>
      </c>
      <c r="L91" s="761">
        <v>0</v>
      </c>
      <c r="M91" s="761">
        <v>0</v>
      </c>
      <c r="N91" s="803">
        <v>0</v>
      </c>
      <c r="O91" s="762">
        <f t="shared" si="19"/>
        <v>0</v>
      </c>
    </row>
    <row r="92" spans="1:15" s="309" customFormat="1" ht="13.5" customHeight="1" x14ac:dyDescent="0.2">
      <c r="A92" s="758" t="s">
        <v>368</v>
      </c>
      <c r="B92" s="732" t="s">
        <v>369</v>
      </c>
      <c r="C92" s="733">
        <f>C93</f>
        <v>0</v>
      </c>
      <c r="D92" s="733">
        <f t="shared" ref="D92:N92" si="24">D93</f>
        <v>0</v>
      </c>
      <c r="E92" s="733">
        <f t="shared" si="24"/>
        <v>0</v>
      </c>
      <c r="F92" s="733">
        <f t="shared" si="24"/>
        <v>0</v>
      </c>
      <c r="G92" s="733">
        <f t="shared" si="24"/>
        <v>0</v>
      </c>
      <c r="H92" s="733">
        <f t="shared" si="24"/>
        <v>0</v>
      </c>
      <c r="I92" s="733">
        <f t="shared" si="24"/>
        <v>0</v>
      </c>
      <c r="J92" s="733">
        <f t="shared" si="24"/>
        <v>0</v>
      </c>
      <c r="K92" s="733">
        <f t="shared" si="24"/>
        <v>0</v>
      </c>
      <c r="L92" s="733">
        <f t="shared" si="24"/>
        <v>0</v>
      </c>
      <c r="M92" s="733">
        <f t="shared" si="24"/>
        <v>0</v>
      </c>
      <c r="N92" s="795">
        <f t="shared" si="24"/>
        <v>0</v>
      </c>
      <c r="O92" s="734">
        <f t="shared" si="19"/>
        <v>0</v>
      </c>
    </row>
    <row r="93" spans="1:15" s="294" customFormat="1" ht="13.5" customHeight="1" x14ac:dyDescent="0.2">
      <c r="A93" s="735" t="s">
        <v>370</v>
      </c>
      <c r="B93" s="736" t="s">
        <v>371</v>
      </c>
      <c r="C93" s="761">
        <v>0</v>
      </c>
      <c r="D93" s="761">
        <v>0</v>
      </c>
      <c r="E93" s="761">
        <v>0</v>
      </c>
      <c r="F93" s="761">
        <v>0</v>
      </c>
      <c r="G93" s="761">
        <v>0</v>
      </c>
      <c r="H93" s="761">
        <v>0</v>
      </c>
      <c r="I93" s="761">
        <v>0</v>
      </c>
      <c r="J93" s="761">
        <v>0</v>
      </c>
      <c r="K93" s="761">
        <v>0</v>
      </c>
      <c r="L93" s="761">
        <v>0</v>
      </c>
      <c r="M93" s="761">
        <v>0</v>
      </c>
      <c r="N93" s="803">
        <v>0</v>
      </c>
      <c r="O93" s="762">
        <f t="shared" si="19"/>
        <v>0</v>
      </c>
    </row>
    <row r="94" spans="1:15" s="294" customFormat="1" ht="13.5" customHeight="1" x14ac:dyDescent="0.2">
      <c r="A94" s="758" t="s">
        <v>372</v>
      </c>
      <c r="B94" s="732" t="s">
        <v>373</v>
      </c>
      <c r="C94" s="733">
        <f>C95</f>
        <v>0</v>
      </c>
      <c r="D94" s="733">
        <f t="shared" ref="D94:N94" si="25">D95</f>
        <v>0</v>
      </c>
      <c r="E94" s="733">
        <f t="shared" si="25"/>
        <v>0</v>
      </c>
      <c r="F94" s="733">
        <f t="shared" si="25"/>
        <v>0</v>
      </c>
      <c r="G94" s="733">
        <f t="shared" si="25"/>
        <v>0</v>
      </c>
      <c r="H94" s="733">
        <f t="shared" si="25"/>
        <v>0</v>
      </c>
      <c r="I94" s="733">
        <f t="shared" si="25"/>
        <v>0</v>
      </c>
      <c r="J94" s="733">
        <f t="shared" si="25"/>
        <v>0</v>
      </c>
      <c r="K94" s="733">
        <f t="shared" si="25"/>
        <v>0</v>
      </c>
      <c r="L94" s="733">
        <f t="shared" si="25"/>
        <v>0</v>
      </c>
      <c r="M94" s="733">
        <f t="shared" si="25"/>
        <v>0</v>
      </c>
      <c r="N94" s="795">
        <f t="shared" si="25"/>
        <v>0</v>
      </c>
      <c r="O94" s="734">
        <f t="shared" si="19"/>
        <v>0</v>
      </c>
    </row>
    <row r="95" spans="1:15" ht="13.5" customHeight="1" x14ac:dyDescent="0.25">
      <c r="A95" s="735" t="s">
        <v>374</v>
      </c>
      <c r="B95" s="736" t="s">
        <v>375</v>
      </c>
      <c r="C95" s="761">
        <v>0</v>
      </c>
      <c r="D95" s="761">
        <v>0</v>
      </c>
      <c r="E95" s="761">
        <v>0</v>
      </c>
      <c r="F95" s="761">
        <v>0</v>
      </c>
      <c r="G95" s="761">
        <v>0</v>
      </c>
      <c r="H95" s="761">
        <v>0</v>
      </c>
      <c r="I95" s="761">
        <v>0</v>
      </c>
      <c r="J95" s="761">
        <v>0</v>
      </c>
      <c r="K95" s="761">
        <v>0</v>
      </c>
      <c r="L95" s="761">
        <v>0</v>
      </c>
      <c r="M95" s="761">
        <v>0</v>
      </c>
      <c r="N95" s="803">
        <v>0</v>
      </c>
      <c r="O95" s="762">
        <f t="shared" si="19"/>
        <v>0</v>
      </c>
    </row>
    <row r="96" spans="1:15" ht="15.75" thickBot="1" x14ac:dyDescent="0.3">
      <c r="A96" s="763"/>
      <c r="B96" s="720" t="s">
        <v>376</v>
      </c>
      <c r="C96" s="721">
        <f t="shared" ref="C96:N96" si="26">C10-C33</f>
        <v>-19720.125</v>
      </c>
      <c r="D96" s="721">
        <f t="shared" si="26"/>
        <v>39360.526086206897</v>
      </c>
      <c r="E96" s="721">
        <f t="shared" si="26"/>
        <v>35875.616500000004</v>
      </c>
      <c r="F96" s="721">
        <f t="shared" si="26"/>
        <v>-16904.71</v>
      </c>
      <c r="G96" s="721">
        <f t="shared" si="26"/>
        <v>21428.573000000004</v>
      </c>
      <c r="H96" s="721">
        <f t="shared" si="26"/>
        <v>1396.6454999999914</v>
      </c>
      <c r="I96" s="721">
        <f t="shared" si="26"/>
        <v>10145.159</v>
      </c>
      <c r="J96" s="721">
        <f t="shared" si="26"/>
        <v>9692.3569999999963</v>
      </c>
      <c r="K96" s="721">
        <f t="shared" si="26"/>
        <v>40724.582500000004</v>
      </c>
      <c r="L96" s="721">
        <f t="shared" si="26"/>
        <v>-16146.182984598963</v>
      </c>
      <c r="M96" s="721">
        <f t="shared" si="26"/>
        <v>-43255.107622529998</v>
      </c>
      <c r="N96" s="774">
        <f t="shared" si="26"/>
        <v>76130.874567125182</v>
      </c>
      <c r="O96" s="764">
        <f t="shared" si="19"/>
        <v>13555.402731800767</v>
      </c>
    </row>
    <row r="97" spans="12:15" x14ac:dyDescent="0.25">
      <c r="L97" s="286"/>
      <c r="M97" s="286"/>
      <c r="O97" s="285"/>
    </row>
  </sheetData>
  <mergeCells count="15">
    <mergeCell ref="O8:O9"/>
    <mergeCell ref="K8:K9"/>
    <mergeCell ref="L8:L9"/>
    <mergeCell ref="M8:M9"/>
    <mergeCell ref="B1:N2"/>
    <mergeCell ref="A8:B9"/>
    <mergeCell ref="C8:C9"/>
    <mergeCell ref="E8:E9"/>
    <mergeCell ref="D8:D9"/>
    <mergeCell ref="I8:I9"/>
    <mergeCell ref="J8:J9"/>
    <mergeCell ref="F8:F9"/>
    <mergeCell ref="G8:G9"/>
    <mergeCell ref="H8:H9"/>
    <mergeCell ref="N8:N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  <pageSetUpPr fitToPage="1"/>
  </sheetPr>
  <dimension ref="A1:P89"/>
  <sheetViews>
    <sheetView zoomScaleNormal="100" workbookViewId="0">
      <selection activeCell="E44" sqref="E44"/>
    </sheetView>
  </sheetViews>
  <sheetFormatPr baseColWidth="10" defaultColWidth="11.42578125" defaultRowHeight="12.75" x14ac:dyDescent="0.2"/>
  <cols>
    <col min="1" max="1" width="4.5703125" style="30" bestFit="1" customWidth="1"/>
    <col min="2" max="2" width="18.7109375" style="404" customWidth="1"/>
    <col min="3" max="3" width="22.5703125" style="404" customWidth="1"/>
    <col min="4" max="4" width="17.140625" style="1" bestFit="1" customWidth="1"/>
    <col min="5" max="5" width="13.7109375" style="1" customWidth="1"/>
    <col min="6" max="6" width="14.140625" style="1" customWidth="1"/>
    <col min="7" max="7" width="13.7109375" style="1" customWidth="1"/>
    <col min="8" max="11" width="14.140625" style="1" customWidth="1"/>
    <col min="12" max="12" width="10.28515625" style="1" bestFit="1" customWidth="1"/>
    <col min="13" max="13" width="11.42578125" style="1" customWidth="1"/>
    <col min="14" max="14" width="19.28515625" style="1" customWidth="1"/>
    <col min="15" max="16384" width="11.42578125" style="1"/>
  </cols>
  <sheetData>
    <row r="1" spans="1:16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</row>
    <row r="2" spans="1:16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</row>
    <row r="3" spans="1:16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</row>
    <row r="4" spans="1:16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</row>
    <row r="5" spans="1:16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</row>
    <row r="6" spans="1:16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M6" s="2"/>
      <c r="N6" s="2"/>
      <c r="O6" s="2"/>
      <c r="P6" s="2"/>
    </row>
    <row r="7" spans="1:16" x14ac:dyDescent="0.2">
      <c r="B7" s="1"/>
      <c r="C7" s="1"/>
      <c r="D7" s="375" t="s">
        <v>26</v>
      </c>
      <c r="E7" s="375" t="s">
        <v>27</v>
      </c>
      <c r="F7" s="375" t="s">
        <v>53</v>
      </c>
      <c r="M7" s="2"/>
      <c r="N7" s="16" t="s">
        <v>28</v>
      </c>
      <c r="O7" s="17"/>
      <c r="P7" s="2"/>
    </row>
    <row r="8" spans="1:16" x14ac:dyDescent="0.2">
      <c r="B8" s="376" t="s">
        <v>29</v>
      </c>
      <c r="C8" s="353"/>
      <c r="D8" s="371"/>
      <c r="E8" s="371"/>
      <c r="F8" s="371">
        <v>1</v>
      </c>
      <c r="M8" s="2"/>
      <c r="N8" s="16"/>
      <c r="O8" s="17"/>
      <c r="P8" s="2"/>
    </row>
    <row r="9" spans="1:16" x14ac:dyDescent="0.2">
      <c r="B9" s="1031" t="s">
        <v>5</v>
      </c>
      <c r="C9" s="354"/>
      <c r="D9" s="371">
        <f>3*12</f>
        <v>36</v>
      </c>
      <c r="E9" s="372">
        <f>+D9/12</f>
        <v>3</v>
      </c>
      <c r="F9" s="373">
        <v>1</v>
      </c>
      <c r="M9" s="2"/>
      <c r="N9" s="16" t="s">
        <v>33</v>
      </c>
      <c r="O9" s="17"/>
      <c r="P9" s="2"/>
    </row>
    <row r="10" spans="1:16" x14ac:dyDescent="0.2">
      <c r="B10" s="1031"/>
      <c r="C10" s="354"/>
      <c r="D10" s="370">
        <f>(2+2+2+6+4+1+2)*3</f>
        <v>57</v>
      </c>
      <c r="E10" s="372">
        <f>+D10/12</f>
        <v>4.75</v>
      </c>
      <c r="F10" s="373">
        <v>1</v>
      </c>
      <c r="M10" s="2"/>
      <c r="N10" s="16"/>
      <c r="O10" s="17"/>
      <c r="P10" s="2"/>
    </row>
    <row r="11" spans="1:16" s="30" customFormat="1" ht="13.5" thickBot="1" x14ac:dyDescent="0.25">
      <c r="A11" s="27"/>
      <c r="B11" s="31"/>
      <c r="D11" s="374">
        <f>SUM(D8:D10)</f>
        <v>93</v>
      </c>
      <c r="E11" s="374">
        <f t="shared" ref="E11" si="0">SUM(E8:E10)</f>
        <v>7.75</v>
      </c>
      <c r="F11" s="374">
        <f>SUM(F8:F10)</f>
        <v>3</v>
      </c>
      <c r="M11" s="33"/>
      <c r="N11" s="33"/>
      <c r="O11" s="33"/>
      <c r="P11" s="33"/>
    </row>
    <row r="12" spans="1:16" s="30" customFormat="1" ht="13.5" thickTop="1" x14ac:dyDescent="0.2">
      <c r="A12" s="27"/>
      <c r="B12" s="125"/>
      <c r="C12" s="406"/>
      <c r="F12" s="31"/>
      <c r="G12" s="31"/>
      <c r="I12" s="366"/>
      <c r="J12" s="366"/>
      <c r="K12" s="367"/>
      <c r="M12" s="33"/>
      <c r="N12" s="33"/>
      <c r="O12" s="33"/>
      <c r="P12" s="33"/>
    </row>
    <row r="13" spans="1:16" ht="14.25" x14ac:dyDescent="0.2">
      <c r="A13" s="424"/>
      <c r="B13" s="1024" t="s">
        <v>36</v>
      </c>
      <c r="C13" s="1024"/>
      <c r="D13" s="1024"/>
      <c r="E13" s="1024"/>
      <c r="F13" s="1024"/>
      <c r="G13" s="1024"/>
      <c r="H13" s="1024"/>
      <c r="I13" s="1024"/>
      <c r="J13" s="1024"/>
      <c r="K13" s="1024"/>
      <c r="M13" s="2"/>
      <c r="N13" s="2"/>
      <c r="O13" s="2"/>
      <c r="P13" s="2"/>
    </row>
    <row r="14" spans="1:16" ht="13.5" thickBot="1" x14ac:dyDescent="0.25">
      <c r="B14" s="365"/>
      <c r="J14" s="37"/>
      <c r="M14" s="2"/>
      <c r="N14" s="2"/>
      <c r="O14" s="2"/>
      <c r="P14" s="2"/>
    </row>
    <row r="15" spans="1:16" s="38" customFormat="1" ht="14.25" x14ac:dyDescent="0.2">
      <c r="A15" s="440"/>
      <c r="B15" s="1032" t="s">
        <v>40</v>
      </c>
      <c r="C15" s="1172"/>
      <c r="D15" s="1174" t="s">
        <v>42</v>
      </c>
      <c r="E15" s="1033" t="s">
        <v>43</v>
      </c>
      <c r="F15" s="39" t="s">
        <v>386</v>
      </c>
      <c r="G15" s="1033" t="s">
        <v>43</v>
      </c>
      <c r="H15" s="1038" t="s">
        <v>46</v>
      </c>
      <c r="I15" s="1039"/>
      <c r="J15" s="1040" t="s">
        <v>47</v>
      </c>
      <c r="K15" s="1041"/>
    </row>
    <row r="16" spans="1:16" x14ac:dyDescent="0.2">
      <c r="B16" s="1034"/>
      <c r="C16" s="1173"/>
      <c r="D16" s="1175"/>
      <c r="E16" s="1035"/>
      <c r="F16" s="362" t="s">
        <v>48</v>
      </c>
      <c r="G16" s="1035"/>
      <c r="H16" s="362" t="s">
        <v>49</v>
      </c>
      <c r="I16" s="363" t="s">
        <v>48</v>
      </c>
      <c r="J16" s="362" t="s">
        <v>49</v>
      </c>
      <c r="K16" s="361" t="s">
        <v>48</v>
      </c>
    </row>
    <row r="17" spans="2:12" ht="13.5" thickBot="1" x14ac:dyDescent="0.25">
      <c r="B17" s="1210" t="s">
        <v>50</v>
      </c>
      <c r="C17" s="1211"/>
      <c r="D17" s="46"/>
      <c r="E17" s="47"/>
      <c r="F17" s="45"/>
      <c r="G17" s="47"/>
      <c r="H17" s="49"/>
      <c r="I17" s="46"/>
      <c r="J17" s="45"/>
      <c r="K17" s="47"/>
    </row>
    <row r="18" spans="2:12" s="31" customFormat="1" ht="13.5" thickBot="1" x14ac:dyDescent="0.25">
      <c r="B18" s="1027" t="s">
        <v>51</v>
      </c>
      <c r="C18" s="1327"/>
      <c r="D18" s="448">
        <f>SUM(D19:D20)</f>
        <v>20558.791834087471</v>
      </c>
      <c r="E18" s="416"/>
      <c r="F18" s="417">
        <f>+F19+F20</f>
        <v>20558.791834087471</v>
      </c>
      <c r="G18" s="416"/>
      <c r="H18" s="417"/>
      <c r="I18" s="423">
        <f>SUM(I19:I20)</f>
        <v>20558.791834087471</v>
      </c>
      <c r="J18" s="417"/>
      <c r="K18" s="416">
        <f>SUM(K19:K20)</f>
        <v>20558.791834087471</v>
      </c>
    </row>
    <row r="19" spans="2:12" x14ac:dyDescent="0.2">
      <c r="B19" s="1215" t="str">
        <f>+'TLQ -RLP'!B38</f>
        <v xml:space="preserve">       GASTOS PERSONAL DEPENDIENTE</v>
      </c>
      <c r="C19" s="1216"/>
      <c r="D19" s="418">
        <f>+'TLQ -RLP'!O38</f>
        <v>20558.791834087471</v>
      </c>
      <c r="E19" s="350" t="s">
        <v>27</v>
      </c>
      <c r="F19" s="420">
        <f>+D19</f>
        <v>20558.791834087471</v>
      </c>
      <c r="G19" s="57"/>
      <c r="H19" s="59" t="s">
        <v>54</v>
      </c>
      <c r="I19" s="60">
        <f>IF($H19="S",F19,0)</f>
        <v>20558.791834087471</v>
      </c>
      <c r="J19" s="59" t="s">
        <v>54</v>
      </c>
      <c r="K19" s="62">
        <f>IF($J19="S",F19,0)</f>
        <v>20558.791834087471</v>
      </c>
      <c r="L19" s="148"/>
    </row>
    <row r="20" spans="2:12" ht="13.5" thickBot="1" x14ac:dyDescent="0.25">
      <c r="B20" s="1215" t="str">
        <f>+'TLQ -RLP'!B46</f>
        <v xml:space="preserve">      GASTOS PERSONAL EXTERNO</v>
      </c>
      <c r="C20" s="1216"/>
      <c r="D20" s="419">
        <f>+'TLQ -RLP'!O46</f>
        <v>0</v>
      </c>
      <c r="E20" s="351" t="s">
        <v>378</v>
      </c>
      <c r="F20" s="421">
        <f>+D20</f>
        <v>0</v>
      </c>
      <c r="G20" s="351"/>
      <c r="H20" s="68" t="s">
        <v>54</v>
      </c>
      <c r="I20" s="60">
        <f>IF($H20="S",F20,0)</f>
        <v>0</v>
      </c>
      <c r="J20" s="355" t="s">
        <v>54</v>
      </c>
      <c r="K20" s="70">
        <f>IF($J20="S",F20,0)</f>
        <v>0</v>
      </c>
    </row>
    <row r="21" spans="2:12" s="31" customFormat="1" ht="13.5" thickBot="1" x14ac:dyDescent="0.25">
      <c r="B21" s="1027" t="s">
        <v>58</v>
      </c>
      <c r="C21" s="1327"/>
      <c r="D21" s="448">
        <f>SUM(D22:D52)</f>
        <v>10494.136072001987</v>
      </c>
      <c r="E21" s="416"/>
      <c r="F21" s="465">
        <f>SUM(F22:F52)</f>
        <v>10494.136072001987</v>
      </c>
      <c r="G21" s="466"/>
      <c r="H21" s="417"/>
      <c r="I21" s="423">
        <f>SUM(I22:I52)</f>
        <v>10494.136072001987</v>
      </c>
      <c r="J21" s="417"/>
      <c r="K21" s="416">
        <f>SUM(K22:K52)</f>
        <v>10494.136072001987</v>
      </c>
    </row>
    <row r="22" spans="2:12" s="31" customFormat="1" x14ac:dyDescent="0.2">
      <c r="B22" s="1217" t="str">
        <f>+'TLQ -RLP'!B52</f>
        <v xml:space="preserve">         MATERIAL DE ESCRITORIO</v>
      </c>
      <c r="C22" s="1218"/>
      <c r="D22" s="449">
        <f>+'TLQ -RLP'!O52</f>
        <v>55.990833333333335</v>
      </c>
      <c r="E22" s="430" t="s">
        <v>27</v>
      </c>
      <c r="F22" s="439">
        <f>+D22</f>
        <v>55.990833333333335</v>
      </c>
      <c r="G22" s="431" t="s">
        <v>389</v>
      </c>
      <c r="H22" s="427" t="s">
        <v>54</v>
      </c>
      <c r="I22" s="60">
        <f>IF($H22="S",F22,0)</f>
        <v>55.990833333333335</v>
      </c>
      <c r="J22" s="59" t="s">
        <v>54</v>
      </c>
      <c r="K22" s="62">
        <f>IF($J22="S",F22,0)</f>
        <v>55.990833333333335</v>
      </c>
    </row>
    <row r="23" spans="2:12" s="31" customFormat="1" x14ac:dyDescent="0.2">
      <c r="B23" s="1215" t="str">
        <f>+'TLQ -RLP'!B53</f>
        <v xml:space="preserve">         SERVICIOS EXTERNOS  </v>
      </c>
      <c r="C23" s="1216"/>
      <c r="D23" s="450">
        <f>+'TLQ -RLP'!O53</f>
        <v>18.955000000000002</v>
      </c>
      <c r="E23" s="430" t="s">
        <v>27</v>
      </c>
      <c r="F23" s="435">
        <f t="shared" ref="F23:F52" si="1">+D23</f>
        <v>18.955000000000002</v>
      </c>
      <c r="G23" s="432" t="s">
        <v>389</v>
      </c>
      <c r="H23" s="425" t="s">
        <v>54</v>
      </c>
      <c r="I23" s="60">
        <f>IF($H23="S",F23,0)</f>
        <v>18.955000000000002</v>
      </c>
      <c r="J23" s="78" t="s">
        <v>54</v>
      </c>
      <c r="K23" s="62">
        <f t="shared" ref="K23:K51" si="2">IF($J23="S",F23,0)</f>
        <v>18.955000000000002</v>
      </c>
    </row>
    <row r="24" spans="2:12" s="31" customFormat="1" x14ac:dyDescent="0.2">
      <c r="B24" s="1215" t="str">
        <f>+'TLQ -RLP'!B54</f>
        <v xml:space="preserve">         SERVICIO DE COURIER</v>
      </c>
      <c r="C24" s="1216"/>
      <c r="D24" s="450">
        <f>+'TLQ -RLP'!O54</f>
        <v>35.443333333333335</v>
      </c>
      <c r="E24" s="430" t="s">
        <v>27</v>
      </c>
      <c r="F24" s="435">
        <f t="shared" si="1"/>
        <v>35.443333333333335</v>
      </c>
      <c r="G24" s="432" t="s">
        <v>389</v>
      </c>
      <c r="H24" s="426" t="s">
        <v>54</v>
      </c>
      <c r="I24" s="60">
        <f t="shared" ref="I24:I51" si="3">IF($H24="S",F24,0)</f>
        <v>35.443333333333335</v>
      </c>
      <c r="J24" s="78" t="s">
        <v>54</v>
      </c>
      <c r="K24" s="62">
        <f t="shared" si="2"/>
        <v>35.443333333333335</v>
      </c>
    </row>
    <row r="25" spans="2:12" s="31" customFormat="1" x14ac:dyDescent="0.2">
      <c r="B25" s="1215" t="str">
        <f>+'TLQ -RLP'!B55</f>
        <v xml:space="preserve">         SERVICIOS Y COMUNICACIONES</v>
      </c>
      <c r="C25" s="1216"/>
      <c r="D25" s="450">
        <f>+'TLQ -RLP'!O55</f>
        <v>798.10333333333347</v>
      </c>
      <c r="E25" s="430" t="s">
        <v>27</v>
      </c>
      <c r="F25" s="435">
        <f t="shared" si="1"/>
        <v>798.10333333333347</v>
      </c>
      <c r="G25" s="432" t="s">
        <v>389</v>
      </c>
      <c r="H25" s="426" t="s">
        <v>54</v>
      </c>
      <c r="I25" s="60">
        <f t="shared" si="3"/>
        <v>798.10333333333347</v>
      </c>
      <c r="J25" s="78" t="s">
        <v>54</v>
      </c>
      <c r="K25" s="62">
        <f t="shared" si="2"/>
        <v>798.10333333333347</v>
      </c>
    </row>
    <row r="26" spans="2:12" s="31" customFormat="1" x14ac:dyDescent="0.2">
      <c r="B26" s="1215" t="str">
        <f>+'TLQ -RLP'!B56</f>
        <v xml:space="preserve">         SERVICIO DE SEGURIDAD</v>
      </c>
      <c r="C26" s="1216"/>
      <c r="D26" s="450">
        <f>+'TLQ -RLP'!O56</f>
        <v>431.30916666666673</v>
      </c>
      <c r="E26" s="430" t="s">
        <v>27</v>
      </c>
      <c r="F26" s="435">
        <f t="shared" si="1"/>
        <v>431.30916666666673</v>
      </c>
      <c r="G26" s="432" t="s">
        <v>389</v>
      </c>
      <c r="H26" s="426" t="s">
        <v>54</v>
      </c>
      <c r="I26" s="60">
        <f t="shared" si="3"/>
        <v>431.30916666666673</v>
      </c>
      <c r="J26" s="78" t="s">
        <v>54</v>
      </c>
      <c r="K26" s="62">
        <f t="shared" si="2"/>
        <v>431.30916666666673</v>
      </c>
    </row>
    <row r="27" spans="2:12" s="31" customFormat="1" x14ac:dyDescent="0.2">
      <c r="B27" s="1215" t="str">
        <f>+'TLQ -RLP'!B57</f>
        <v xml:space="preserve">         REFRIGERIOS CURSOS-COMITÉS-OTROS</v>
      </c>
      <c r="C27" s="1216"/>
      <c r="D27" s="450">
        <f>+'TLQ -RLP'!O57</f>
        <v>232.85000000000002</v>
      </c>
      <c r="E27" s="430" t="s">
        <v>27</v>
      </c>
      <c r="F27" s="435">
        <f t="shared" si="1"/>
        <v>232.85000000000002</v>
      </c>
      <c r="G27" s="432" t="s">
        <v>389</v>
      </c>
      <c r="H27" s="426" t="s">
        <v>54</v>
      </c>
      <c r="I27" s="60">
        <f t="shared" si="3"/>
        <v>232.85000000000002</v>
      </c>
      <c r="J27" s="78" t="s">
        <v>54</v>
      </c>
      <c r="K27" s="62">
        <f t="shared" si="2"/>
        <v>232.85000000000002</v>
      </c>
    </row>
    <row r="28" spans="2:12" s="31" customFormat="1" x14ac:dyDescent="0.2">
      <c r="B28" s="1215" t="str">
        <f>+'TLQ -RLP'!B58</f>
        <v xml:space="preserve">         REPARACION Y MANTENIMIENTO</v>
      </c>
      <c r="C28" s="1216"/>
      <c r="D28" s="450">
        <f>+'TLQ -RLP'!O58</f>
        <v>14.5</v>
      </c>
      <c r="E28" s="430" t="s">
        <v>27</v>
      </c>
      <c r="F28" s="435">
        <f t="shared" si="1"/>
        <v>14.5</v>
      </c>
      <c r="G28" s="432" t="s">
        <v>389</v>
      </c>
      <c r="H28" s="426" t="s">
        <v>54</v>
      </c>
      <c r="I28" s="60">
        <f t="shared" si="3"/>
        <v>14.5</v>
      </c>
      <c r="J28" s="78" t="s">
        <v>54</v>
      </c>
      <c r="K28" s="62">
        <f t="shared" si="2"/>
        <v>14.5</v>
      </c>
    </row>
    <row r="29" spans="2:12" s="31" customFormat="1" x14ac:dyDescent="0.2">
      <c r="B29" s="1215" t="str">
        <f>+'TLQ -RLP'!B59</f>
        <v xml:space="preserve">         ALQUILER OFICINAS</v>
      </c>
      <c r="C29" s="1216"/>
      <c r="D29" s="450">
        <f>+'TLQ -RLP'!O59</f>
        <v>0</v>
      </c>
      <c r="E29" s="430" t="s">
        <v>27</v>
      </c>
      <c r="F29" s="435">
        <f t="shared" si="1"/>
        <v>0</v>
      </c>
      <c r="G29" s="432" t="s">
        <v>389</v>
      </c>
      <c r="H29" s="426" t="s">
        <v>54</v>
      </c>
      <c r="I29" s="60">
        <f t="shared" si="3"/>
        <v>0</v>
      </c>
      <c r="J29" s="78" t="s">
        <v>54</v>
      </c>
      <c r="K29" s="62">
        <f t="shared" si="2"/>
        <v>0</v>
      </c>
    </row>
    <row r="30" spans="2:12" s="31" customFormat="1" x14ac:dyDescent="0.2">
      <c r="B30" s="1215" t="str">
        <f>+'TLQ -RLP'!B60</f>
        <v xml:space="preserve">         ALQUILER OTROS</v>
      </c>
      <c r="C30" s="1216"/>
      <c r="D30" s="450">
        <f>+'TLQ -RLP'!O60</f>
        <v>0</v>
      </c>
      <c r="E30" s="430" t="s">
        <v>27</v>
      </c>
      <c r="F30" s="435">
        <f t="shared" si="1"/>
        <v>0</v>
      </c>
      <c r="G30" s="432" t="s">
        <v>389</v>
      </c>
      <c r="H30" s="426" t="s">
        <v>54</v>
      </c>
      <c r="I30" s="60">
        <f t="shared" si="3"/>
        <v>0</v>
      </c>
      <c r="J30" s="78" t="s">
        <v>54</v>
      </c>
      <c r="K30" s="62">
        <f t="shared" si="2"/>
        <v>0</v>
      </c>
    </row>
    <row r="31" spans="2:12" s="31" customFormat="1" x14ac:dyDescent="0.2">
      <c r="B31" s="1215" t="str">
        <f>+'TLQ -RLP'!B61</f>
        <v xml:space="preserve">         SEGUROS</v>
      </c>
      <c r="C31" s="1216"/>
      <c r="D31" s="450">
        <f>+'TLQ -RLP'!O61</f>
        <v>84.772499999999994</v>
      </c>
      <c r="E31" s="430" t="s">
        <v>27</v>
      </c>
      <c r="F31" s="435">
        <f t="shared" si="1"/>
        <v>84.772499999999994</v>
      </c>
      <c r="G31" s="432" t="s">
        <v>389</v>
      </c>
      <c r="H31" s="426" t="s">
        <v>54</v>
      </c>
      <c r="I31" s="60">
        <f t="shared" si="3"/>
        <v>84.772499999999994</v>
      </c>
      <c r="J31" s="78" t="s">
        <v>54</v>
      </c>
      <c r="K31" s="62">
        <f t="shared" si="2"/>
        <v>84.772499999999994</v>
      </c>
    </row>
    <row r="32" spans="2:12" s="31" customFormat="1" x14ac:dyDescent="0.2">
      <c r="B32" s="1215" t="str">
        <f>+'TLQ -RLP'!B62</f>
        <v xml:space="preserve">         IMPUESTO A LAS TRANSACCIONES</v>
      </c>
      <c r="C32" s="1216"/>
      <c r="D32" s="450">
        <f>+'TLQ -RLP'!O62</f>
        <v>1360.1886206896552</v>
      </c>
      <c r="E32" s="430" t="s">
        <v>27</v>
      </c>
      <c r="F32" s="435">
        <f t="shared" si="1"/>
        <v>1360.1886206896552</v>
      </c>
      <c r="G32" s="432" t="s">
        <v>389</v>
      </c>
      <c r="H32" s="426" t="s">
        <v>54</v>
      </c>
      <c r="I32" s="60">
        <f t="shared" si="3"/>
        <v>1360.1886206896552</v>
      </c>
      <c r="J32" s="78" t="s">
        <v>54</v>
      </c>
      <c r="K32" s="62">
        <f t="shared" si="2"/>
        <v>1360.1886206896552</v>
      </c>
    </row>
    <row r="33" spans="2:11" s="31" customFormat="1" x14ac:dyDescent="0.2">
      <c r="B33" s="1215" t="str">
        <f>+'TLQ -RLP'!B63</f>
        <v xml:space="preserve">         DEPRECIACION DE ACTIVOS FIJOS</v>
      </c>
      <c r="C33" s="1216"/>
      <c r="D33" s="450">
        <f>+'TLQ -RLP'!O63</f>
        <v>0</v>
      </c>
      <c r="E33" s="430" t="s">
        <v>27</v>
      </c>
      <c r="F33" s="435">
        <f t="shared" si="1"/>
        <v>0</v>
      </c>
      <c r="G33" s="432" t="s">
        <v>389</v>
      </c>
      <c r="H33" s="426" t="s">
        <v>54</v>
      </c>
      <c r="I33" s="60">
        <f t="shared" si="3"/>
        <v>0</v>
      </c>
      <c r="J33" s="78" t="s">
        <v>54</v>
      </c>
      <c r="K33" s="62">
        <f t="shared" si="2"/>
        <v>0</v>
      </c>
    </row>
    <row r="34" spans="2:11" s="31" customFormat="1" x14ac:dyDescent="0.2">
      <c r="B34" s="1215" t="str">
        <f>+'TLQ -RLP'!B64</f>
        <v xml:space="preserve">         AMORTIZACION OTROS ACTIVOS</v>
      </c>
      <c r="C34" s="1216"/>
      <c r="D34" s="450">
        <f>+'TLQ -RLP'!O64</f>
        <v>0</v>
      </c>
      <c r="E34" s="430" t="s">
        <v>27</v>
      </c>
      <c r="F34" s="435">
        <f t="shared" si="1"/>
        <v>0</v>
      </c>
      <c r="G34" s="432" t="s">
        <v>389</v>
      </c>
      <c r="H34" s="426" t="s">
        <v>54</v>
      </c>
      <c r="I34" s="60">
        <f t="shared" si="3"/>
        <v>0</v>
      </c>
      <c r="J34" s="78" t="s">
        <v>54</v>
      </c>
      <c r="K34" s="62">
        <f t="shared" si="2"/>
        <v>0</v>
      </c>
    </row>
    <row r="35" spans="2:11" s="31" customFormat="1" x14ac:dyDescent="0.2">
      <c r="B35" s="1215" t="str">
        <f>+'TLQ -RLP'!B65</f>
        <v xml:space="preserve">         SERVICIO DE FOTOCOPIAS</v>
      </c>
      <c r="C35" s="1216"/>
      <c r="D35" s="450">
        <f>+'TLQ -RLP'!O65</f>
        <v>5</v>
      </c>
      <c r="E35" s="430" t="s">
        <v>27</v>
      </c>
      <c r="F35" s="435">
        <f t="shared" si="1"/>
        <v>5</v>
      </c>
      <c r="G35" s="432" t="s">
        <v>389</v>
      </c>
      <c r="H35" s="426" t="s">
        <v>54</v>
      </c>
      <c r="I35" s="60">
        <f t="shared" si="3"/>
        <v>5</v>
      </c>
      <c r="J35" s="78" t="s">
        <v>54</v>
      </c>
      <c r="K35" s="62">
        <f t="shared" si="2"/>
        <v>5</v>
      </c>
    </row>
    <row r="36" spans="2:11" s="31" customFormat="1" x14ac:dyDescent="0.2">
      <c r="B36" s="1215" t="str">
        <f>+'TLQ -RLP'!B66</f>
        <v xml:space="preserve">         PASAJES Y VIATICOS</v>
      </c>
      <c r="C36" s="1216"/>
      <c r="D36" s="450">
        <f>+'TLQ -RLP'!O66</f>
        <v>548.33333333333337</v>
      </c>
      <c r="E36" s="430" t="s">
        <v>27</v>
      </c>
      <c r="F36" s="435">
        <f t="shared" si="1"/>
        <v>548.33333333333337</v>
      </c>
      <c r="G36" s="432" t="s">
        <v>389</v>
      </c>
      <c r="H36" s="426" t="s">
        <v>54</v>
      </c>
      <c r="I36" s="60">
        <f t="shared" si="3"/>
        <v>548.33333333333337</v>
      </c>
      <c r="J36" s="78" t="s">
        <v>54</v>
      </c>
      <c r="K36" s="62">
        <f t="shared" si="2"/>
        <v>548.33333333333337</v>
      </c>
    </row>
    <row r="37" spans="2:11" s="31" customFormat="1" x14ac:dyDescent="0.2">
      <c r="B37" s="1215" t="str">
        <f>+'TLQ -RLP'!B67</f>
        <v xml:space="preserve">         GASTOS BANCARIOS</v>
      </c>
      <c r="C37" s="1216"/>
      <c r="D37" s="450">
        <f>+'TLQ -RLP'!O67</f>
        <v>0</v>
      </c>
      <c r="E37" s="430" t="s">
        <v>27</v>
      </c>
      <c r="F37" s="435">
        <f t="shared" si="1"/>
        <v>0</v>
      </c>
      <c r="G37" s="432" t="s">
        <v>389</v>
      </c>
      <c r="H37" s="426" t="s">
        <v>54</v>
      </c>
      <c r="I37" s="60">
        <f t="shared" si="3"/>
        <v>0</v>
      </c>
      <c r="J37" s="78" t="s">
        <v>54</v>
      </c>
      <c r="K37" s="62">
        <f t="shared" si="2"/>
        <v>0</v>
      </c>
    </row>
    <row r="38" spans="2:11" s="31" customFormat="1" x14ac:dyDescent="0.2">
      <c r="B38" s="1215" t="str">
        <f>+'TLQ -RLP'!B68</f>
        <v xml:space="preserve">         GASTOS DE IMPRENTA</v>
      </c>
      <c r="C38" s="1216"/>
      <c r="D38" s="450">
        <f>+'TLQ -RLP'!O68</f>
        <v>106.2</v>
      </c>
      <c r="E38" s="430" t="s">
        <v>27</v>
      </c>
      <c r="F38" s="435">
        <f t="shared" si="1"/>
        <v>106.2</v>
      </c>
      <c r="G38" s="432" t="s">
        <v>389</v>
      </c>
      <c r="H38" s="426" t="s">
        <v>54</v>
      </c>
      <c r="I38" s="60">
        <f t="shared" si="3"/>
        <v>106.2</v>
      </c>
      <c r="J38" s="78" t="s">
        <v>54</v>
      </c>
      <c r="K38" s="62">
        <f t="shared" si="2"/>
        <v>106.2</v>
      </c>
    </row>
    <row r="39" spans="2:11" s="31" customFormat="1" x14ac:dyDescent="0.2">
      <c r="B39" s="1215" t="str">
        <f>+'TLQ -RLP'!B69</f>
        <v xml:space="preserve">         GASTOS MOVILIDAD</v>
      </c>
      <c r="C39" s="1216"/>
      <c r="D39" s="450">
        <f>+'TLQ -RLP'!O69</f>
        <v>537.88916666666671</v>
      </c>
      <c r="E39" s="430" t="s">
        <v>27</v>
      </c>
      <c r="F39" s="435">
        <f t="shared" si="1"/>
        <v>537.88916666666671</v>
      </c>
      <c r="G39" s="432" t="s">
        <v>389</v>
      </c>
      <c r="H39" s="426" t="s">
        <v>54</v>
      </c>
      <c r="I39" s="60">
        <f t="shared" si="3"/>
        <v>537.88916666666671</v>
      </c>
      <c r="J39" s="78" t="s">
        <v>54</v>
      </c>
      <c r="K39" s="62">
        <f t="shared" si="2"/>
        <v>537.88916666666671</v>
      </c>
    </row>
    <row r="40" spans="2:11" s="31" customFormat="1" x14ac:dyDescent="0.2">
      <c r="B40" s="1215" t="str">
        <f>+'TLQ -RLP'!B70</f>
        <v xml:space="preserve">         SERVICIOS Y MATERIAL DE LIMPIEZA</v>
      </c>
      <c r="C40" s="1216"/>
      <c r="D40" s="450">
        <f>+'TLQ -RLP'!O70</f>
        <v>523.1633333333333</v>
      </c>
      <c r="E40" s="430" t="s">
        <v>27</v>
      </c>
      <c r="F40" s="435">
        <f t="shared" si="1"/>
        <v>523.1633333333333</v>
      </c>
      <c r="G40" s="432" t="s">
        <v>389</v>
      </c>
      <c r="H40" s="426" t="s">
        <v>54</v>
      </c>
      <c r="I40" s="60">
        <f t="shared" si="3"/>
        <v>523.1633333333333</v>
      </c>
      <c r="J40" s="78" t="s">
        <v>54</v>
      </c>
      <c r="K40" s="62">
        <f t="shared" si="2"/>
        <v>523.1633333333333</v>
      </c>
    </row>
    <row r="41" spans="2:11" s="31" customFormat="1" x14ac:dyDescent="0.2">
      <c r="B41" s="1215" t="str">
        <f>+'TLQ -RLP'!B71</f>
        <v xml:space="preserve">         GASTOS DE REPRESENTACION</v>
      </c>
      <c r="C41" s="1216"/>
      <c r="D41" s="450">
        <f>+'TLQ -RLP'!O71</f>
        <v>0</v>
      </c>
      <c r="E41" s="430" t="s">
        <v>27</v>
      </c>
      <c r="F41" s="435">
        <f t="shared" si="1"/>
        <v>0</v>
      </c>
      <c r="G41" s="432" t="s">
        <v>389</v>
      </c>
      <c r="H41" s="426" t="s">
        <v>54</v>
      </c>
      <c r="I41" s="60">
        <f t="shared" si="3"/>
        <v>0</v>
      </c>
      <c r="J41" s="78" t="s">
        <v>54</v>
      </c>
      <c r="K41" s="62">
        <f t="shared" si="2"/>
        <v>0</v>
      </c>
    </row>
    <row r="42" spans="2:11" s="31" customFormat="1" x14ac:dyDescent="0.2">
      <c r="B42" s="1215" t="str">
        <f>+'TLQ -RLP'!B72</f>
        <v xml:space="preserve">         SUSCRIPCIONES Y CUOTAS</v>
      </c>
      <c r="C42" s="1216"/>
      <c r="D42" s="450">
        <f>+'TLQ -RLP'!O72</f>
        <v>254.52916666666667</v>
      </c>
      <c r="E42" s="430" t="s">
        <v>27</v>
      </c>
      <c r="F42" s="435">
        <f t="shared" si="1"/>
        <v>254.52916666666667</v>
      </c>
      <c r="G42" s="432" t="s">
        <v>389</v>
      </c>
      <c r="H42" s="426" t="s">
        <v>54</v>
      </c>
      <c r="I42" s="60">
        <f t="shared" si="3"/>
        <v>254.52916666666667</v>
      </c>
      <c r="J42" s="78" t="s">
        <v>54</v>
      </c>
      <c r="K42" s="62">
        <f t="shared" si="2"/>
        <v>254.52916666666667</v>
      </c>
    </row>
    <row r="43" spans="2:11" s="31" customFormat="1" x14ac:dyDescent="0.2">
      <c r="B43" s="1215" t="str">
        <f>+'TLQ -RLP'!B73</f>
        <v xml:space="preserve">         INTERESES Y MULTAS</v>
      </c>
      <c r="C43" s="1216"/>
      <c r="D43" s="450">
        <f>+'TLQ -RLP'!O73</f>
        <v>0</v>
      </c>
      <c r="E43" s="430" t="s">
        <v>27</v>
      </c>
      <c r="F43" s="435">
        <f t="shared" si="1"/>
        <v>0</v>
      </c>
      <c r="G43" s="432" t="s">
        <v>389</v>
      </c>
      <c r="H43" s="426" t="s">
        <v>54</v>
      </c>
      <c r="I43" s="60">
        <f t="shared" si="3"/>
        <v>0</v>
      </c>
      <c r="J43" s="78" t="s">
        <v>54</v>
      </c>
      <c r="K43" s="62">
        <f t="shared" si="2"/>
        <v>0</v>
      </c>
    </row>
    <row r="44" spans="2:11" s="31" customFormat="1" x14ac:dyDescent="0.2">
      <c r="B44" s="1215" t="str">
        <f>+'TLQ -RLP'!B74</f>
        <v xml:space="preserve">         PATENTES MUNICIPALES</v>
      </c>
      <c r="C44" s="1216"/>
      <c r="D44" s="450">
        <f>+'TLQ -RLP'!O74</f>
        <v>0</v>
      </c>
      <c r="E44" s="430" t="s">
        <v>27</v>
      </c>
      <c r="F44" s="435">
        <f t="shared" si="1"/>
        <v>0</v>
      </c>
      <c r="G44" s="432" t="s">
        <v>389</v>
      </c>
      <c r="H44" s="426" t="s">
        <v>54</v>
      </c>
      <c r="I44" s="60">
        <f t="shared" si="3"/>
        <v>0</v>
      </c>
      <c r="J44" s="78" t="s">
        <v>54</v>
      </c>
      <c r="K44" s="62">
        <f t="shared" si="2"/>
        <v>0</v>
      </c>
    </row>
    <row r="45" spans="2:11" s="31" customFormat="1" x14ac:dyDescent="0.2">
      <c r="B45" s="1215" t="str">
        <f>+'TLQ -RLP'!B75</f>
        <v xml:space="preserve">         CAPACITACION PERSONAL</v>
      </c>
      <c r="C45" s="1216"/>
      <c r="D45" s="450">
        <f>+'TLQ -RLP'!O75</f>
        <v>83.333333333333329</v>
      </c>
      <c r="E45" s="430" t="s">
        <v>27</v>
      </c>
      <c r="F45" s="435">
        <f t="shared" si="1"/>
        <v>83.333333333333329</v>
      </c>
      <c r="G45" s="432" t="s">
        <v>389</v>
      </c>
      <c r="H45" s="426" t="s">
        <v>54</v>
      </c>
      <c r="I45" s="60">
        <f t="shared" si="3"/>
        <v>83.333333333333329</v>
      </c>
      <c r="J45" s="78" t="s">
        <v>54</v>
      </c>
      <c r="K45" s="62">
        <f t="shared" si="2"/>
        <v>83.333333333333329</v>
      </c>
    </row>
    <row r="46" spans="2:11" s="31" customFormat="1" x14ac:dyDescent="0.2">
      <c r="B46" s="1215" t="str">
        <f>+'TLQ -RLP'!B76</f>
        <v xml:space="preserve">         MEJORAS Y ARREGLOS A LAS INSTALACIONES</v>
      </c>
      <c r="C46" s="1216"/>
      <c r="D46" s="450">
        <f>+'TLQ -RLP'!O76</f>
        <v>0</v>
      </c>
      <c r="E46" s="430" t="s">
        <v>27</v>
      </c>
      <c r="F46" s="435">
        <f t="shared" si="1"/>
        <v>0</v>
      </c>
      <c r="G46" s="432" t="s">
        <v>389</v>
      </c>
      <c r="H46" s="426" t="s">
        <v>54</v>
      </c>
      <c r="I46" s="60">
        <f t="shared" si="3"/>
        <v>0</v>
      </c>
      <c r="J46" s="78" t="s">
        <v>54</v>
      </c>
      <c r="K46" s="62">
        <f t="shared" si="2"/>
        <v>0</v>
      </c>
    </row>
    <row r="47" spans="2:11" s="31" customFormat="1" x14ac:dyDescent="0.2">
      <c r="B47" s="1215" t="str">
        <f>+'TLQ -RLP'!B77</f>
        <v xml:space="preserve">         SERVICIOS PUBLICITARIOS</v>
      </c>
      <c r="C47" s="1216"/>
      <c r="D47" s="450">
        <f>+'TLQ -RLP'!O77</f>
        <v>0</v>
      </c>
      <c r="E47" s="430" t="s">
        <v>27</v>
      </c>
      <c r="F47" s="435">
        <f t="shared" si="1"/>
        <v>0</v>
      </c>
      <c r="G47" s="432" t="s">
        <v>389</v>
      </c>
      <c r="H47" s="426" t="s">
        <v>54</v>
      </c>
      <c r="I47" s="60">
        <f t="shared" si="3"/>
        <v>0</v>
      </c>
      <c r="J47" s="78" t="s">
        <v>54</v>
      </c>
      <c r="K47" s="62">
        <f t="shared" si="2"/>
        <v>0</v>
      </c>
    </row>
    <row r="48" spans="2:11" s="31" customFormat="1" x14ac:dyDescent="0.2">
      <c r="B48" s="1215" t="str">
        <f>+'TLQ -RLP'!B78</f>
        <v xml:space="preserve">         IMPUESTO A LAS TRANSCCIONES FINANCIERAS</v>
      </c>
      <c r="C48" s="1216"/>
      <c r="D48" s="450">
        <f>+'TLQ -RLP'!O78</f>
        <v>0</v>
      </c>
      <c r="E48" s="430" t="s">
        <v>27</v>
      </c>
      <c r="F48" s="435">
        <f t="shared" si="1"/>
        <v>0</v>
      </c>
      <c r="G48" s="432" t="s">
        <v>389</v>
      </c>
      <c r="H48" s="426" t="s">
        <v>54</v>
      </c>
      <c r="I48" s="60">
        <f t="shared" si="3"/>
        <v>0</v>
      </c>
      <c r="J48" s="78" t="s">
        <v>54</v>
      </c>
      <c r="K48" s="62">
        <f t="shared" si="2"/>
        <v>0</v>
      </c>
    </row>
    <row r="49" spans="2:11" s="31" customFormat="1" x14ac:dyDescent="0.2">
      <c r="B49" s="1215" t="str">
        <f>+'TLQ -RLP'!B79</f>
        <v xml:space="preserve">         PERDIDA EN INVENTARIOS</v>
      </c>
      <c r="C49" s="1216"/>
      <c r="D49" s="450">
        <f>+'TLQ -RLP'!O79</f>
        <v>0</v>
      </c>
      <c r="E49" s="430" t="s">
        <v>27</v>
      </c>
      <c r="F49" s="435">
        <f t="shared" si="1"/>
        <v>0</v>
      </c>
      <c r="G49" s="432" t="s">
        <v>389</v>
      </c>
      <c r="H49" s="426" t="s">
        <v>54</v>
      </c>
      <c r="I49" s="60">
        <f t="shared" si="3"/>
        <v>0</v>
      </c>
      <c r="J49" s="78" t="s">
        <v>54</v>
      </c>
      <c r="K49" s="62">
        <f t="shared" si="2"/>
        <v>0</v>
      </c>
    </row>
    <row r="50" spans="2:11" s="31" customFormat="1" x14ac:dyDescent="0.2">
      <c r="B50" s="1215" t="str">
        <f>+'TLQ -RLP'!B80</f>
        <v xml:space="preserve">         AUSPICIOS Y EVENTOS</v>
      </c>
      <c r="C50" s="1216"/>
      <c r="D50" s="450">
        <f>+'TLQ -RLP'!O80</f>
        <v>0</v>
      </c>
      <c r="E50" s="430" t="s">
        <v>27</v>
      </c>
      <c r="F50" s="435">
        <f t="shared" si="1"/>
        <v>0</v>
      </c>
      <c r="G50" s="432" t="s">
        <v>389</v>
      </c>
      <c r="H50" s="426" t="s">
        <v>54</v>
      </c>
      <c r="I50" s="60">
        <f t="shared" si="3"/>
        <v>0</v>
      </c>
      <c r="J50" s="78" t="s">
        <v>54</v>
      </c>
      <c r="K50" s="62">
        <f t="shared" si="2"/>
        <v>0</v>
      </c>
    </row>
    <row r="51" spans="2:11" s="31" customFormat="1" x14ac:dyDescent="0.2">
      <c r="B51" s="1215" t="str">
        <f>+'TLQ -RLP'!B81</f>
        <v xml:space="preserve">         GASTOS VARIOS</v>
      </c>
      <c r="C51" s="1216"/>
      <c r="D51" s="450">
        <f>+'TLQ -RLP'!O81</f>
        <v>857.90500000000009</v>
      </c>
      <c r="E51" s="430" t="s">
        <v>27</v>
      </c>
      <c r="F51" s="435">
        <f t="shared" si="1"/>
        <v>857.90500000000009</v>
      </c>
      <c r="G51" s="432" t="s">
        <v>389</v>
      </c>
      <c r="H51" s="426" t="s">
        <v>54</v>
      </c>
      <c r="I51" s="60">
        <f t="shared" si="3"/>
        <v>857.90500000000009</v>
      </c>
      <c r="J51" s="78" t="s">
        <v>54</v>
      </c>
      <c r="K51" s="62">
        <f t="shared" si="2"/>
        <v>857.90500000000009</v>
      </c>
    </row>
    <row r="52" spans="2:11" s="31" customFormat="1" ht="13.5" thickBot="1" x14ac:dyDescent="0.25">
      <c r="B52" s="1335" t="str">
        <f>+'TLQ -RLP'!B82</f>
        <v xml:space="preserve">         GASTOS SA</v>
      </c>
      <c r="C52" s="1336"/>
      <c r="D52" s="450">
        <f>+'TLQ -RLP'!O82</f>
        <v>4545.6699513123331</v>
      </c>
      <c r="E52" s="430" t="s">
        <v>27</v>
      </c>
      <c r="F52" s="435">
        <f t="shared" si="1"/>
        <v>4545.6699513123331</v>
      </c>
      <c r="G52" s="433" t="s">
        <v>389</v>
      </c>
      <c r="H52" s="426" t="s">
        <v>54</v>
      </c>
      <c r="I52" s="60">
        <f t="shared" ref="I52" si="4">IF($H52="S",F52,0)</f>
        <v>4545.6699513123331</v>
      </c>
      <c r="J52" s="78" t="s">
        <v>54</v>
      </c>
      <c r="K52" s="62">
        <f t="shared" ref="K52" si="5">IF($J52="S",F52,0)</f>
        <v>4545.6699513123331</v>
      </c>
    </row>
    <row r="53" spans="2:11" ht="13.5" thickBot="1" x14ac:dyDescent="0.25">
      <c r="B53" s="1185" t="s">
        <v>76</v>
      </c>
      <c r="C53" s="1186"/>
      <c r="D53" s="414">
        <f>+D21+D18</f>
        <v>31052.927906089459</v>
      </c>
      <c r="E53" s="88"/>
      <c r="F53" s="414">
        <f>+F18+F21</f>
        <v>31052.927906089459</v>
      </c>
      <c r="G53" s="437"/>
      <c r="H53" s="87"/>
      <c r="I53" s="87">
        <f>+I18+I21</f>
        <v>31052.927906089459</v>
      </c>
      <c r="J53" s="87"/>
      <c r="K53" s="89">
        <f>+K18+K21</f>
        <v>31052.927906089459</v>
      </c>
    </row>
    <row r="54" spans="2:11" ht="13.5" thickBot="1" x14ac:dyDescent="0.25">
      <c r="B54" s="1347" t="str">
        <f>+'TLQ -RLP'!B83</f>
        <v xml:space="preserve">         GASTOS DN</v>
      </c>
      <c r="C54" s="1348"/>
      <c r="D54" s="378">
        <f>+'TLQ -RLP'!O83</f>
        <v>6490.3301500000007</v>
      </c>
      <c r="E54" s="95" t="s">
        <v>78</v>
      </c>
      <c r="F54" s="96">
        <f>D54</f>
        <v>6490.3301500000007</v>
      </c>
      <c r="G54" s="95" t="s">
        <v>78</v>
      </c>
      <c r="H54" s="96"/>
      <c r="I54" s="93">
        <f>+F54</f>
        <v>6490.3301500000007</v>
      </c>
      <c r="J54" s="96"/>
      <c r="K54" s="85">
        <f>+F54</f>
        <v>6490.3301500000007</v>
      </c>
    </row>
    <row r="55" spans="2:11" ht="13.5" thickBot="1" x14ac:dyDescent="0.25">
      <c r="B55" s="1004" t="s">
        <v>80</v>
      </c>
      <c r="C55" s="1005"/>
      <c r="D55" s="97">
        <f>SUM(D53:D54)</f>
        <v>37543.258056089457</v>
      </c>
      <c r="E55" s="89"/>
      <c r="F55" s="98"/>
      <c r="G55" s="89"/>
      <c r="H55" s="87"/>
      <c r="I55" s="99">
        <f>SUM(I53:I54)</f>
        <v>37543.258056089457</v>
      </c>
      <c r="J55" s="98"/>
      <c r="K55" s="88">
        <f>SUM(K53:K54)</f>
        <v>37543.258056089457</v>
      </c>
    </row>
    <row r="56" spans="2:11" ht="13.5" thickBot="1" x14ac:dyDescent="0.25">
      <c r="B56" s="1004" t="s">
        <v>81</v>
      </c>
      <c r="C56" s="1005"/>
      <c r="D56" s="87"/>
      <c r="E56" s="88"/>
      <c r="F56" s="87"/>
      <c r="G56" s="88"/>
      <c r="H56" s="87"/>
      <c r="I56" s="99"/>
      <c r="J56" s="87"/>
      <c r="K56" s="88"/>
    </row>
    <row r="57" spans="2:11" x14ac:dyDescent="0.2">
      <c r="B57" s="1338"/>
      <c r="C57" s="1339"/>
      <c r="D57" s="456"/>
      <c r="E57" s="398"/>
      <c r="F57" s="444"/>
      <c r="G57" s="57"/>
      <c r="H57" s="59" t="s">
        <v>54</v>
      </c>
      <c r="I57" s="60">
        <f>IF($H57="S",F57,0)</f>
        <v>0</v>
      </c>
      <c r="J57" s="59" t="s">
        <v>54</v>
      </c>
      <c r="K57" s="62">
        <f>IF($J57="S",F57,0)</f>
        <v>0</v>
      </c>
    </row>
    <row r="58" spans="2:11" x14ac:dyDescent="0.2">
      <c r="B58" s="1113"/>
      <c r="C58" s="1340"/>
      <c r="D58" s="107"/>
      <c r="E58" s="91"/>
      <c r="F58" s="445"/>
      <c r="G58" s="74"/>
      <c r="H58" s="78" t="s">
        <v>54</v>
      </c>
      <c r="I58" s="81">
        <f t="shared" ref="I58:I68" si="6">IF($H58="S",F58,0)</f>
        <v>0</v>
      </c>
      <c r="J58" s="78" t="s">
        <v>54</v>
      </c>
      <c r="K58" s="82">
        <f t="shared" ref="K58:K68" si="7">IF($J58="S",F58,0)</f>
        <v>0</v>
      </c>
    </row>
    <row r="59" spans="2:11" x14ac:dyDescent="0.2">
      <c r="B59" s="1113"/>
      <c r="C59" s="1340"/>
      <c r="D59" s="107"/>
      <c r="E59" s="91"/>
      <c r="F59" s="445"/>
      <c r="G59" s="74"/>
      <c r="H59" s="78" t="s">
        <v>54</v>
      </c>
      <c r="I59" s="81">
        <f t="shared" si="6"/>
        <v>0</v>
      </c>
      <c r="J59" s="78" t="s">
        <v>54</v>
      </c>
      <c r="K59" s="82">
        <f t="shared" si="7"/>
        <v>0</v>
      </c>
    </row>
    <row r="60" spans="2:11" x14ac:dyDescent="0.2">
      <c r="B60" s="1113"/>
      <c r="C60" s="1340"/>
      <c r="D60" s="107"/>
      <c r="E60" s="91"/>
      <c r="F60" s="445"/>
      <c r="G60" s="74"/>
      <c r="H60" s="78" t="s">
        <v>54</v>
      </c>
      <c r="I60" s="81">
        <f t="shared" si="6"/>
        <v>0</v>
      </c>
      <c r="J60" s="78" t="s">
        <v>54</v>
      </c>
      <c r="K60" s="82">
        <f t="shared" si="7"/>
        <v>0</v>
      </c>
    </row>
    <row r="61" spans="2:11" x14ac:dyDescent="0.2">
      <c r="B61" s="1113"/>
      <c r="C61" s="1340"/>
      <c r="D61" s="107"/>
      <c r="E61" s="91"/>
      <c r="F61" s="445"/>
      <c r="G61" s="74"/>
      <c r="H61" s="78" t="s">
        <v>54</v>
      </c>
      <c r="I61" s="81">
        <f t="shared" si="6"/>
        <v>0</v>
      </c>
      <c r="J61" s="78" t="s">
        <v>54</v>
      </c>
      <c r="K61" s="82">
        <f t="shared" si="7"/>
        <v>0</v>
      </c>
    </row>
    <row r="62" spans="2:11" x14ac:dyDescent="0.2">
      <c r="B62" s="1113"/>
      <c r="C62" s="1341"/>
      <c r="D62" s="107"/>
      <c r="E62" s="91"/>
      <c r="F62" s="445"/>
      <c r="G62" s="74"/>
      <c r="H62" s="78" t="s">
        <v>54</v>
      </c>
      <c r="I62" s="81">
        <f t="shared" si="6"/>
        <v>0</v>
      </c>
      <c r="J62" s="78" t="s">
        <v>54</v>
      </c>
      <c r="K62" s="82">
        <f t="shared" si="7"/>
        <v>0</v>
      </c>
    </row>
    <row r="63" spans="2:11" x14ac:dyDescent="0.2">
      <c r="B63" s="1113"/>
      <c r="C63" s="1341"/>
      <c r="D63" s="107"/>
      <c r="E63" s="91"/>
      <c r="F63" s="445"/>
      <c r="G63" s="74"/>
      <c r="H63" s="78" t="s">
        <v>54</v>
      </c>
      <c r="I63" s="81">
        <f t="shared" si="6"/>
        <v>0</v>
      </c>
      <c r="J63" s="78" t="s">
        <v>54</v>
      </c>
      <c r="K63" s="82">
        <f t="shared" si="7"/>
        <v>0</v>
      </c>
    </row>
    <row r="64" spans="2:11" x14ac:dyDescent="0.2">
      <c r="B64" s="1113"/>
      <c r="C64" s="1341"/>
      <c r="D64" s="107"/>
      <c r="E64" s="91"/>
      <c r="F64" s="445"/>
      <c r="G64" s="74"/>
      <c r="H64" s="78" t="s">
        <v>54</v>
      </c>
      <c r="I64" s="81">
        <f t="shared" si="6"/>
        <v>0</v>
      </c>
      <c r="J64" s="78" t="s">
        <v>54</v>
      </c>
      <c r="K64" s="82">
        <f t="shared" si="7"/>
        <v>0</v>
      </c>
    </row>
    <row r="65" spans="1:11" x14ac:dyDescent="0.2">
      <c r="B65" s="1113"/>
      <c r="C65" s="1341"/>
      <c r="D65" s="107"/>
      <c r="E65" s="91"/>
      <c r="F65" s="446"/>
      <c r="G65" s="74"/>
      <c r="H65" s="78" t="s">
        <v>54</v>
      </c>
      <c r="I65" s="81">
        <f t="shared" si="6"/>
        <v>0</v>
      </c>
      <c r="J65" s="78" t="s">
        <v>54</v>
      </c>
      <c r="K65" s="82">
        <f t="shared" si="7"/>
        <v>0</v>
      </c>
    </row>
    <row r="66" spans="1:11" x14ac:dyDescent="0.2">
      <c r="B66" s="1113"/>
      <c r="C66" s="1341"/>
      <c r="D66" s="107"/>
      <c r="E66" s="91"/>
      <c r="F66" s="447"/>
      <c r="G66" s="74"/>
      <c r="H66" s="78" t="s">
        <v>54</v>
      </c>
      <c r="I66" s="81">
        <f t="shared" si="6"/>
        <v>0</v>
      </c>
      <c r="J66" s="78" t="s">
        <v>54</v>
      </c>
      <c r="K66" s="82">
        <f t="shared" si="7"/>
        <v>0</v>
      </c>
    </row>
    <row r="67" spans="1:11" x14ac:dyDescent="0.2">
      <c r="B67" s="1110"/>
      <c r="C67" s="1337"/>
      <c r="D67" s="107"/>
      <c r="E67" s="91"/>
      <c r="F67" s="445"/>
      <c r="G67" s="74"/>
      <c r="H67" s="78" t="s">
        <v>54</v>
      </c>
      <c r="I67" s="81">
        <f t="shared" si="6"/>
        <v>0</v>
      </c>
      <c r="J67" s="78" t="s">
        <v>54</v>
      </c>
      <c r="K67" s="82">
        <f t="shared" si="7"/>
        <v>0</v>
      </c>
    </row>
    <row r="68" spans="1:11" x14ac:dyDescent="0.2">
      <c r="B68" s="1110"/>
      <c r="C68" s="1337"/>
      <c r="D68" s="107"/>
      <c r="E68" s="113"/>
      <c r="F68" s="447"/>
      <c r="G68" s="352"/>
      <c r="H68" s="78" t="s">
        <v>54</v>
      </c>
      <c r="I68" s="81">
        <f t="shared" si="6"/>
        <v>0</v>
      </c>
      <c r="J68" s="78" t="s">
        <v>54</v>
      </c>
      <c r="K68" s="82">
        <f t="shared" si="7"/>
        <v>0</v>
      </c>
    </row>
    <row r="69" spans="1:11" s="27" customFormat="1" x14ac:dyDescent="0.2">
      <c r="B69" s="1192" t="s">
        <v>96</v>
      </c>
      <c r="C69" s="1193"/>
      <c r="D69" s="114"/>
      <c r="E69" s="115"/>
      <c r="F69" s="116"/>
      <c r="G69" s="115"/>
      <c r="H69" s="118"/>
      <c r="I69" s="117">
        <f>SUM(I57:I68)</f>
        <v>0</v>
      </c>
      <c r="J69" s="114"/>
      <c r="K69" s="453">
        <f>SUM(K57:K68)</f>
        <v>0</v>
      </c>
    </row>
    <row r="70" spans="1:11" s="27" customFormat="1" ht="13.5" thickBot="1" x14ac:dyDescent="0.25">
      <c r="B70" s="992" t="s">
        <v>45</v>
      </c>
      <c r="C70" s="1194"/>
      <c r="D70" s="454"/>
      <c r="E70" s="454"/>
      <c r="F70" s="454"/>
      <c r="G70" s="454"/>
      <c r="H70" s="454"/>
      <c r="I70" s="454">
        <f>+I69+I55</f>
        <v>37543.258056089457</v>
      </c>
      <c r="J70" s="454"/>
      <c r="K70" s="455">
        <f>+K69+K55</f>
        <v>37543.258056089457</v>
      </c>
    </row>
    <row r="71" spans="1:11" s="37" customFormat="1" x14ac:dyDescent="0.2">
      <c r="A71" s="441"/>
      <c r="B71" s="405"/>
      <c r="C71" s="405"/>
      <c r="D71" s="83"/>
      <c r="E71" s="83"/>
      <c r="G71" s="83"/>
      <c r="H71" s="134"/>
      <c r="I71" s="135"/>
      <c r="J71" s="136"/>
    </row>
    <row r="72" spans="1:11" s="37" customFormat="1" ht="13.5" thickBot="1" x14ac:dyDescent="0.25">
      <c r="A72" s="441"/>
      <c r="B72" s="405"/>
      <c r="C72" s="405"/>
      <c r="H72" s="1"/>
      <c r="I72" s="1"/>
      <c r="J72" s="1"/>
      <c r="K72" s="1"/>
    </row>
    <row r="73" spans="1:11" s="37" customFormat="1" ht="34.5" thickBot="1" x14ac:dyDescent="0.25">
      <c r="A73" s="441"/>
      <c r="B73" s="405"/>
      <c r="C73" s="405"/>
      <c r="E73" s="364" t="s">
        <v>382</v>
      </c>
      <c r="F73" s="364" t="s">
        <v>383</v>
      </c>
      <c r="G73" s="364" t="s">
        <v>47</v>
      </c>
      <c r="H73" s="364" t="s">
        <v>384</v>
      </c>
    </row>
    <row r="74" spans="1:11" s="37" customFormat="1" ht="13.5" thickBot="1" x14ac:dyDescent="0.25">
      <c r="A74" s="441"/>
      <c r="B74" s="1004" t="s">
        <v>80</v>
      </c>
      <c r="C74" s="1005"/>
      <c r="D74" s="24"/>
      <c r="E74" s="24">
        <f>+(I55-$F$20)/$F$11+$F$20</f>
        <v>12514.419352029819</v>
      </c>
      <c r="G74" s="24">
        <f>+(K55-$F$20)/$F$11+$F$20</f>
        <v>12514.419352029819</v>
      </c>
      <c r="H74" s="24"/>
    </row>
    <row r="75" spans="1:11" s="144" customFormat="1" ht="13.5" thickBot="1" x14ac:dyDescent="0.25">
      <c r="A75" s="442"/>
      <c r="B75" s="996" t="s">
        <v>81</v>
      </c>
      <c r="C75" s="997"/>
      <c r="D75" s="141"/>
      <c r="E75" s="141">
        <f>+I69</f>
        <v>0</v>
      </c>
      <c r="F75" s="141"/>
      <c r="G75" s="141">
        <f>+K69</f>
        <v>0</v>
      </c>
      <c r="H75" s="141"/>
    </row>
    <row r="76" spans="1:11" ht="13.5" thickBot="1" x14ac:dyDescent="0.25">
      <c r="B76" s="998" t="s">
        <v>45</v>
      </c>
      <c r="C76" s="999"/>
      <c r="D76" s="145"/>
      <c r="E76" s="145">
        <f>SUM(E74:E75)</f>
        <v>12514.419352029819</v>
      </c>
      <c r="F76" s="145">
        <f>+E78*E80</f>
        <v>12514.419352029819</v>
      </c>
      <c r="G76" s="145">
        <f>SUM(G74:G75)</f>
        <v>12514.419352029819</v>
      </c>
      <c r="H76" s="145"/>
    </row>
    <row r="77" spans="1:11" x14ac:dyDescent="0.2">
      <c r="B77" s="1000" t="s">
        <v>103</v>
      </c>
      <c r="C77" s="1001"/>
      <c r="D77" s="147">
        <v>0</v>
      </c>
      <c r="E77" s="148"/>
      <c r="F77" s="148"/>
      <c r="G77" s="148">
        <f>+G76/(1-$D$77)</f>
        <v>12514.419352029819</v>
      </c>
      <c r="H77" s="148"/>
    </row>
    <row r="78" spans="1:11" x14ac:dyDescent="0.2">
      <c r="B78" s="1219" t="s">
        <v>106</v>
      </c>
      <c r="C78" s="407" t="s">
        <v>107</v>
      </c>
      <c r="D78" s="151" t="s">
        <v>108</v>
      </c>
      <c r="E78" s="152">
        <v>580</v>
      </c>
      <c r="F78" s="153">
        <v>500</v>
      </c>
      <c r="G78" s="158"/>
      <c r="H78" s="153"/>
    </row>
    <row r="79" spans="1:11" x14ac:dyDescent="0.2">
      <c r="B79" s="1220"/>
      <c r="C79" s="407" t="s">
        <v>109</v>
      </c>
      <c r="D79" s="151" t="s">
        <v>108</v>
      </c>
      <c r="E79" s="155">
        <v>600</v>
      </c>
      <c r="F79" s="154"/>
      <c r="G79" s="15"/>
      <c r="H79" s="154"/>
    </row>
    <row r="80" spans="1:11" x14ac:dyDescent="0.2">
      <c r="B80" s="1189" t="s">
        <v>110</v>
      </c>
      <c r="C80" s="1190"/>
      <c r="D80" s="156" t="s">
        <v>111</v>
      </c>
      <c r="E80" s="359">
        <f>+E76/E78</f>
        <v>21.576585089706587</v>
      </c>
      <c r="F80" s="357">
        <f>E76/F78</f>
        <v>25.028838704059638</v>
      </c>
      <c r="G80" s="154"/>
      <c r="H80" s="158"/>
    </row>
    <row r="81" spans="4:8" x14ac:dyDescent="0.2">
      <c r="D81" s="156" t="s">
        <v>112</v>
      </c>
      <c r="E81" s="359">
        <f>+E76/E79</f>
        <v>20.857365586716366</v>
      </c>
      <c r="F81" s="154">
        <f>+F80*E78</f>
        <v>14516.72644835459</v>
      </c>
      <c r="H81" s="15"/>
    </row>
    <row r="82" spans="4:8" x14ac:dyDescent="0.2">
      <c r="D82" s="1" t="s">
        <v>380</v>
      </c>
      <c r="E82" s="356">
        <f>+E80*E78</f>
        <v>12514.419352029819</v>
      </c>
      <c r="F82" s="356">
        <f>+F80*F78</f>
        <v>12514.419352029819</v>
      </c>
      <c r="G82" s="356"/>
      <c r="H82" s="360"/>
    </row>
    <row r="83" spans="4:8" ht="13.5" thickBot="1" x14ac:dyDescent="0.25">
      <c r="D83" s="1" t="s">
        <v>381</v>
      </c>
      <c r="E83" s="356">
        <f>+E81*E79</f>
        <v>12514.419352029819</v>
      </c>
      <c r="F83" s="369">
        <f>+F81-F82</f>
        <v>2002.3070963247701</v>
      </c>
    </row>
    <row r="84" spans="4:8" ht="13.5" thickTop="1" x14ac:dyDescent="0.2">
      <c r="E84" s="356"/>
      <c r="F84" s="356">
        <f>+F82/F81</f>
        <v>0.86206896551724144</v>
      </c>
      <c r="H84" s="356"/>
    </row>
    <row r="85" spans="4:8" x14ac:dyDescent="0.2">
      <c r="E85" s="356"/>
      <c r="F85" s="360">
        <f>+F83/F81</f>
        <v>0.13793103448275856</v>
      </c>
      <c r="H85" s="356"/>
    </row>
    <row r="86" spans="4:8" x14ac:dyDescent="0.2">
      <c r="D86" s="356"/>
    </row>
    <row r="89" spans="4:8" x14ac:dyDescent="0.2">
      <c r="D89" s="368"/>
    </row>
  </sheetData>
  <sheetProtection selectLockedCells="1"/>
  <mergeCells count="71">
    <mergeCell ref="B77:C77"/>
    <mergeCell ref="B78:B79"/>
    <mergeCell ref="B80:C80"/>
    <mergeCell ref="B69:C69"/>
    <mergeCell ref="B70:C70"/>
    <mergeCell ref="B74:C74"/>
    <mergeCell ref="B75:C75"/>
    <mergeCell ref="B76:C76"/>
    <mergeCell ref="B54:C54"/>
    <mergeCell ref="B55:C55"/>
    <mergeCell ref="B56:C56"/>
    <mergeCell ref="B68:C68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2:C52"/>
    <mergeCell ref="B53:C53"/>
    <mergeCell ref="B51:C51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35:C35"/>
    <mergeCell ref="B36:C36"/>
    <mergeCell ref="B37:C37"/>
    <mergeCell ref="B38:C38"/>
    <mergeCell ref="B39:C39"/>
    <mergeCell ref="B18:C18"/>
    <mergeCell ref="B19:C19"/>
    <mergeCell ref="B20:C20"/>
    <mergeCell ref="B30:C30"/>
    <mergeCell ref="B31:C31"/>
    <mergeCell ref="B28:C28"/>
    <mergeCell ref="B29:C29"/>
    <mergeCell ref="B32:C32"/>
    <mergeCell ref="B33:C33"/>
    <mergeCell ref="B34:C34"/>
    <mergeCell ref="B27:C27"/>
    <mergeCell ref="B21:C21"/>
    <mergeCell ref="B26:C26"/>
    <mergeCell ref="B22:C22"/>
    <mergeCell ref="B23:C23"/>
    <mergeCell ref="B24:C24"/>
    <mergeCell ref="B25:C25"/>
    <mergeCell ref="J15:K15"/>
    <mergeCell ref="B17:C17"/>
    <mergeCell ref="B1:K2"/>
    <mergeCell ref="B3:K4"/>
    <mergeCell ref="B5:K6"/>
    <mergeCell ref="B9:B10"/>
    <mergeCell ref="B13:K13"/>
    <mergeCell ref="H15:I15"/>
    <mergeCell ref="B15:C16"/>
    <mergeCell ref="D15:D16"/>
    <mergeCell ref="E15:E16"/>
    <mergeCell ref="G15:G16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O97"/>
  <sheetViews>
    <sheetView topLeftCell="A22" workbookViewId="0">
      <selection activeCell="N79" sqref="C1:N1048576"/>
    </sheetView>
  </sheetViews>
  <sheetFormatPr baseColWidth="10" defaultColWidth="10" defaultRowHeight="15" x14ac:dyDescent="0.25"/>
  <cols>
    <col min="1" max="1" width="9.7109375" style="284" bestFit="1" customWidth="1"/>
    <col min="2" max="2" width="40.140625" style="283" bestFit="1" customWidth="1"/>
    <col min="3" max="3" width="11.7109375" style="284" hidden="1" customWidth="1"/>
    <col min="4" max="4" width="9.85546875" style="284" hidden="1" customWidth="1"/>
    <col min="5" max="7" width="9.85546875" style="285" hidden="1" customWidth="1"/>
    <col min="8" max="8" width="10.85546875" style="285" hidden="1" customWidth="1"/>
    <col min="9" max="11" width="10.140625" style="285" hidden="1" customWidth="1"/>
    <col min="12" max="13" width="10.85546875" style="285" hidden="1" customWidth="1"/>
    <col min="14" max="14" width="9.85546875" style="284" hidden="1" customWidth="1"/>
    <col min="15" max="15" width="12.28515625" style="286" customWidth="1"/>
    <col min="16" max="255" width="10" style="284"/>
    <col min="256" max="256" width="9.7109375" style="284" bestFit="1" customWidth="1"/>
    <col min="257" max="257" width="40.140625" style="284" bestFit="1" customWidth="1"/>
    <col min="258" max="258" width="11.7109375" style="284" customWidth="1"/>
    <col min="259" max="269" width="9.85546875" style="284" customWidth="1"/>
    <col min="270" max="270" width="10.5703125" style="284" bestFit="1" customWidth="1"/>
    <col min="271" max="511" width="10" style="284"/>
    <col min="512" max="512" width="9.7109375" style="284" bestFit="1" customWidth="1"/>
    <col min="513" max="513" width="40.140625" style="284" bestFit="1" customWidth="1"/>
    <col min="514" max="514" width="11.7109375" style="284" customWidth="1"/>
    <col min="515" max="525" width="9.85546875" style="284" customWidth="1"/>
    <col min="526" max="526" width="10.5703125" style="284" bestFit="1" customWidth="1"/>
    <col min="527" max="767" width="10" style="284"/>
    <col min="768" max="768" width="9.7109375" style="284" bestFit="1" customWidth="1"/>
    <col min="769" max="769" width="40.140625" style="284" bestFit="1" customWidth="1"/>
    <col min="770" max="770" width="11.7109375" style="284" customWidth="1"/>
    <col min="771" max="781" width="9.85546875" style="284" customWidth="1"/>
    <col min="782" max="782" width="10.5703125" style="284" bestFit="1" customWidth="1"/>
    <col min="783" max="1023" width="10" style="284"/>
    <col min="1024" max="1024" width="9.7109375" style="284" bestFit="1" customWidth="1"/>
    <col min="1025" max="1025" width="40.140625" style="284" bestFit="1" customWidth="1"/>
    <col min="1026" max="1026" width="11.7109375" style="284" customWidth="1"/>
    <col min="1027" max="1037" width="9.85546875" style="284" customWidth="1"/>
    <col min="1038" max="1038" width="10.5703125" style="284" bestFit="1" customWidth="1"/>
    <col min="1039" max="1279" width="10" style="284"/>
    <col min="1280" max="1280" width="9.7109375" style="284" bestFit="1" customWidth="1"/>
    <col min="1281" max="1281" width="40.140625" style="284" bestFit="1" customWidth="1"/>
    <col min="1282" max="1282" width="11.7109375" style="284" customWidth="1"/>
    <col min="1283" max="1293" width="9.85546875" style="284" customWidth="1"/>
    <col min="1294" max="1294" width="10.5703125" style="284" bestFit="1" customWidth="1"/>
    <col min="1295" max="1535" width="10" style="284"/>
    <col min="1536" max="1536" width="9.7109375" style="284" bestFit="1" customWidth="1"/>
    <col min="1537" max="1537" width="40.140625" style="284" bestFit="1" customWidth="1"/>
    <col min="1538" max="1538" width="11.7109375" style="284" customWidth="1"/>
    <col min="1539" max="1549" width="9.85546875" style="284" customWidth="1"/>
    <col min="1550" max="1550" width="10.5703125" style="284" bestFit="1" customWidth="1"/>
    <col min="1551" max="1791" width="10" style="284"/>
    <col min="1792" max="1792" width="9.7109375" style="284" bestFit="1" customWidth="1"/>
    <col min="1793" max="1793" width="40.140625" style="284" bestFit="1" customWidth="1"/>
    <col min="1794" max="1794" width="11.7109375" style="284" customWidth="1"/>
    <col min="1795" max="1805" width="9.85546875" style="284" customWidth="1"/>
    <col min="1806" max="1806" width="10.5703125" style="284" bestFit="1" customWidth="1"/>
    <col min="1807" max="2047" width="10" style="284"/>
    <col min="2048" max="2048" width="9.7109375" style="284" bestFit="1" customWidth="1"/>
    <col min="2049" max="2049" width="40.140625" style="284" bestFit="1" customWidth="1"/>
    <col min="2050" max="2050" width="11.7109375" style="284" customWidth="1"/>
    <col min="2051" max="2061" width="9.85546875" style="284" customWidth="1"/>
    <col min="2062" max="2062" width="10.5703125" style="284" bestFit="1" customWidth="1"/>
    <col min="2063" max="2303" width="10" style="284"/>
    <col min="2304" max="2304" width="9.7109375" style="284" bestFit="1" customWidth="1"/>
    <col min="2305" max="2305" width="40.140625" style="284" bestFit="1" customWidth="1"/>
    <col min="2306" max="2306" width="11.7109375" style="284" customWidth="1"/>
    <col min="2307" max="2317" width="9.85546875" style="284" customWidth="1"/>
    <col min="2318" max="2318" width="10.5703125" style="284" bestFit="1" customWidth="1"/>
    <col min="2319" max="2559" width="10" style="284"/>
    <col min="2560" max="2560" width="9.7109375" style="284" bestFit="1" customWidth="1"/>
    <col min="2561" max="2561" width="40.140625" style="284" bestFit="1" customWidth="1"/>
    <col min="2562" max="2562" width="11.7109375" style="284" customWidth="1"/>
    <col min="2563" max="2573" width="9.85546875" style="284" customWidth="1"/>
    <col min="2574" max="2574" width="10.5703125" style="284" bestFit="1" customWidth="1"/>
    <col min="2575" max="2815" width="10" style="284"/>
    <col min="2816" max="2816" width="9.7109375" style="284" bestFit="1" customWidth="1"/>
    <col min="2817" max="2817" width="40.140625" style="284" bestFit="1" customWidth="1"/>
    <col min="2818" max="2818" width="11.7109375" style="284" customWidth="1"/>
    <col min="2819" max="2829" width="9.85546875" style="284" customWidth="1"/>
    <col min="2830" max="2830" width="10.5703125" style="284" bestFit="1" customWidth="1"/>
    <col min="2831" max="3071" width="10" style="284"/>
    <col min="3072" max="3072" width="9.7109375" style="284" bestFit="1" customWidth="1"/>
    <col min="3073" max="3073" width="40.140625" style="284" bestFit="1" customWidth="1"/>
    <col min="3074" max="3074" width="11.7109375" style="284" customWidth="1"/>
    <col min="3075" max="3085" width="9.85546875" style="284" customWidth="1"/>
    <col min="3086" max="3086" width="10.5703125" style="284" bestFit="1" customWidth="1"/>
    <col min="3087" max="3327" width="10" style="284"/>
    <col min="3328" max="3328" width="9.7109375" style="284" bestFit="1" customWidth="1"/>
    <col min="3329" max="3329" width="40.140625" style="284" bestFit="1" customWidth="1"/>
    <col min="3330" max="3330" width="11.7109375" style="284" customWidth="1"/>
    <col min="3331" max="3341" width="9.85546875" style="284" customWidth="1"/>
    <col min="3342" max="3342" width="10.5703125" style="284" bestFit="1" customWidth="1"/>
    <col min="3343" max="3583" width="10" style="284"/>
    <col min="3584" max="3584" width="9.7109375" style="284" bestFit="1" customWidth="1"/>
    <col min="3585" max="3585" width="40.140625" style="284" bestFit="1" customWidth="1"/>
    <col min="3586" max="3586" width="11.7109375" style="284" customWidth="1"/>
    <col min="3587" max="3597" width="9.85546875" style="284" customWidth="1"/>
    <col min="3598" max="3598" width="10.5703125" style="284" bestFit="1" customWidth="1"/>
    <col min="3599" max="3839" width="10" style="284"/>
    <col min="3840" max="3840" width="9.7109375" style="284" bestFit="1" customWidth="1"/>
    <col min="3841" max="3841" width="40.140625" style="284" bestFit="1" customWidth="1"/>
    <col min="3842" max="3842" width="11.7109375" style="284" customWidth="1"/>
    <col min="3843" max="3853" width="9.85546875" style="284" customWidth="1"/>
    <col min="3854" max="3854" width="10.5703125" style="284" bestFit="1" customWidth="1"/>
    <col min="3855" max="4095" width="10" style="284"/>
    <col min="4096" max="4096" width="9.7109375" style="284" bestFit="1" customWidth="1"/>
    <col min="4097" max="4097" width="40.140625" style="284" bestFit="1" customWidth="1"/>
    <col min="4098" max="4098" width="11.7109375" style="284" customWidth="1"/>
    <col min="4099" max="4109" width="9.85546875" style="284" customWidth="1"/>
    <col min="4110" max="4110" width="10.5703125" style="284" bestFit="1" customWidth="1"/>
    <col min="4111" max="4351" width="10" style="284"/>
    <col min="4352" max="4352" width="9.7109375" style="284" bestFit="1" customWidth="1"/>
    <col min="4353" max="4353" width="40.140625" style="284" bestFit="1" customWidth="1"/>
    <col min="4354" max="4354" width="11.7109375" style="284" customWidth="1"/>
    <col min="4355" max="4365" width="9.85546875" style="284" customWidth="1"/>
    <col min="4366" max="4366" width="10.5703125" style="284" bestFit="1" customWidth="1"/>
    <col min="4367" max="4607" width="10" style="284"/>
    <col min="4608" max="4608" width="9.7109375" style="284" bestFit="1" customWidth="1"/>
    <col min="4609" max="4609" width="40.140625" style="284" bestFit="1" customWidth="1"/>
    <col min="4610" max="4610" width="11.7109375" style="284" customWidth="1"/>
    <col min="4611" max="4621" width="9.85546875" style="284" customWidth="1"/>
    <col min="4622" max="4622" width="10.5703125" style="284" bestFit="1" customWidth="1"/>
    <col min="4623" max="4863" width="10" style="284"/>
    <col min="4864" max="4864" width="9.7109375" style="284" bestFit="1" customWidth="1"/>
    <col min="4865" max="4865" width="40.140625" style="284" bestFit="1" customWidth="1"/>
    <col min="4866" max="4866" width="11.7109375" style="284" customWidth="1"/>
    <col min="4867" max="4877" width="9.85546875" style="284" customWidth="1"/>
    <col min="4878" max="4878" width="10.5703125" style="284" bestFit="1" customWidth="1"/>
    <col min="4879" max="5119" width="10" style="284"/>
    <col min="5120" max="5120" width="9.7109375" style="284" bestFit="1" customWidth="1"/>
    <col min="5121" max="5121" width="40.140625" style="284" bestFit="1" customWidth="1"/>
    <col min="5122" max="5122" width="11.7109375" style="284" customWidth="1"/>
    <col min="5123" max="5133" width="9.85546875" style="284" customWidth="1"/>
    <col min="5134" max="5134" width="10.5703125" style="284" bestFit="1" customWidth="1"/>
    <col min="5135" max="5375" width="10" style="284"/>
    <col min="5376" max="5376" width="9.7109375" style="284" bestFit="1" customWidth="1"/>
    <col min="5377" max="5377" width="40.140625" style="284" bestFit="1" customWidth="1"/>
    <col min="5378" max="5378" width="11.7109375" style="284" customWidth="1"/>
    <col min="5379" max="5389" width="9.85546875" style="284" customWidth="1"/>
    <col min="5390" max="5390" width="10.5703125" style="284" bestFit="1" customWidth="1"/>
    <col min="5391" max="5631" width="10" style="284"/>
    <col min="5632" max="5632" width="9.7109375" style="284" bestFit="1" customWidth="1"/>
    <col min="5633" max="5633" width="40.140625" style="284" bestFit="1" customWidth="1"/>
    <col min="5634" max="5634" width="11.7109375" style="284" customWidth="1"/>
    <col min="5635" max="5645" width="9.85546875" style="284" customWidth="1"/>
    <col min="5646" max="5646" width="10.5703125" style="284" bestFit="1" customWidth="1"/>
    <col min="5647" max="5887" width="10" style="284"/>
    <col min="5888" max="5888" width="9.7109375" style="284" bestFit="1" customWidth="1"/>
    <col min="5889" max="5889" width="40.140625" style="284" bestFit="1" customWidth="1"/>
    <col min="5890" max="5890" width="11.7109375" style="284" customWidth="1"/>
    <col min="5891" max="5901" width="9.85546875" style="284" customWidth="1"/>
    <col min="5902" max="5902" width="10.5703125" style="284" bestFit="1" customWidth="1"/>
    <col min="5903" max="6143" width="10" style="284"/>
    <col min="6144" max="6144" width="9.7109375" style="284" bestFit="1" customWidth="1"/>
    <col min="6145" max="6145" width="40.140625" style="284" bestFit="1" customWidth="1"/>
    <col min="6146" max="6146" width="11.7109375" style="284" customWidth="1"/>
    <col min="6147" max="6157" width="9.85546875" style="284" customWidth="1"/>
    <col min="6158" max="6158" width="10.5703125" style="284" bestFit="1" customWidth="1"/>
    <col min="6159" max="6399" width="10" style="284"/>
    <col min="6400" max="6400" width="9.7109375" style="284" bestFit="1" customWidth="1"/>
    <col min="6401" max="6401" width="40.140625" style="284" bestFit="1" customWidth="1"/>
    <col min="6402" max="6402" width="11.7109375" style="284" customWidth="1"/>
    <col min="6403" max="6413" width="9.85546875" style="284" customWidth="1"/>
    <col min="6414" max="6414" width="10.5703125" style="284" bestFit="1" customWidth="1"/>
    <col min="6415" max="6655" width="10" style="284"/>
    <col min="6656" max="6656" width="9.7109375" style="284" bestFit="1" customWidth="1"/>
    <col min="6657" max="6657" width="40.140625" style="284" bestFit="1" customWidth="1"/>
    <col min="6658" max="6658" width="11.7109375" style="284" customWidth="1"/>
    <col min="6659" max="6669" width="9.85546875" style="284" customWidth="1"/>
    <col min="6670" max="6670" width="10.5703125" style="284" bestFit="1" customWidth="1"/>
    <col min="6671" max="6911" width="10" style="284"/>
    <col min="6912" max="6912" width="9.7109375" style="284" bestFit="1" customWidth="1"/>
    <col min="6913" max="6913" width="40.140625" style="284" bestFit="1" customWidth="1"/>
    <col min="6914" max="6914" width="11.7109375" style="284" customWidth="1"/>
    <col min="6915" max="6925" width="9.85546875" style="284" customWidth="1"/>
    <col min="6926" max="6926" width="10.5703125" style="284" bestFit="1" customWidth="1"/>
    <col min="6927" max="7167" width="10" style="284"/>
    <col min="7168" max="7168" width="9.7109375" style="284" bestFit="1" customWidth="1"/>
    <col min="7169" max="7169" width="40.140625" style="284" bestFit="1" customWidth="1"/>
    <col min="7170" max="7170" width="11.7109375" style="284" customWidth="1"/>
    <col min="7171" max="7181" width="9.85546875" style="284" customWidth="1"/>
    <col min="7182" max="7182" width="10.5703125" style="284" bestFit="1" customWidth="1"/>
    <col min="7183" max="7423" width="10" style="284"/>
    <col min="7424" max="7424" width="9.7109375" style="284" bestFit="1" customWidth="1"/>
    <col min="7425" max="7425" width="40.140625" style="284" bestFit="1" customWidth="1"/>
    <col min="7426" max="7426" width="11.7109375" style="284" customWidth="1"/>
    <col min="7427" max="7437" width="9.85546875" style="284" customWidth="1"/>
    <col min="7438" max="7438" width="10.5703125" style="284" bestFit="1" customWidth="1"/>
    <col min="7439" max="7679" width="10" style="284"/>
    <col min="7680" max="7680" width="9.7109375" style="284" bestFit="1" customWidth="1"/>
    <col min="7681" max="7681" width="40.140625" style="284" bestFit="1" customWidth="1"/>
    <col min="7682" max="7682" width="11.7109375" style="284" customWidth="1"/>
    <col min="7683" max="7693" width="9.85546875" style="284" customWidth="1"/>
    <col min="7694" max="7694" width="10.5703125" style="284" bestFit="1" customWidth="1"/>
    <col min="7695" max="7935" width="10" style="284"/>
    <col min="7936" max="7936" width="9.7109375" style="284" bestFit="1" customWidth="1"/>
    <col min="7937" max="7937" width="40.140625" style="284" bestFit="1" customWidth="1"/>
    <col min="7938" max="7938" width="11.7109375" style="284" customWidth="1"/>
    <col min="7939" max="7949" width="9.85546875" style="284" customWidth="1"/>
    <col min="7950" max="7950" width="10.5703125" style="284" bestFit="1" customWidth="1"/>
    <col min="7951" max="8191" width="10" style="284"/>
    <col min="8192" max="8192" width="9.7109375" style="284" bestFit="1" customWidth="1"/>
    <col min="8193" max="8193" width="40.140625" style="284" bestFit="1" customWidth="1"/>
    <col min="8194" max="8194" width="11.7109375" style="284" customWidth="1"/>
    <col min="8195" max="8205" width="9.85546875" style="284" customWidth="1"/>
    <col min="8206" max="8206" width="10.5703125" style="284" bestFit="1" customWidth="1"/>
    <col min="8207" max="8447" width="10" style="284"/>
    <col min="8448" max="8448" width="9.7109375" style="284" bestFit="1" customWidth="1"/>
    <col min="8449" max="8449" width="40.140625" style="284" bestFit="1" customWidth="1"/>
    <col min="8450" max="8450" width="11.7109375" style="284" customWidth="1"/>
    <col min="8451" max="8461" width="9.85546875" style="284" customWidth="1"/>
    <col min="8462" max="8462" width="10.5703125" style="284" bestFit="1" customWidth="1"/>
    <col min="8463" max="8703" width="10" style="284"/>
    <col min="8704" max="8704" width="9.7109375" style="284" bestFit="1" customWidth="1"/>
    <col min="8705" max="8705" width="40.140625" style="284" bestFit="1" customWidth="1"/>
    <col min="8706" max="8706" width="11.7109375" style="284" customWidth="1"/>
    <col min="8707" max="8717" width="9.85546875" style="284" customWidth="1"/>
    <col min="8718" max="8718" width="10.5703125" style="284" bestFit="1" customWidth="1"/>
    <col min="8719" max="8959" width="10" style="284"/>
    <col min="8960" max="8960" width="9.7109375" style="284" bestFit="1" customWidth="1"/>
    <col min="8961" max="8961" width="40.140625" style="284" bestFit="1" customWidth="1"/>
    <col min="8962" max="8962" width="11.7109375" style="284" customWidth="1"/>
    <col min="8963" max="8973" width="9.85546875" style="284" customWidth="1"/>
    <col min="8974" max="8974" width="10.5703125" style="284" bestFit="1" customWidth="1"/>
    <col min="8975" max="9215" width="10" style="284"/>
    <col min="9216" max="9216" width="9.7109375" style="284" bestFit="1" customWidth="1"/>
    <col min="9217" max="9217" width="40.140625" style="284" bestFit="1" customWidth="1"/>
    <col min="9218" max="9218" width="11.7109375" style="284" customWidth="1"/>
    <col min="9219" max="9229" width="9.85546875" style="284" customWidth="1"/>
    <col min="9230" max="9230" width="10.5703125" style="284" bestFit="1" customWidth="1"/>
    <col min="9231" max="9471" width="10" style="284"/>
    <col min="9472" max="9472" width="9.7109375" style="284" bestFit="1" customWidth="1"/>
    <col min="9473" max="9473" width="40.140625" style="284" bestFit="1" customWidth="1"/>
    <col min="9474" max="9474" width="11.7109375" style="284" customWidth="1"/>
    <col min="9475" max="9485" width="9.85546875" style="284" customWidth="1"/>
    <col min="9486" max="9486" width="10.5703125" style="284" bestFit="1" customWidth="1"/>
    <col min="9487" max="9727" width="10" style="284"/>
    <col min="9728" max="9728" width="9.7109375" style="284" bestFit="1" customWidth="1"/>
    <col min="9729" max="9729" width="40.140625" style="284" bestFit="1" customWidth="1"/>
    <col min="9730" max="9730" width="11.7109375" style="284" customWidth="1"/>
    <col min="9731" max="9741" width="9.85546875" style="284" customWidth="1"/>
    <col min="9742" max="9742" width="10.5703125" style="284" bestFit="1" customWidth="1"/>
    <col min="9743" max="9983" width="10" style="284"/>
    <col min="9984" max="9984" width="9.7109375" style="284" bestFit="1" customWidth="1"/>
    <col min="9985" max="9985" width="40.140625" style="284" bestFit="1" customWidth="1"/>
    <col min="9986" max="9986" width="11.7109375" style="284" customWidth="1"/>
    <col min="9987" max="9997" width="9.85546875" style="284" customWidth="1"/>
    <col min="9998" max="9998" width="10.5703125" style="284" bestFit="1" customWidth="1"/>
    <col min="9999" max="10239" width="10" style="284"/>
    <col min="10240" max="10240" width="9.7109375" style="284" bestFit="1" customWidth="1"/>
    <col min="10241" max="10241" width="40.140625" style="284" bestFit="1" customWidth="1"/>
    <col min="10242" max="10242" width="11.7109375" style="284" customWidth="1"/>
    <col min="10243" max="10253" width="9.85546875" style="284" customWidth="1"/>
    <col min="10254" max="10254" width="10.5703125" style="284" bestFit="1" customWidth="1"/>
    <col min="10255" max="10495" width="10" style="284"/>
    <col min="10496" max="10496" width="9.7109375" style="284" bestFit="1" customWidth="1"/>
    <col min="10497" max="10497" width="40.140625" style="284" bestFit="1" customWidth="1"/>
    <col min="10498" max="10498" width="11.7109375" style="284" customWidth="1"/>
    <col min="10499" max="10509" width="9.85546875" style="284" customWidth="1"/>
    <col min="10510" max="10510" width="10.5703125" style="284" bestFit="1" customWidth="1"/>
    <col min="10511" max="10751" width="10" style="284"/>
    <col min="10752" max="10752" width="9.7109375" style="284" bestFit="1" customWidth="1"/>
    <col min="10753" max="10753" width="40.140625" style="284" bestFit="1" customWidth="1"/>
    <col min="10754" max="10754" width="11.7109375" style="284" customWidth="1"/>
    <col min="10755" max="10765" width="9.85546875" style="284" customWidth="1"/>
    <col min="10766" max="10766" width="10.5703125" style="284" bestFit="1" customWidth="1"/>
    <col min="10767" max="11007" width="10" style="284"/>
    <col min="11008" max="11008" width="9.7109375" style="284" bestFit="1" customWidth="1"/>
    <col min="11009" max="11009" width="40.140625" style="284" bestFit="1" customWidth="1"/>
    <col min="11010" max="11010" width="11.7109375" style="284" customWidth="1"/>
    <col min="11011" max="11021" width="9.85546875" style="284" customWidth="1"/>
    <col min="11022" max="11022" width="10.5703125" style="284" bestFit="1" customWidth="1"/>
    <col min="11023" max="11263" width="10" style="284"/>
    <col min="11264" max="11264" width="9.7109375" style="284" bestFit="1" customWidth="1"/>
    <col min="11265" max="11265" width="40.140625" style="284" bestFit="1" customWidth="1"/>
    <col min="11266" max="11266" width="11.7109375" style="284" customWidth="1"/>
    <col min="11267" max="11277" width="9.85546875" style="284" customWidth="1"/>
    <col min="11278" max="11278" width="10.5703125" style="284" bestFit="1" customWidth="1"/>
    <col min="11279" max="11519" width="10" style="284"/>
    <col min="11520" max="11520" width="9.7109375" style="284" bestFit="1" customWidth="1"/>
    <col min="11521" max="11521" width="40.140625" style="284" bestFit="1" customWidth="1"/>
    <col min="11522" max="11522" width="11.7109375" style="284" customWidth="1"/>
    <col min="11523" max="11533" width="9.85546875" style="284" customWidth="1"/>
    <col min="11534" max="11534" width="10.5703125" style="284" bestFit="1" customWidth="1"/>
    <col min="11535" max="11775" width="10" style="284"/>
    <col min="11776" max="11776" width="9.7109375" style="284" bestFit="1" customWidth="1"/>
    <col min="11777" max="11777" width="40.140625" style="284" bestFit="1" customWidth="1"/>
    <col min="11778" max="11778" width="11.7109375" style="284" customWidth="1"/>
    <col min="11779" max="11789" width="9.85546875" style="284" customWidth="1"/>
    <col min="11790" max="11790" width="10.5703125" style="284" bestFit="1" customWidth="1"/>
    <col min="11791" max="12031" width="10" style="284"/>
    <col min="12032" max="12032" width="9.7109375" style="284" bestFit="1" customWidth="1"/>
    <col min="12033" max="12033" width="40.140625" style="284" bestFit="1" customWidth="1"/>
    <col min="12034" max="12034" width="11.7109375" style="284" customWidth="1"/>
    <col min="12035" max="12045" width="9.85546875" style="284" customWidth="1"/>
    <col min="12046" max="12046" width="10.5703125" style="284" bestFit="1" customWidth="1"/>
    <col min="12047" max="12287" width="10" style="284"/>
    <col min="12288" max="12288" width="9.7109375" style="284" bestFit="1" customWidth="1"/>
    <col min="12289" max="12289" width="40.140625" style="284" bestFit="1" customWidth="1"/>
    <col min="12290" max="12290" width="11.7109375" style="284" customWidth="1"/>
    <col min="12291" max="12301" width="9.85546875" style="284" customWidth="1"/>
    <col min="12302" max="12302" width="10.5703125" style="284" bestFit="1" customWidth="1"/>
    <col min="12303" max="12543" width="10" style="284"/>
    <col min="12544" max="12544" width="9.7109375" style="284" bestFit="1" customWidth="1"/>
    <col min="12545" max="12545" width="40.140625" style="284" bestFit="1" customWidth="1"/>
    <col min="12546" max="12546" width="11.7109375" style="284" customWidth="1"/>
    <col min="12547" max="12557" width="9.85546875" style="284" customWidth="1"/>
    <col min="12558" max="12558" width="10.5703125" style="284" bestFit="1" customWidth="1"/>
    <col min="12559" max="12799" width="10" style="284"/>
    <col min="12800" max="12800" width="9.7109375" style="284" bestFit="1" customWidth="1"/>
    <col min="12801" max="12801" width="40.140625" style="284" bestFit="1" customWidth="1"/>
    <col min="12802" max="12802" width="11.7109375" style="284" customWidth="1"/>
    <col min="12803" max="12813" width="9.85546875" style="284" customWidth="1"/>
    <col min="12814" max="12814" width="10.5703125" style="284" bestFit="1" customWidth="1"/>
    <col min="12815" max="13055" width="10" style="284"/>
    <col min="13056" max="13056" width="9.7109375" style="284" bestFit="1" customWidth="1"/>
    <col min="13057" max="13057" width="40.140625" style="284" bestFit="1" customWidth="1"/>
    <col min="13058" max="13058" width="11.7109375" style="284" customWidth="1"/>
    <col min="13059" max="13069" width="9.85546875" style="284" customWidth="1"/>
    <col min="13070" max="13070" width="10.5703125" style="284" bestFit="1" customWidth="1"/>
    <col min="13071" max="13311" width="10" style="284"/>
    <col min="13312" max="13312" width="9.7109375" style="284" bestFit="1" customWidth="1"/>
    <col min="13313" max="13313" width="40.140625" style="284" bestFit="1" customWidth="1"/>
    <col min="13314" max="13314" width="11.7109375" style="284" customWidth="1"/>
    <col min="13315" max="13325" width="9.85546875" style="284" customWidth="1"/>
    <col min="13326" max="13326" width="10.5703125" style="284" bestFit="1" customWidth="1"/>
    <col min="13327" max="13567" width="10" style="284"/>
    <col min="13568" max="13568" width="9.7109375" style="284" bestFit="1" customWidth="1"/>
    <col min="13569" max="13569" width="40.140625" style="284" bestFit="1" customWidth="1"/>
    <col min="13570" max="13570" width="11.7109375" style="284" customWidth="1"/>
    <col min="13571" max="13581" width="9.85546875" style="284" customWidth="1"/>
    <col min="13582" max="13582" width="10.5703125" style="284" bestFit="1" customWidth="1"/>
    <col min="13583" max="13823" width="10" style="284"/>
    <col min="13824" max="13824" width="9.7109375" style="284" bestFit="1" customWidth="1"/>
    <col min="13825" max="13825" width="40.140625" style="284" bestFit="1" customWidth="1"/>
    <col min="13826" max="13826" width="11.7109375" style="284" customWidth="1"/>
    <col min="13827" max="13837" width="9.85546875" style="284" customWidth="1"/>
    <col min="13838" max="13838" width="10.5703125" style="284" bestFit="1" customWidth="1"/>
    <col min="13839" max="14079" width="10" style="284"/>
    <col min="14080" max="14080" width="9.7109375" style="284" bestFit="1" customWidth="1"/>
    <col min="14081" max="14081" width="40.140625" style="284" bestFit="1" customWidth="1"/>
    <col min="14082" max="14082" width="11.7109375" style="284" customWidth="1"/>
    <col min="14083" max="14093" width="9.85546875" style="284" customWidth="1"/>
    <col min="14094" max="14094" width="10.5703125" style="284" bestFit="1" customWidth="1"/>
    <col min="14095" max="14335" width="10" style="284"/>
    <col min="14336" max="14336" width="9.7109375" style="284" bestFit="1" customWidth="1"/>
    <col min="14337" max="14337" width="40.140625" style="284" bestFit="1" customWidth="1"/>
    <col min="14338" max="14338" width="11.7109375" style="284" customWidth="1"/>
    <col min="14339" max="14349" width="9.85546875" style="284" customWidth="1"/>
    <col min="14350" max="14350" width="10.5703125" style="284" bestFit="1" customWidth="1"/>
    <col min="14351" max="14591" width="10" style="284"/>
    <col min="14592" max="14592" width="9.7109375" style="284" bestFit="1" customWidth="1"/>
    <col min="14593" max="14593" width="40.140625" style="284" bestFit="1" customWidth="1"/>
    <col min="14594" max="14594" width="11.7109375" style="284" customWidth="1"/>
    <col min="14595" max="14605" width="9.85546875" style="284" customWidth="1"/>
    <col min="14606" max="14606" width="10.5703125" style="284" bestFit="1" customWidth="1"/>
    <col min="14607" max="14847" width="10" style="284"/>
    <col min="14848" max="14848" width="9.7109375" style="284" bestFit="1" customWidth="1"/>
    <col min="14849" max="14849" width="40.140625" style="284" bestFit="1" customWidth="1"/>
    <col min="14850" max="14850" width="11.7109375" style="284" customWidth="1"/>
    <col min="14851" max="14861" width="9.85546875" style="284" customWidth="1"/>
    <col min="14862" max="14862" width="10.5703125" style="284" bestFit="1" customWidth="1"/>
    <col min="14863" max="15103" width="10" style="284"/>
    <col min="15104" max="15104" width="9.7109375" style="284" bestFit="1" customWidth="1"/>
    <col min="15105" max="15105" width="40.140625" style="284" bestFit="1" customWidth="1"/>
    <col min="15106" max="15106" width="11.7109375" style="284" customWidth="1"/>
    <col min="15107" max="15117" width="9.85546875" style="284" customWidth="1"/>
    <col min="15118" max="15118" width="10.5703125" style="284" bestFit="1" customWidth="1"/>
    <col min="15119" max="15359" width="10" style="284"/>
    <col min="15360" max="15360" width="9.7109375" style="284" bestFit="1" customWidth="1"/>
    <col min="15361" max="15361" width="40.140625" style="284" bestFit="1" customWidth="1"/>
    <col min="15362" max="15362" width="11.7109375" style="284" customWidth="1"/>
    <col min="15363" max="15373" width="9.85546875" style="284" customWidth="1"/>
    <col min="15374" max="15374" width="10.5703125" style="284" bestFit="1" customWidth="1"/>
    <col min="15375" max="15615" width="10" style="284"/>
    <col min="15616" max="15616" width="9.7109375" style="284" bestFit="1" customWidth="1"/>
    <col min="15617" max="15617" width="40.140625" style="284" bestFit="1" customWidth="1"/>
    <col min="15618" max="15618" width="11.7109375" style="284" customWidth="1"/>
    <col min="15619" max="15629" width="9.85546875" style="284" customWidth="1"/>
    <col min="15630" max="15630" width="10.5703125" style="284" bestFit="1" customWidth="1"/>
    <col min="15631" max="15871" width="10" style="284"/>
    <col min="15872" max="15872" width="9.7109375" style="284" bestFit="1" customWidth="1"/>
    <col min="15873" max="15873" width="40.140625" style="284" bestFit="1" customWidth="1"/>
    <col min="15874" max="15874" width="11.7109375" style="284" customWidth="1"/>
    <col min="15875" max="15885" width="9.85546875" style="284" customWidth="1"/>
    <col min="15886" max="15886" width="10.5703125" style="284" bestFit="1" customWidth="1"/>
    <col min="15887" max="16127" width="10" style="284"/>
    <col min="16128" max="16128" width="9.7109375" style="284" bestFit="1" customWidth="1"/>
    <col min="16129" max="16129" width="40.140625" style="284" bestFit="1" customWidth="1"/>
    <col min="16130" max="16130" width="11.7109375" style="284" customWidth="1"/>
    <col min="16131" max="16141" width="9.85546875" style="284" customWidth="1"/>
    <col min="16142" max="16142" width="10.5703125" style="284" bestFit="1" customWidth="1"/>
    <col min="16143" max="16384" width="10" style="284"/>
  </cols>
  <sheetData>
    <row r="1" spans="1:15" s="280" customFormat="1" ht="30" customHeight="1" x14ac:dyDescent="0.2">
      <c r="B1" s="1198" t="s">
        <v>208</v>
      </c>
      <c r="C1" s="1199"/>
      <c r="D1" s="1199"/>
      <c r="E1" s="1199"/>
      <c r="F1" s="1199"/>
      <c r="G1" s="1199"/>
      <c r="H1" s="1199"/>
      <c r="I1" s="1199"/>
      <c r="J1" s="1199"/>
      <c r="K1" s="1199"/>
      <c r="L1" s="1199"/>
      <c r="M1" s="1199"/>
      <c r="N1" s="1199"/>
      <c r="O1" s="377"/>
    </row>
    <row r="2" spans="1:15" s="280" customFormat="1" ht="30" customHeight="1" x14ac:dyDescent="0.2">
      <c r="A2" s="281"/>
      <c r="B2" s="1201"/>
      <c r="C2" s="1202"/>
      <c r="D2" s="1202"/>
      <c r="E2" s="1202"/>
      <c r="F2" s="1202"/>
      <c r="G2" s="1202"/>
      <c r="H2" s="1202"/>
      <c r="I2" s="1202"/>
      <c r="J2" s="1202"/>
      <c r="K2" s="1202"/>
      <c r="L2" s="1202"/>
      <c r="M2" s="1202"/>
      <c r="N2" s="1202"/>
      <c r="O2" s="377"/>
    </row>
    <row r="3" spans="1:15" x14ac:dyDescent="0.25">
      <c r="A3" s="282"/>
    </row>
    <row r="4" spans="1:15" x14ac:dyDescent="0.25">
      <c r="A4" s="287"/>
      <c r="B4" s="287"/>
      <c r="C4" s="287"/>
      <c r="D4" s="287"/>
      <c r="E4" s="288"/>
      <c r="F4" s="288"/>
      <c r="G4" s="288"/>
      <c r="H4" s="288"/>
      <c r="I4" s="288"/>
      <c r="J4" s="288"/>
      <c r="K4" s="288"/>
      <c r="L4" s="288"/>
      <c r="M4" s="288"/>
    </row>
    <row r="5" spans="1:15" x14ac:dyDescent="0.25">
      <c r="A5" s="282"/>
      <c r="N5" s="388">
        <v>2018</v>
      </c>
    </row>
    <row r="6" spans="1:15" x14ac:dyDescent="0.25">
      <c r="A6" s="282" t="s">
        <v>209</v>
      </c>
      <c r="B6" s="289"/>
      <c r="N6" s="389"/>
    </row>
    <row r="7" spans="1:15" ht="15.75" thickBot="1" x14ac:dyDescent="0.3"/>
    <row r="8" spans="1:15" ht="12.75" customHeight="1" x14ac:dyDescent="0.25">
      <c r="A8" s="1164" t="s">
        <v>210</v>
      </c>
      <c r="B8" s="1165"/>
      <c r="C8" s="1168" t="s">
        <v>516</v>
      </c>
      <c r="D8" s="1168" t="s">
        <v>212</v>
      </c>
      <c r="E8" s="1168" t="s">
        <v>213</v>
      </c>
      <c r="F8" s="1168" t="s">
        <v>214</v>
      </c>
      <c r="G8" s="1168" t="s">
        <v>215</v>
      </c>
      <c r="H8" s="1168" t="s">
        <v>216</v>
      </c>
      <c r="I8" s="1168" t="s">
        <v>517</v>
      </c>
      <c r="J8" s="1168" t="s">
        <v>218</v>
      </c>
      <c r="K8" s="1168" t="s">
        <v>518</v>
      </c>
      <c r="L8" s="1150" t="s">
        <v>519</v>
      </c>
      <c r="M8" s="1150" t="s">
        <v>520</v>
      </c>
      <c r="N8" s="1345" t="s">
        <v>222</v>
      </c>
      <c r="O8" s="1343" t="s">
        <v>152</v>
      </c>
    </row>
    <row r="9" spans="1:15" ht="15.75" thickBot="1" x14ac:dyDescent="0.3">
      <c r="A9" s="1166"/>
      <c r="B9" s="1167"/>
      <c r="C9" s="1169"/>
      <c r="D9" s="1169"/>
      <c r="E9" s="1169"/>
      <c r="F9" s="1169"/>
      <c r="G9" s="1169"/>
      <c r="H9" s="1169"/>
      <c r="I9" s="1169"/>
      <c r="J9" s="1169"/>
      <c r="K9" s="1169"/>
      <c r="L9" s="1197"/>
      <c r="M9" s="1197"/>
      <c r="N9" s="1346"/>
      <c r="O9" s="1344"/>
    </row>
    <row r="10" spans="1:15" s="294" customFormat="1" ht="13.5" customHeight="1" x14ac:dyDescent="0.2">
      <c r="A10" s="719" t="s">
        <v>223</v>
      </c>
      <c r="B10" s="720" t="s">
        <v>224</v>
      </c>
      <c r="C10" s="721">
        <f>C11+C24+C27</f>
        <v>21332.400000000001</v>
      </c>
      <c r="D10" s="721">
        <f t="shared" ref="D10:N10" si="0">D11+D24+D27</f>
        <v>31489.65</v>
      </c>
      <c r="E10" s="721">
        <f t="shared" si="0"/>
        <v>35618.1</v>
      </c>
      <c r="F10" s="721">
        <f t="shared" si="0"/>
        <v>17430.45</v>
      </c>
      <c r="G10" s="721">
        <f t="shared" si="0"/>
        <v>13698.05</v>
      </c>
      <c r="H10" s="721">
        <f t="shared" si="0"/>
        <v>71871</v>
      </c>
      <c r="I10" s="721">
        <f t="shared" si="0"/>
        <v>33496.74</v>
      </c>
      <c r="J10" s="721">
        <f t="shared" si="0"/>
        <v>52643.7</v>
      </c>
      <c r="K10" s="721">
        <f t="shared" si="0"/>
        <v>40859.550000000003</v>
      </c>
      <c r="L10" s="721">
        <f t="shared" si="0"/>
        <v>44058</v>
      </c>
      <c r="M10" s="721">
        <f t="shared" si="0"/>
        <v>58126</v>
      </c>
      <c r="N10" s="774">
        <f t="shared" si="0"/>
        <v>52722</v>
      </c>
      <c r="O10" s="722">
        <f>+AVERAGE(C10:N10)</f>
        <v>39445.469999999994</v>
      </c>
    </row>
    <row r="11" spans="1:15" s="294" customFormat="1" ht="13.5" customHeight="1" x14ac:dyDescent="0.2">
      <c r="A11" s="725" t="s">
        <v>225</v>
      </c>
      <c r="B11" s="726" t="s">
        <v>226</v>
      </c>
      <c r="C11" s="727">
        <f>C12+C17+C20+C22</f>
        <v>21332.400000000001</v>
      </c>
      <c r="D11" s="727">
        <f t="shared" ref="D11:N11" si="1">D12+D17+D20+D22</f>
        <v>31489.65</v>
      </c>
      <c r="E11" s="727">
        <f t="shared" si="1"/>
        <v>35618.1</v>
      </c>
      <c r="F11" s="727">
        <f t="shared" si="1"/>
        <v>17430.45</v>
      </c>
      <c r="G11" s="727">
        <f t="shared" si="1"/>
        <v>13698.05</v>
      </c>
      <c r="H11" s="727">
        <f t="shared" si="1"/>
        <v>71871</v>
      </c>
      <c r="I11" s="727">
        <f t="shared" si="1"/>
        <v>33496.74</v>
      </c>
      <c r="J11" s="727">
        <f t="shared" si="1"/>
        <v>52643.7</v>
      </c>
      <c r="K11" s="727">
        <f t="shared" si="1"/>
        <v>40859.550000000003</v>
      </c>
      <c r="L11" s="727">
        <f t="shared" si="1"/>
        <v>44058</v>
      </c>
      <c r="M11" s="727">
        <f t="shared" si="1"/>
        <v>58126</v>
      </c>
      <c r="N11" s="794">
        <f t="shared" si="1"/>
        <v>52722</v>
      </c>
      <c r="O11" s="729">
        <f t="shared" ref="O11:O74" si="2">+AVERAGE(C11:N11)</f>
        <v>39445.469999999994</v>
      </c>
    </row>
    <row r="12" spans="1:15" s="294" customFormat="1" ht="13.5" customHeight="1" x14ac:dyDescent="0.2">
      <c r="A12" s="731" t="s">
        <v>227</v>
      </c>
      <c r="B12" s="732" t="s">
        <v>228</v>
      </c>
      <c r="C12" s="733">
        <f>C13+C14+C15+C16</f>
        <v>21332.400000000001</v>
      </c>
      <c r="D12" s="733">
        <f t="shared" ref="D12:N12" si="3">D13+D14+D15+D16</f>
        <v>31489.65</v>
      </c>
      <c r="E12" s="733">
        <f t="shared" si="3"/>
        <v>35618.1</v>
      </c>
      <c r="F12" s="733">
        <f t="shared" si="3"/>
        <v>17430.45</v>
      </c>
      <c r="G12" s="733">
        <f t="shared" si="3"/>
        <v>13698.05</v>
      </c>
      <c r="H12" s="733">
        <f t="shared" si="3"/>
        <v>71871</v>
      </c>
      <c r="I12" s="733">
        <f t="shared" si="3"/>
        <v>33496.74</v>
      </c>
      <c r="J12" s="733">
        <f t="shared" si="3"/>
        <v>52643.7</v>
      </c>
      <c r="K12" s="733">
        <f t="shared" si="3"/>
        <v>40859.550000000003</v>
      </c>
      <c r="L12" s="733">
        <f t="shared" si="3"/>
        <v>44058</v>
      </c>
      <c r="M12" s="733">
        <f t="shared" si="3"/>
        <v>58126</v>
      </c>
      <c r="N12" s="795">
        <f t="shared" si="3"/>
        <v>52722</v>
      </c>
      <c r="O12" s="734">
        <f t="shared" si="2"/>
        <v>39445.469999999994</v>
      </c>
    </row>
    <row r="13" spans="1:15" s="309" customFormat="1" ht="13.5" customHeight="1" x14ac:dyDescent="0.2">
      <c r="A13" s="735" t="s">
        <v>229</v>
      </c>
      <c r="B13" s="736" t="s">
        <v>230</v>
      </c>
      <c r="C13" s="737">
        <v>0</v>
      </c>
      <c r="D13" s="737">
        <v>0</v>
      </c>
      <c r="E13" s="737">
        <v>0</v>
      </c>
      <c r="F13" s="737">
        <v>0</v>
      </c>
      <c r="G13" s="737">
        <v>0</v>
      </c>
      <c r="H13" s="737">
        <v>0</v>
      </c>
      <c r="I13" s="737">
        <v>0</v>
      </c>
      <c r="J13" s="737">
        <v>0</v>
      </c>
      <c r="K13" s="737">
        <v>0</v>
      </c>
      <c r="L13" s="737">
        <v>0</v>
      </c>
      <c r="M13" s="737">
        <v>0</v>
      </c>
      <c r="N13" s="796">
        <v>0</v>
      </c>
      <c r="O13" s="738">
        <f t="shared" si="2"/>
        <v>0</v>
      </c>
    </row>
    <row r="14" spans="1:15" s="309" customFormat="1" ht="13.5" customHeight="1" x14ac:dyDescent="0.2">
      <c r="A14" s="735" t="s">
        <v>231</v>
      </c>
      <c r="B14" s="736" t="s">
        <v>232</v>
      </c>
      <c r="C14" s="737">
        <v>0</v>
      </c>
      <c r="D14" s="737">
        <v>0</v>
      </c>
      <c r="E14" s="737">
        <v>0</v>
      </c>
      <c r="F14" s="737">
        <v>0</v>
      </c>
      <c r="G14" s="737">
        <v>0</v>
      </c>
      <c r="H14" s="737">
        <v>0</v>
      </c>
      <c r="I14" s="737">
        <v>0</v>
      </c>
      <c r="J14" s="737">
        <v>0</v>
      </c>
      <c r="K14" s="737">
        <v>0</v>
      </c>
      <c r="L14" s="737">
        <v>0</v>
      </c>
      <c r="M14" s="737">
        <v>0</v>
      </c>
      <c r="N14" s="796">
        <v>0</v>
      </c>
      <c r="O14" s="738">
        <f t="shared" si="2"/>
        <v>0</v>
      </c>
    </row>
    <row r="15" spans="1:15" s="309" customFormat="1" ht="13.5" customHeight="1" x14ac:dyDescent="0.2">
      <c r="A15" s="735" t="s">
        <v>233</v>
      </c>
      <c r="B15" s="736" t="s">
        <v>234</v>
      </c>
      <c r="C15" s="741">
        <v>0</v>
      </c>
      <c r="D15" s="741">
        <v>0</v>
      </c>
      <c r="E15" s="741">
        <v>0</v>
      </c>
      <c r="F15" s="741">
        <v>0</v>
      </c>
      <c r="G15" s="741">
        <v>0</v>
      </c>
      <c r="H15" s="741">
        <v>0</v>
      </c>
      <c r="I15" s="741">
        <v>0</v>
      </c>
      <c r="J15" s="741">
        <v>0</v>
      </c>
      <c r="K15" s="741">
        <v>0</v>
      </c>
      <c r="L15" s="741">
        <v>0</v>
      </c>
      <c r="M15" s="741">
        <v>0</v>
      </c>
      <c r="N15" s="797">
        <v>0</v>
      </c>
      <c r="O15" s="742">
        <f t="shared" si="2"/>
        <v>0</v>
      </c>
    </row>
    <row r="16" spans="1:15" s="294" customFormat="1" ht="13.5" customHeight="1" x14ac:dyDescent="0.2">
      <c r="A16" s="735" t="s">
        <v>235</v>
      </c>
      <c r="B16" s="736" t="s">
        <v>236</v>
      </c>
      <c r="C16" s="737">
        <v>21332.400000000001</v>
      </c>
      <c r="D16" s="737">
        <v>31489.65</v>
      </c>
      <c r="E16" s="737">
        <v>35618.1</v>
      </c>
      <c r="F16" s="737">
        <v>17430.45</v>
      </c>
      <c r="G16" s="737">
        <v>13698.05</v>
      </c>
      <c r="H16" s="737">
        <v>71871</v>
      </c>
      <c r="I16" s="737">
        <v>33496.74</v>
      </c>
      <c r="J16" s="737">
        <v>52643.7</v>
      </c>
      <c r="K16" s="737">
        <v>40859.550000000003</v>
      </c>
      <c r="L16" s="737">
        <v>44058</v>
      </c>
      <c r="M16" s="737">
        <v>58126</v>
      </c>
      <c r="N16" s="796">
        <v>52722</v>
      </c>
      <c r="O16" s="738">
        <f t="shared" si="2"/>
        <v>39445.469999999994</v>
      </c>
    </row>
    <row r="17" spans="1:15" s="294" customFormat="1" ht="13.5" customHeight="1" x14ac:dyDescent="0.2">
      <c r="A17" s="731" t="s">
        <v>237</v>
      </c>
      <c r="B17" s="732" t="s">
        <v>238</v>
      </c>
      <c r="C17" s="733">
        <f>C18+C19</f>
        <v>0</v>
      </c>
      <c r="D17" s="733">
        <f t="shared" ref="D17:N17" si="4">D18+D19</f>
        <v>0</v>
      </c>
      <c r="E17" s="733">
        <f t="shared" si="4"/>
        <v>0</v>
      </c>
      <c r="F17" s="733">
        <f t="shared" si="4"/>
        <v>0</v>
      </c>
      <c r="G17" s="733">
        <f t="shared" si="4"/>
        <v>0</v>
      </c>
      <c r="H17" s="733">
        <f t="shared" si="4"/>
        <v>0</v>
      </c>
      <c r="I17" s="733">
        <f t="shared" si="4"/>
        <v>0</v>
      </c>
      <c r="J17" s="733">
        <f t="shared" si="4"/>
        <v>0</v>
      </c>
      <c r="K17" s="733">
        <f t="shared" si="4"/>
        <v>0</v>
      </c>
      <c r="L17" s="733">
        <f t="shared" si="4"/>
        <v>0</v>
      </c>
      <c r="M17" s="733">
        <f t="shared" si="4"/>
        <v>0</v>
      </c>
      <c r="N17" s="795">
        <f t="shared" si="4"/>
        <v>0</v>
      </c>
      <c r="O17" s="734">
        <f t="shared" si="2"/>
        <v>0</v>
      </c>
    </row>
    <row r="18" spans="1:15" s="294" customFormat="1" ht="13.5" customHeight="1" x14ac:dyDescent="0.2">
      <c r="A18" s="735" t="s">
        <v>239</v>
      </c>
      <c r="B18" s="736" t="s">
        <v>240</v>
      </c>
      <c r="C18" s="737">
        <v>0</v>
      </c>
      <c r="D18" s="737">
        <v>0</v>
      </c>
      <c r="E18" s="737">
        <v>0</v>
      </c>
      <c r="F18" s="737">
        <v>0</v>
      </c>
      <c r="G18" s="737">
        <v>0</v>
      </c>
      <c r="H18" s="737">
        <v>0</v>
      </c>
      <c r="I18" s="737">
        <v>0</v>
      </c>
      <c r="J18" s="737">
        <v>0</v>
      </c>
      <c r="K18" s="737">
        <v>0</v>
      </c>
      <c r="L18" s="737">
        <v>0</v>
      </c>
      <c r="M18" s="737">
        <v>0</v>
      </c>
      <c r="N18" s="796">
        <v>0</v>
      </c>
      <c r="O18" s="738">
        <f t="shared" si="2"/>
        <v>0</v>
      </c>
    </row>
    <row r="19" spans="1:15" s="294" customFormat="1" ht="13.5" customHeight="1" x14ac:dyDescent="0.2">
      <c r="A19" s="735" t="s">
        <v>241</v>
      </c>
      <c r="B19" s="736" t="s">
        <v>242</v>
      </c>
      <c r="C19" s="737">
        <v>0</v>
      </c>
      <c r="D19" s="737">
        <v>0</v>
      </c>
      <c r="E19" s="737">
        <v>0</v>
      </c>
      <c r="F19" s="737">
        <v>0</v>
      </c>
      <c r="G19" s="737">
        <v>0</v>
      </c>
      <c r="H19" s="737">
        <v>0</v>
      </c>
      <c r="I19" s="737">
        <v>0</v>
      </c>
      <c r="J19" s="737">
        <v>0</v>
      </c>
      <c r="K19" s="737">
        <v>0</v>
      </c>
      <c r="L19" s="737">
        <v>0</v>
      </c>
      <c r="M19" s="737">
        <v>0</v>
      </c>
      <c r="N19" s="796">
        <v>0</v>
      </c>
      <c r="O19" s="738">
        <f t="shared" si="2"/>
        <v>0</v>
      </c>
    </row>
    <row r="20" spans="1:15" s="294" customFormat="1" ht="13.5" customHeight="1" x14ac:dyDescent="0.2">
      <c r="A20" s="731" t="s">
        <v>243</v>
      </c>
      <c r="B20" s="732" t="s">
        <v>244</v>
      </c>
      <c r="C20" s="733">
        <f>C21</f>
        <v>0</v>
      </c>
      <c r="D20" s="733">
        <f t="shared" ref="D20:N20" si="5">D21</f>
        <v>0</v>
      </c>
      <c r="E20" s="733">
        <f t="shared" si="5"/>
        <v>0</v>
      </c>
      <c r="F20" s="733">
        <f t="shared" si="5"/>
        <v>0</v>
      </c>
      <c r="G20" s="733">
        <f t="shared" si="5"/>
        <v>0</v>
      </c>
      <c r="H20" s="733">
        <f t="shared" si="5"/>
        <v>0</v>
      </c>
      <c r="I20" s="733">
        <f t="shared" si="5"/>
        <v>0</v>
      </c>
      <c r="J20" s="733">
        <f t="shared" si="5"/>
        <v>0</v>
      </c>
      <c r="K20" s="733">
        <f t="shared" si="5"/>
        <v>0</v>
      </c>
      <c r="L20" s="733">
        <f t="shared" si="5"/>
        <v>0</v>
      </c>
      <c r="M20" s="733">
        <f t="shared" si="5"/>
        <v>0</v>
      </c>
      <c r="N20" s="795">
        <f t="shared" si="5"/>
        <v>0</v>
      </c>
      <c r="O20" s="734">
        <f t="shared" si="2"/>
        <v>0</v>
      </c>
    </row>
    <row r="21" spans="1:15" s="294" customFormat="1" ht="13.5" customHeight="1" x14ac:dyDescent="0.2">
      <c r="A21" s="735" t="s">
        <v>245</v>
      </c>
      <c r="B21" s="736" t="s">
        <v>246</v>
      </c>
      <c r="C21" s="737">
        <v>0</v>
      </c>
      <c r="D21" s="737">
        <v>0</v>
      </c>
      <c r="E21" s="737">
        <v>0</v>
      </c>
      <c r="F21" s="737">
        <v>0</v>
      </c>
      <c r="G21" s="737">
        <v>0</v>
      </c>
      <c r="H21" s="737">
        <v>0</v>
      </c>
      <c r="I21" s="737">
        <v>0</v>
      </c>
      <c r="J21" s="737">
        <v>0</v>
      </c>
      <c r="K21" s="737">
        <v>0</v>
      </c>
      <c r="L21" s="737">
        <v>0</v>
      </c>
      <c r="M21" s="737">
        <v>0</v>
      </c>
      <c r="N21" s="796">
        <v>0</v>
      </c>
      <c r="O21" s="738">
        <f t="shared" si="2"/>
        <v>0</v>
      </c>
    </row>
    <row r="22" spans="1:15" s="294" customFormat="1" ht="13.5" customHeight="1" x14ac:dyDescent="0.2">
      <c r="A22" s="731" t="s">
        <v>247</v>
      </c>
      <c r="B22" s="732" t="s">
        <v>248</v>
      </c>
      <c r="C22" s="733">
        <f>C23</f>
        <v>0</v>
      </c>
      <c r="D22" s="733">
        <f t="shared" ref="D22:N22" si="6">D23</f>
        <v>0</v>
      </c>
      <c r="E22" s="733">
        <f t="shared" si="6"/>
        <v>0</v>
      </c>
      <c r="F22" s="733">
        <f t="shared" si="6"/>
        <v>0</v>
      </c>
      <c r="G22" s="733">
        <f t="shared" si="6"/>
        <v>0</v>
      </c>
      <c r="H22" s="733">
        <f t="shared" si="6"/>
        <v>0</v>
      </c>
      <c r="I22" s="733">
        <f t="shared" si="6"/>
        <v>0</v>
      </c>
      <c r="J22" s="733">
        <f t="shared" si="6"/>
        <v>0</v>
      </c>
      <c r="K22" s="733">
        <f t="shared" si="6"/>
        <v>0</v>
      </c>
      <c r="L22" s="733">
        <f t="shared" si="6"/>
        <v>0</v>
      </c>
      <c r="M22" s="733">
        <f t="shared" si="6"/>
        <v>0</v>
      </c>
      <c r="N22" s="795">
        <f t="shared" si="6"/>
        <v>0</v>
      </c>
      <c r="O22" s="734">
        <f t="shared" si="2"/>
        <v>0</v>
      </c>
    </row>
    <row r="23" spans="1:15" s="294" customFormat="1" ht="13.5" customHeight="1" x14ac:dyDescent="0.2">
      <c r="A23" s="735" t="s">
        <v>249</v>
      </c>
      <c r="B23" s="736" t="s">
        <v>250</v>
      </c>
      <c r="C23" s="737">
        <v>0</v>
      </c>
      <c r="D23" s="737">
        <v>0</v>
      </c>
      <c r="E23" s="737">
        <v>0</v>
      </c>
      <c r="F23" s="737">
        <v>0</v>
      </c>
      <c r="G23" s="737">
        <v>0</v>
      </c>
      <c r="H23" s="737">
        <v>0</v>
      </c>
      <c r="I23" s="737">
        <v>0</v>
      </c>
      <c r="J23" s="737">
        <v>0</v>
      </c>
      <c r="K23" s="737">
        <v>0</v>
      </c>
      <c r="L23" s="737">
        <v>0</v>
      </c>
      <c r="M23" s="737">
        <v>0</v>
      </c>
      <c r="N23" s="796">
        <v>0</v>
      </c>
      <c r="O23" s="738">
        <f t="shared" si="2"/>
        <v>0</v>
      </c>
    </row>
    <row r="24" spans="1:15" s="294" customFormat="1" ht="13.5" customHeight="1" x14ac:dyDescent="0.2">
      <c r="A24" s="725" t="s">
        <v>251</v>
      </c>
      <c r="B24" s="726" t="s">
        <v>252</v>
      </c>
      <c r="C24" s="727">
        <f>C25</f>
        <v>0</v>
      </c>
      <c r="D24" s="727">
        <f t="shared" ref="D24:N25" si="7">D25</f>
        <v>0</v>
      </c>
      <c r="E24" s="727">
        <f t="shared" si="7"/>
        <v>0</v>
      </c>
      <c r="F24" s="727">
        <f t="shared" si="7"/>
        <v>0</v>
      </c>
      <c r="G24" s="727">
        <f t="shared" si="7"/>
        <v>0</v>
      </c>
      <c r="H24" s="727">
        <f t="shared" si="7"/>
        <v>0</v>
      </c>
      <c r="I24" s="727">
        <f t="shared" si="7"/>
        <v>0</v>
      </c>
      <c r="J24" s="727">
        <f t="shared" si="7"/>
        <v>0</v>
      </c>
      <c r="K24" s="727">
        <f t="shared" si="7"/>
        <v>0</v>
      </c>
      <c r="L24" s="727">
        <f t="shared" si="7"/>
        <v>0</v>
      </c>
      <c r="M24" s="727">
        <f t="shared" si="7"/>
        <v>0</v>
      </c>
      <c r="N24" s="794">
        <f t="shared" si="7"/>
        <v>0</v>
      </c>
      <c r="O24" s="729">
        <f t="shared" si="2"/>
        <v>0</v>
      </c>
    </row>
    <row r="25" spans="1:15" s="294" customFormat="1" ht="13.5" customHeight="1" x14ac:dyDescent="0.2">
      <c r="A25" s="731" t="s">
        <v>253</v>
      </c>
      <c r="B25" s="732" t="s">
        <v>254</v>
      </c>
      <c r="C25" s="733">
        <f>C26</f>
        <v>0</v>
      </c>
      <c r="D25" s="733">
        <f t="shared" si="7"/>
        <v>0</v>
      </c>
      <c r="E25" s="733">
        <f t="shared" si="7"/>
        <v>0</v>
      </c>
      <c r="F25" s="733">
        <f t="shared" si="7"/>
        <v>0</v>
      </c>
      <c r="G25" s="733">
        <f t="shared" si="7"/>
        <v>0</v>
      </c>
      <c r="H25" s="733">
        <f t="shared" si="7"/>
        <v>0</v>
      </c>
      <c r="I25" s="733">
        <f t="shared" si="7"/>
        <v>0</v>
      </c>
      <c r="J25" s="733">
        <f t="shared" si="7"/>
        <v>0</v>
      </c>
      <c r="K25" s="733">
        <f t="shared" si="7"/>
        <v>0</v>
      </c>
      <c r="L25" s="733">
        <f t="shared" si="7"/>
        <v>0</v>
      </c>
      <c r="M25" s="733">
        <f t="shared" si="7"/>
        <v>0</v>
      </c>
      <c r="N25" s="795">
        <f t="shared" si="7"/>
        <v>0</v>
      </c>
      <c r="O25" s="734">
        <f t="shared" si="2"/>
        <v>0</v>
      </c>
    </row>
    <row r="26" spans="1:15" s="294" customFormat="1" ht="13.5" customHeight="1" x14ac:dyDescent="0.2">
      <c r="A26" s="735" t="s">
        <v>255</v>
      </c>
      <c r="B26" s="736" t="s">
        <v>256</v>
      </c>
      <c r="C26" s="737">
        <v>0</v>
      </c>
      <c r="D26" s="737">
        <v>0</v>
      </c>
      <c r="E26" s="737">
        <v>0</v>
      </c>
      <c r="F26" s="737">
        <v>0</v>
      </c>
      <c r="G26" s="737">
        <v>0</v>
      </c>
      <c r="H26" s="737">
        <v>0</v>
      </c>
      <c r="I26" s="737">
        <v>0</v>
      </c>
      <c r="J26" s="737">
        <v>0</v>
      </c>
      <c r="K26" s="737">
        <v>0</v>
      </c>
      <c r="L26" s="737">
        <v>0</v>
      </c>
      <c r="M26" s="737">
        <v>0</v>
      </c>
      <c r="N26" s="796">
        <v>0</v>
      </c>
      <c r="O26" s="738">
        <f t="shared" si="2"/>
        <v>0</v>
      </c>
    </row>
    <row r="27" spans="1:15" s="294" customFormat="1" ht="13.5" customHeight="1" x14ac:dyDescent="0.2">
      <c r="A27" s="725" t="s">
        <v>257</v>
      </c>
      <c r="B27" s="726" t="s">
        <v>258</v>
      </c>
      <c r="C27" s="727">
        <f>C28+C31</f>
        <v>0</v>
      </c>
      <c r="D27" s="727">
        <f t="shared" ref="D27:N27" si="8">D28+D31</f>
        <v>0</v>
      </c>
      <c r="E27" s="727">
        <f t="shared" si="8"/>
        <v>0</v>
      </c>
      <c r="F27" s="727">
        <f t="shared" si="8"/>
        <v>0</v>
      </c>
      <c r="G27" s="727">
        <f t="shared" si="8"/>
        <v>0</v>
      </c>
      <c r="H27" s="727">
        <f t="shared" si="8"/>
        <v>0</v>
      </c>
      <c r="I27" s="727">
        <f t="shared" si="8"/>
        <v>0</v>
      </c>
      <c r="J27" s="727">
        <f t="shared" si="8"/>
        <v>0</v>
      </c>
      <c r="K27" s="727">
        <f t="shared" si="8"/>
        <v>0</v>
      </c>
      <c r="L27" s="727">
        <f t="shared" si="8"/>
        <v>0</v>
      </c>
      <c r="M27" s="727">
        <f t="shared" si="8"/>
        <v>0</v>
      </c>
      <c r="N27" s="794">
        <f t="shared" si="8"/>
        <v>0</v>
      </c>
      <c r="O27" s="729">
        <f t="shared" si="2"/>
        <v>0</v>
      </c>
    </row>
    <row r="28" spans="1:15" s="294" customFormat="1" ht="13.5" customHeight="1" x14ac:dyDescent="0.2">
      <c r="A28" s="731" t="s">
        <v>259</v>
      </c>
      <c r="B28" s="732" t="s">
        <v>260</v>
      </c>
      <c r="C28" s="733">
        <f>C29+C30</f>
        <v>0</v>
      </c>
      <c r="D28" s="733">
        <f t="shared" ref="D28:N28" si="9">D29+D30</f>
        <v>0</v>
      </c>
      <c r="E28" s="733">
        <f t="shared" si="9"/>
        <v>0</v>
      </c>
      <c r="F28" s="733">
        <f t="shared" si="9"/>
        <v>0</v>
      </c>
      <c r="G28" s="733">
        <f t="shared" si="9"/>
        <v>0</v>
      </c>
      <c r="H28" s="733">
        <f t="shared" si="9"/>
        <v>0</v>
      </c>
      <c r="I28" s="733">
        <f t="shared" si="9"/>
        <v>0</v>
      </c>
      <c r="J28" s="733">
        <f t="shared" si="9"/>
        <v>0</v>
      </c>
      <c r="K28" s="733">
        <f t="shared" si="9"/>
        <v>0</v>
      </c>
      <c r="L28" s="733">
        <f t="shared" si="9"/>
        <v>0</v>
      </c>
      <c r="M28" s="733">
        <f t="shared" si="9"/>
        <v>0</v>
      </c>
      <c r="N28" s="795">
        <f t="shared" si="9"/>
        <v>0</v>
      </c>
      <c r="O28" s="734">
        <f t="shared" si="2"/>
        <v>0</v>
      </c>
    </row>
    <row r="29" spans="1:15" s="309" customFormat="1" ht="13.5" customHeight="1" x14ac:dyDescent="0.2">
      <c r="A29" s="735" t="s">
        <v>261</v>
      </c>
      <c r="B29" s="736" t="s">
        <v>262</v>
      </c>
      <c r="C29" s="737">
        <v>0</v>
      </c>
      <c r="D29" s="737">
        <v>0</v>
      </c>
      <c r="E29" s="737">
        <v>0</v>
      </c>
      <c r="F29" s="737">
        <v>0</v>
      </c>
      <c r="G29" s="737">
        <v>0</v>
      </c>
      <c r="H29" s="737">
        <v>0</v>
      </c>
      <c r="I29" s="737">
        <v>0</v>
      </c>
      <c r="J29" s="737">
        <v>0</v>
      </c>
      <c r="K29" s="737">
        <v>0</v>
      </c>
      <c r="L29" s="737">
        <v>0</v>
      </c>
      <c r="M29" s="737">
        <v>0</v>
      </c>
      <c r="N29" s="796">
        <v>0</v>
      </c>
      <c r="O29" s="738">
        <f t="shared" si="2"/>
        <v>0</v>
      </c>
    </row>
    <row r="30" spans="1:15" s="294" customFormat="1" ht="13.5" customHeight="1" x14ac:dyDescent="0.2">
      <c r="A30" s="735" t="s">
        <v>263</v>
      </c>
      <c r="B30" s="736" t="s">
        <v>264</v>
      </c>
      <c r="C30" s="737">
        <v>0</v>
      </c>
      <c r="D30" s="737">
        <v>0</v>
      </c>
      <c r="E30" s="737">
        <v>0</v>
      </c>
      <c r="F30" s="737">
        <v>0</v>
      </c>
      <c r="G30" s="737">
        <v>0</v>
      </c>
      <c r="H30" s="737">
        <v>0</v>
      </c>
      <c r="I30" s="737">
        <v>0</v>
      </c>
      <c r="J30" s="737">
        <v>0</v>
      </c>
      <c r="K30" s="737">
        <v>0</v>
      </c>
      <c r="L30" s="737">
        <v>0</v>
      </c>
      <c r="M30" s="737">
        <v>0</v>
      </c>
      <c r="N30" s="796">
        <v>0</v>
      </c>
      <c r="O30" s="738">
        <f t="shared" si="2"/>
        <v>0</v>
      </c>
    </row>
    <row r="31" spans="1:15" s="294" customFormat="1" ht="13.5" customHeight="1" x14ac:dyDescent="0.2">
      <c r="A31" s="731" t="s">
        <v>265</v>
      </c>
      <c r="B31" s="732" t="s">
        <v>266</v>
      </c>
      <c r="C31" s="733">
        <f>C32</f>
        <v>0</v>
      </c>
      <c r="D31" s="733">
        <f t="shared" ref="D31:N31" si="10">D32</f>
        <v>0</v>
      </c>
      <c r="E31" s="733">
        <f t="shared" si="10"/>
        <v>0</v>
      </c>
      <c r="F31" s="733">
        <f t="shared" si="10"/>
        <v>0</v>
      </c>
      <c r="G31" s="733">
        <f t="shared" si="10"/>
        <v>0</v>
      </c>
      <c r="H31" s="733">
        <f t="shared" si="10"/>
        <v>0</v>
      </c>
      <c r="I31" s="733">
        <f t="shared" si="10"/>
        <v>0</v>
      </c>
      <c r="J31" s="733">
        <f t="shared" si="10"/>
        <v>0</v>
      </c>
      <c r="K31" s="733">
        <f t="shared" si="10"/>
        <v>0</v>
      </c>
      <c r="L31" s="733">
        <f t="shared" si="10"/>
        <v>0</v>
      </c>
      <c r="M31" s="733">
        <f t="shared" si="10"/>
        <v>0</v>
      </c>
      <c r="N31" s="795">
        <f t="shared" si="10"/>
        <v>0</v>
      </c>
      <c r="O31" s="734">
        <f t="shared" si="2"/>
        <v>0</v>
      </c>
    </row>
    <row r="32" spans="1:15" s="309" customFormat="1" ht="13.5" customHeight="1" x14ac:dyDescent="0.2">
      <c r="A32" s="735" t="s">
        <v>267</v>
      </c>
      <c r="B32" s="736" t="s">
        <v>256</v>
      </c>
      <c r="C32" s="737">
        <v>0</v>
      </c>
      <c r="D32" s="737">
        <v>0</v>
      </c>
      <c r="E32" s="737">
        <v>0</v>
      </c>
      <c r="F32" s="737">
        <v>0</v>
      </c>
      <c r="G32" s="737">
        <v>0</v>
      </c>
      <c r="H32" s="737">
        <v>0</v>
      </c>
      <c r="I32" s="737">
        <v>0</v>
      </c>
      <c r="J32" s="737">
        <v>0</v>
      </c>
      <c r="K32" s="737">
        <v>0</v>
      </c>
      <c r="L32" s="737">
        <v>0</v>
      </c>
      <c r="M32" s="737">
        <v>0</v>
      </c>
      <c r="N32" s="796">
        <v>0</v>
      </c>
      <c r="O32" s="738">
        <f t="shared" si="2"/>
        <v>0</v>
      </c>
    </row>
    <row r="33" spans="1:15" s="294" customFormat="1" ht="13.5" customHeight="1" x14ac:dyDescent="0.2">
      <c r="A33" s="719" t="s">
        <v>268</v>
      </c>
      <c r="B33" s="720" t="s">
        <v>269</v>
      </c>
      <c r="C33" s="721">
        <f t="shared" ref="C33:N33" si="11">C34+C37+C50+C85</f>
        <v>36053.373999999996</v>
      </c>
      <c r="D33" s="721">
        <f t="shared" si="11"/>
        <v>35983.701800000003</v>
      </c>
      <c r="E33" s="721">
        <f t="shared" si="11"/>
        <v>36559.528544827583</v>
      </c>
      <c r="F33" s="721">
        <f t="shared" si="11"/>
        <v>26635.9</v>
      </c>
      <c r="G33" s="721">
        <f t="shared" si="11"/>
        <v>33967.942951724137</v>
      </c>
      <c r="H33" s="721">
        <f t="shared" si="11"/>
        <v>36259.557744827587</v>
      </c>
      <c r="I33" s="721">
        <f t="shared" si="11"/>
        <v>35685.813200000004</v>
      </c>
      <c r="J33" s="721">
        <f t="shared" si="11"/>
        <v>33979.639599999995</v>
      </c>
      <c r="K33" s="721">
        <f t="shared" si="11"/>
        <v>40324.637000000002</v>
      </c>
      <c r="L33" s="721">
        <f t="shared" si="11"/>
        <v>43829.332120909559</v>
      </c>
      <c r="M33" s="721">
        <f t="shared" si="11"/>
        <v>42638.704169185425</v>
      </c>
      <c r="N33" s="774">
        <f t="shared" si="11"/>
        <v>48600.965541599217</v>
      </c>
      <c r="O33" s="744">
        <f t="shared" si="2"/>
        <v>37543.258056089464</v>
      </c>
    </row>
    <row r="34" spans="1:15" s="294" customFormat="1" ht="13.5" customHeight="1" x14ac:dyDescent="0.2">
      <c r="A34" s="725" t="s">
        <v>270</v>
      </c>
      <c r="B34" s="726" t="s">
        <v>271</v>
      </c>
      <c r="C34" s="745">
        <f>C35</f>
        <v>0</v>
      </c>
      <c r="D34" s="745">
        <f t="shared" ref="D34:N35" si="12">D35</f>
        <v>0</v>
      </c>
      <c r="E34" s="745">
        <f t="shared" si="12"/>
        <v>0</v>
      </c>
      <c r="F34" s="745">
        <f t="shared" si="12"/>
        <v>0</v>
      </c>
      <c r="G34" s="745">
        <f t="shared" si="12"/>
        <v>0</v>
      </c>
      <c r="H34" s="745">
        <f t="shared" si="12"/>
        <v>0</v>
      </c>
      <c r="I34" s="745">
        <f t="shared" si="12"/>
        <v>0</v>
      </c>
      <c r="J34" s="745">
        <f t="shared" si="12"/>
        <v>0</v>
      </c>
      <c r="K34" s="745">
        <f t="shared" si="12"/>
        <v>0</v>
      </c>
      <c r="L34" s="745">
        <f t="shared" si="12"/>
        <v>0</v>
      </c>
      <c r="M34" s="745">
        <f t="shared" si="12"/>
        <v>0</v>
      </c>
      <c r="N34" s="798">
        <f t="shared" si="12"/>
        <v>0</v>
      </c>
      <c r="O34" s="746">
        <f t="shared" si="2"/>
        <v>0</v>
      </c>
    </row>
    <row r="35" spans="1:15" s="294" customFormat="1" ht="13.5" customHeight="1" x14ac:dyDescent="0.2">
      <c r="A35" s="731" t="s">
        <v>272</v>
      </c>
      <c r="B35" s="732" t="s">
        <v>273</v>
      </c>
      <c r="C35" s="747">
        <f>C36</f>
        <v>0</v>
      </c>
      <c r="D35" s="747">
        <f t="shared" si="12"/>
        <v>0</v>
      </c>
      <c r="E35" s="747">
        <f t="shared" si="12"/>
        <v>0</v>
      </c>
      <c r="F35" s="747">
        <f t="shared" si="12"/>
        <v>0</v>
      </c>
      <c r="G35" s="747">
        <f t="shared" si="12"/>
        <v>0</v>
      </c>
      <c r="H35" s="747">
        <f t="shared" si="12"/>
        <v>0</v>
      </c>
      <c r="I35" s="747">
        <f t="shared" si="12"/>
        <v>0</v>
      </c>
      <c r="J35" s="747">
        <f t="shared" si="12"/>
        <v>0</v>
      </c>
      <c r="K35" s="747">
        <f t="shared" si="12"/>
        <v>0</v>
      </c>
      <c r="L35" s="747">
        <f t="shared" si="12"/>
        <v>0</v>
      </c>
      <c r="M35" s="747">
        <f t="shared" si="12"/>
        <v>0</v>
      </c>
      <c r="N35" s="799">
        <f t="shared" si="12"/>
        <v>0</v>
      </c>
      <c r="O35" s="748">
        <f t="shared" si="2"/>
        <v>0</v>
      </c>
    </row>
    <row r="36" spans="1:15" s="309" customFormat="1" ht="13.5" customHeight="1" x14ac:dyDescent="0.2">
      <c r="A36" s="735" t="s">
        <v>274</v>
      </c>
      <c r="B36" s="736" t="s">
        <v>275</v>
      </c>
      <c r="C36" s="743">
        <v>0</v>
      </c>
      <c r="D36" s="743">
        <v>0</v>
      </c>
      <c r="E36" s="743">
        <v>0</v>
      </c>
      <c r="F36" s="743">
        <v>0</v>
      </c>
      <c r="G36" s="743">
        <v>0</v>
      </c>
      <c r="H36" s="743">
        <v>0</v>
      </c>
      <c r="I36" s="743">
        <v>0</v>
      </c>
      <c r="J36" s="743">
        <v>0</v>
      </c>
      <c r="K36" s="743">
        <v>0</v>
      </c>
      <c r="L36" s="743">
        <v>0</v>
      </c>
      <c r="M36" s="743">
        <v>0</v>
      </c>
      <c r="N36" s="800">
        <v>0</v>
      </c>
      <c r="O36" s="749">
        <f t="shared" si="2"/>
        <v>0</v>
      </c>
    </row>
    <row r="37" spans="1:15" s="294" customFormat="1" ht="13.5" customHeight="1" x14ac:dyDescent="0.2">
      <c r="A37" s="725" t="s">
        <v>276</v>
      </c>
      <c r="B37" s="726" t="s">
        <v>277</v>
      </c>
      <c r="C37" s="727">
        <f>C38+C46</f>
        <v>24499.86</v>
      </c>
      <c r="D37" s="727">
        <f t="shared" ref="D37:N37" si="13">D38+D46</f>
        <v>24541.24</v>
      </c>
      <c r="E37" s="727">
        <f t="shared" si="13"/>
        <v>16770.43</v>
      </c>
      <c r="F37" s="727">
        <f t="shared" si="13"/>
        <v>12833.199999999999</v>
      </c>
      <c r="G37" s="727">
        <f t="shared" si="13"/>
        <v>17711.23</v>
      </c>
      <c r="H37" s="727">
        <f t="shared" si="13"/>
        <v>14517.369999999999</v>
      </c>
      <c r="I37" s="727">
        <f t="shared" si="13"/>
        <v>18561.480000000003</v>
      </c>
      <c r="J37" s="727">
        <f t="shared" si="13"/>
        <v>19155.669999999998</v>
      </c>
      <c r="K37" s="727">
        <f t="shared" si="13"/>
        <v>19031.54</v>
      </c>
      <c r="L37" s="727">
        <f t="shared" si="13"/>
        <v>26361.160669683217</v>
      </c>
      <c r="M37" s="727">
        <f t="shared" si="13"/>
        <v>26361.160669683217</v>
      </c>
      <c r="N37" s="794">
        <f t="shared" si="13"/>
        <v>26361.160669683217</v>
      </c>
      <c r="O37" s="729">
        <f t="shared" si="2"/>
        <v>20558.791834087471</v>
      </c>
    </row>
    <row r="38" spans="1:15" s="309" customFormat="1" ht="13.5" customHeight="1" x14ac:dyDescent="0.2">
      <c r="A38" s="731" t="s">
        <v>276</v>
      </c>
      <c r="B38" s="732" t="s">
        <v>278</v>
      </c>
      <c r="C38" s="733">
        <f>C39+C40+C41+C42+C43+C44+C45</f>
        <v>24499.86</v>
      </c>
      <c r="D38" s="733">
        <f t="shared" ref="D38:N38" si="14">D39+D40+D41+D42+D43+D44+D45</f>
        <v>24541.24</v>
      </c>
      <c r="E38" s="733">
        <f t="shared" si="14"/>
        <v>16770.43</v>
      </c>
      <c r="F38" s="733">
        <f t="shared" si="14"/>
        <v>12833.199999999999</v>
      </c>
      <c r="G38" s="733">
        <f t="shared" si="14"/>
        <v>17711.23</v>
      </c>
      <c r="H38" s="733">
        <f t="shared" si="14"/>
        <v>14517.369999999999</v>
      </c>
      <c r="I38" s="733">
        <f t="shared" si="14"/>
        <v>18561.480000000003</v>
      </c>
      <c r="J38" s="733">
        <f t="shared" si="14"/>
        <v>19155.669999999998</v>
      </c>
      <c r="K38" s="733">
        <f t="shared" si="14"/>
        <v>19031.54</v>
      </c>
      <c r="L38" s="733">
        <f t="shared" si="14"/>
        <v>26361.160669683217</v>
      </c>
      <c r="M38" s="733">
        <f t="shared" si="14"/>
        <v>26361.160669683217</v>
      </c>
      <c r="N38" s="795">
        <f t="shared" si="14"/>
        <v>26361.160669683217</v>
      </c>
      <c r="O38" s="734">
        <f t="shared" si="2"/>
        <v>20558.791834087471</v>
      </c>
    </row>
    <row r="39" spans="1:15" s="309" customFormat="1" ht="13.5" customHeight="1" x14ac:dyDescent="0.2">
      <c r="A39" s="735" t="s">
        <v>279</v>
      </c>
      <c r="B39" s="736" t="s">
        <v>280</v>
      </c>
      <c r="C39" s="750">
        <v>16705.91</v>
      </c>
      <c r="D39" s="750">
        <v>16705.91</v>
      </c>
      <c r="E39" s="750">
        <v>11572.35</v>
      </c>
      <c r="F39" s="750">
        <v>8749.98</v>
      </c>
      <c r="G39" s="750">
        <v>11652.24</v>
      </c>
      <c r="H39" s="750">
        <v>9471.2900000000009</v>
      </c>
      <c r="I39" s="750">
        <v>12471.29</v>
      </c>
      <c r="J39" s="750">
        <v>12598.61</v>
      </c>
      <c r="K39" s="750">
        <v>12598.61</v>
      </c>
      <c r="L39" s="743">
        <v>17639.81698636783</v>
      </c>
      <c r="M39" s="743">
        <v>17639.81698636783</v>
      </c>
      <c r="N39" s="800">
        <v>17639.81698636783</v>
      </c>
      <c r="O39" s="749">
        <f t="shared" si="2"/>
        <v>13787.136746591959</v>
      </c>
    </row>
    <row r="40" spans="1:15" s="309" customFormat="1" ht="13.5" customHeight="1" x14ac:dyDescent="0.2">
      <c r="A40" s="752" t="s">
        <v>281</v>
      </c>
      <c r="B40" s="753" t="s">
        <v>282</v>
      </c>
      <c r="C40" s="755">
        <v>2791.56</v>
      </c>
      <c r="D40" s="755">
        <v>2791.56</v>
      </c>
      <c r="E40" s="755">
        <v>1933.74</v>
      </c>
      <c r="F40" s="755">
        <v>1462.12</v>
      </c>
      <c r="G40" s="755">
        <v>1947.08</v>
      </c>
      <c r="H40" s="755">
        <v>1582.65</v>
      </c>
      <c r="I40" s="755">
        <v>2083.9499999999998</v>
      </c>
      <c r="J40" s="755">
        <v>2105.23</v>
      </c>
      <c r="K40" s="755">
        <v>2105.23</v>
      </c>
      <c r="L40" s="754">
        <v>2947.6134184220646</v>
      </c>
      <c r="M40" s="754">
        <v>2947.6134184220646</v>
      </c>
      <c r="N40" s="801">
        <v>2947.6134184220646</v>
      </c>
      <c r="O40" s="802">
        <f t="shared" si="2"/>
        <v>2303.8300212721829</v>
      </c>
    </row>
    <row r="41" spans="1:15" s="309" customFormat="1" ht="13.5" customHeight="1" x14ac:dyDescent="0.2">
      <c r="A41" s="752" t="s">
        <v>283</v>
      </c>
      <c r="B41" s="753" t="s">
        <v>284</v>
      </c>
      <c r="C41" s="755">
        <v>2783.2</v>
      </c>
      <c r="D41" s="755">
        <v>2783.2</v>
      </c>
      <c r="E41" s="755">
        <v>1927.95</v>
      </c>
      <c r="F41" s="755">
        <v>1457.75</v>
      </c>
      <c r="G41" s="755">
        <v>1941.26</v>
      </c>
      <c r="H41" s="755">
        <v>1577.92</v>
      </c>
      <c r="I41" s="755">
        <v>2077.7199999999998</v>
      </c>
      <c r="J41" s="755">
        <v>2098.9299999999998</v>
      </c>
      <c r="K41" s="755">
        <v>2098.9299999999998</v>
      </c>
      <c r="L41" s="754">
        <v>2938.7935099288807</v>
      </c>
      <c r="M41" s="754">
        <v>2938.7935099288807</v>
      </c>
      <c r="N41" s="801">
        <v>2938.7935099288807</v>
      </c>
      <c r="O41" s="802">
        <f t="shared" si="2"/>
        <v>2296.9367108155534</v>
      </c>
    </row>
    <row r="42" spans="1:15" s="309" customFormat="1" ht="13.5" customHeight="1" x14ac:dyDescent="0.2">
      <c r="A42" s="752" t="s">
        <v>285</v>
      </c>
      <c r="B42" s="753" t="s">
        <v>286</v>
      </c>
      <c r="C42" s="755">
        <v>1391.6</v>
      </c>
      <c r="D42" s="755">
        <v>1391.6</v>
      </c>
      <c r="E42" s="755">
        <v>963.98</v>
      </c>
      <c r="F42" s="755">
        <v>728.87</v>
      </c>
      <c r="G42" s="755">
        <v>970.65</v>
      </c>
      <c r="H42" s="755">
        <v>788.96</v>
      </c>
      <c r="I42" s="755">
        <v>1038.8599999999999</v>
      </c>
      <c r="J42" s="755">
        <v>1049.46</v>
      </c>
      <c r="K42" s="755">
        <v>1049.46</v>
      </c>
      <c r="L42" s="754">
        <v>1469.3967549644403</v>
      </c>
      <c r="M42" s="754">
        <v>1469.3967549644403</v>
      </c>
      <c r="N42" s="801">
        <v>1469.3967549644403</v>
      </c>
      <c r="O42" s="802">
        <f t="shared" si="2"/>
        <v>1148.46918874111</v>
      </c>
    </row>
    <row r="43" spans="1:15" s="309" customFormat="1" ht="13.5" customHeight="1" x14ac:dyDescent="0.2">
      <c r="A43" s="735" t="s">
        <v>287</v>
      </c>
      <c r="B43" s="736" t="s">
        <v>288</v>
      </c>
      <c r="C43" s="750">
        <v>0</v>
      </c>
      <c r="D43" s="750">
        <v>0</v>
      </c>
      <c r="E43" s="750">
        <v>0</v>
      </c>
      <c r="F43" s="750">
        <v>0</v>
      </c>
      <c r="G43" s="750">
        <v>0</v>
      </c>
      <c r="H43" s="750">
        <v>0</v>
      </c>
      <c r="I43" s="750">
        <v>0</v>
      </c>
      <c r="J43" s="750">
        <v>0</v>
      </c>
      <c r="K43" s="750">
        <v>0</v>
      </c>
      <c r="L43" s="743">
        <v>0</v>
      </c>
      <c r="M43" s="743">
        <v>0</v>
      </c>
      <c r="N43" s="800">
        <v>0</v>
      </c>
      <c r="O43" s="749">
        <f t="shared" si="2"/>
        <v>0</v>
      </c>
    </row>
    <row r="44" spans="1:15" s="309" customFormat="1" ht="13.5" customHeight="1" x14ac:dyDescent="0.2">
      <c r="A44" s="735" t="s">
        <v>289</v>
      </c>
      <c r="B44" s="736" t="s">
        <v>290</v>
      </c>
      <c r="C44" s="750">
        <v>0</v>
      </c>
      <c r="D44" s="750">
        <v>0</v>
      </c>
      <c r="E44" s="750">
        <v>0</v>
      </c>
      <c r="F44" s="750">
        <v>0</v>
      </c>
      <c r="G44" s="750">
        <v>0</v>
      </c>
      <c r="H44" s="750">
        <v>0</v>
      </c>
      <c r="I44" s="750">
        <v>0</v>
      </c>
      <c r="J44" s="750">
        <v>0</v>
      </c>
      <c r="K44" s="750">
        <v>0</v>
      </c>
      <c r="L44" s="743">
        <v>0</v>
      </c>
      <c r="M44" s="743">
        <v>0</v>
      </c>
      <c r="N44" s="800">
        <v>0</v>
      </c>
      <c r="O44" s="749">
        <f t="shared" si="2"/>
        <v>0</v>
      </c>
    </row>
    <row r="45" spans="1:15" s="309" customFormat="1" ht="13.5" customHeight="1" x14ac:dyDescent="0.2">
      <c r="A45" s="735" t="s">
        <v>291</v>
      </c>
      <c r="B45" s="736" t="s">
        <v>292</v>
      </c>
      <c r="C45" s="750">
        <v>827.59</v>
      </c>
      <c r="D45" s="750">
        <v>868.97</v>
      </c>
      <c r="E45" s="750">
        <v>372.41</v>
      </c>
      <c r="F45" s="750">
        <v>434.48</v>
      </c>
      <c r="G45" s="750">
        <v>1200</v>
      </c>
      <c r="H45" s="750">
        <v>1096.55</v>
      </c>
      <c r="I45" s="750">
        <v>889.66</v>
      </c>
      <c r="J45" s="750">
        <v>1303.44</v>
      </c>
      <c r="K45" s="750">
        <v>1179.31</v>
      </c>
      <c r="L45" s="743">
        <v>1365.54</v>
      </c>
      <c r="M45" s="743">
        <v>1365.54</v>
      </c>
      <c r="N45" s="800">
        <v>1365.54</v>
      </c>
      <c r="O45" s="749">
        <f t="shared" si="2"/>
        <v>1022.4191666666669</v>
      </c>
    </row>
    <row r="46" spans="1:15" s="309" customFormat="1" ht="13.5" customHeight="1" x14ac:dyDescent="0.2">
      <c r="A46" s="731" t="s">
        <v>293</v>
      </c>
      <c r="B46" s="732" t="s">
        <v>294</v>
      </c>
      <c r="C46" s="733">
        <f>C47+C48+C49</f>
        <v>0</v>
      </c>
      <c r="D46" s="733">
        <f t="shared" ref="D46:N46" si="15">D47+D48+D49</f>
        <v>0</v>
      </c>
      <c r="E46" s="733">
        <f t="shared" si="15"/>
        <v>0</v>
      </c>
      <c r="F46" s="733">
        <f t="shared" si="15"/>
        <v>0</v>
      </c>
      <c r="G46" s="733">
        <f t="shared" si="15"/>
        <v>0</v>
      </c>
      <c r="H46" s="733">
        <f t="shared" si="15"/>
        <v>0</v>
      </c>
      <c r="I46" s="733">
        <f t="shared" si="15"/>
        <v>0</v>
      </c>
      <c r="J46" s="733">
        <f t="shared" si="15"/>
        <v>0</v>
      </c>
      <c r="K46" s="733">
        <f t="shared" si="15"/>
        <v>0</v>
      </c>
      <c r="L46" s="733">
        <f t="shared" si="15"/>
        <v>0</v>
      </c>
      <c r="M46" s="733">
        <f t="shared" si="15"/>
        <v>0</v>
      </c>
      <c r="N46" s="795">
        <f t="shared" si="15"/>
        <v>0</v>
      </c>
      <c r="O46" s="734">
        <f t="shared" si="2"/>
        <v>0</v>
      </c>
    </row>
    <row r="47" spans="1:15" s="309" customFormat="1" ht="13.5" customHeight="1" x14ac:dyDescent="0.2">
      <c r="A47" s="735" t="s">
        <v>295</v>
      </c>
      <c r="B47" s="736" t="s">
        <v>296</v>
      </c>
      <c r="C47" s="750">
        <v>0</v>
      </c>
      <c r="D47" s="750">
        <v>0</v>
      </c>
      <c r="E47" s="750">
        <v>0</v>
      </c>
      <c r="F47" s="750">
        <v>0</v>
      </c>
      <c r="G47" s="750">
        <v>0</v>
      </c>
      <c r="H47" s="750">
        <v>0</v>
      </c>
      <c r="I47" s="750">
        <v>0</v>
      </c>
      <c r="J47" s="750">
        <v>0</v>
      </c>
      <c r="K47" s="750">
        <v>0</v>
      </c>
      <c r="L47" s="743">
        <v>0</v>
      </c>
      <c r="M47" s="743">
        <v>0</v>
      </c>
      <c r="N47" s="800">
        <v>0</v>
      </c>
      <c r="O47" s="749">
        <f t="shared" si="2"/>
        <v>0</v>
      </c>
    </row>
    <row r="48" spans="1:15" s="309" customFormat="1" ht="13.5" customHeight="1" x14ac:dyDescent="0.2">
      <c r="A48" s="735" t="s">
        <v>297</v>
      </c>
      <c r="B48" s="736" t="s">
        <v>298</v>
      </c>
      <c r="C48" s="750">
        <v>0</v>
      </c>
      <c r="D48" s="750">
        <v>0</v>
      </c>
      <c r="E48" s="750">
        <v>0</v>
      </c>
      <c r="F48" s="750">
        <v>0</v>
      </c>
      <c r="G48" s="750">
        <v>0</v>
      </c>
      <c r="H48" s="750">
        <v>0</v>
      </c>
      <c r="I48" s="750">
        <v>0</v>
      </c>
      <c r="J48" s="750">
        <v>0</v>
      </c>
      <c r="K48" s="750">
        <v>0</v>
      </c>
      <c r="L48" s="743">
        <v>0</v>
      </c>
      <c r="M48" s="743">
        <v>0</v>
      </c>
      <c r="N48" s="800">
        <v>0</v>
      </c>
      <c r="O48" s="749">
        <f t="shared" si="2"/>
        <v>0</v>
      </c>
    </row>
    <row r="49" spans="1:15" s="309" customFormat="1" ht="13.5" customHeight="1" x14ac:dyDescent="0.2">
      <c r="A49" s="735" t="s">
        <v>299</v>
      </c>
      <c r="B49" s="736" t="s">
        <v>300</v>
      </c>
      <c r="C49" s="750">
        <v>0</v>
      </c>
      <c r="D49" s="750">
        <v>0</v>
      </c>
      <c r="E49" s="750">
        <v>0</v>
      </c>
      <c r="F49" s="750">
        <v>0</v>
      </c>
      <c r="G49" s="750">
        <v>0</v>
      </c>
      <c r="H49" s="750">
        <v>0</v>
      </c>
      <c r="I49" s="750">
        <v>0</v>
      </c>
      <c r="J49" s="750">
        <v>0</v>
      </c>
      <c r="K49" s="750">
        <v>0</v>
      </c>
      <c r="L49" s="743">
        <v>0</v>
      </c>
      <c r="M49" s="743">
        <v>0</v>
      </c>
      <c r="N49" s="800">
        <v>0</v>
      </c>
      <c r="O49" s="749">
        <f t="shared" si="2"/>
        <v>0</v>
      </c>
    </row>
    <row r="50" spans="1:15" s="294" customFormat="1" ht="13.5" customHeight="1" x14ac:dyDescent="0.2">
      <c r="A50" s="757" t="s">
        <v>301</v>
      </c>
      <c r="B50" s="726" t="s">
        <v>302</v>
      </c>
      <c r="C50" s="727">
        <f>C51</f>
        <v>11553.513999999999</v>
      </c>
      <c r="D50" s="727">
        <f t="shared" ref="D50:N50" si="16">D51</f>
        <v>11442.461800000001</v>
      </c>
      <c r="E50" s="727">
        <f t="shared" si="16"/>
        <v>19789.098544827582</v>
      </c>
      <c r="F50" s="727">
        <f t="shared" si="16"/>
        <v>13802.7</v>
      </c>
      <c r="G50" s="727">
        <f t="shared" si="16"/>
        <v>16256.712951724137</v>
      </c>
      <c r="H50" s="727">
        <f t="shared" si="16"/>
        <v>21742.187744827588</v>
      </c>
      <c r="I50" s="727">
        <f t="shared" si="16"/>
        <v>17124.333200000001</v>
      </c>
      <c r="J50" s="727">
        <f t="shared" si="16"/>
        <v>14823.9696</v>
      </c>
      <c r="K50" s="727">
        <f t="shared" si="16"/>
        <v>21293.097000000002</v>
      </c>
      <c r="L50" s="727">
        <f t="shared" si="16"/>
        <v>17468.171451226342</v>
      </c>
      <c r="M50" s="727">
        <f t="shared" si="16"/>
        <v>16277.543499502208</v>
      </c>
      <c r="N50" s="794">
        <f t="shared" si="16"/>
        <v>22239.804871916</v>
      </c>
      <c r="O50" s="729">
        <f t="shared" si="2"/>
        <v>16984.466222001985</v>
      </c>
    </row>
    <row r="51" spans="1:15" s="294" customFormat="1" ht="13.5" customHeight="1" x14ac:dyDescent="0.2">
      <c r="A51" s="758" t="s">
        <v>303</v>
      </c>
      <c r="B51" s="732" t="s">
        <v>304</v>
      </c>
      <c r="C51" s="733">
        <f>SUM(C52:C84)</f>
        <v>11553.513999999999</v>
      </c>
      <c r="D51" s="733">
        <f t="shared" ref="D51:N51" si="17">SUM(D52:D84)</f>
        <v>11442.461800000001</v>
      </c>
      <c r="E51" s="733">
        <f t="shared" si="17"/>
        <v>19789.098544827582</v>
      </c>
      <c r="F51" s="733">
        <f t="shared" si="17"/>
        <v>13802.7</v>
      </c>
      <c r="G51" s="733">
        <f t="shared" si="17"/>
        <v>16256.712951724137</v>
      </c>
      <c r="H51" s="733">
        <f t="shared" si="17"/>
        <v>21742.187744827588</v>
      </c>
      <c r="I51" s="733">
        <f t="shared" si="17"/>
        <v>17124.333200000001</v>
      </c>
      <c r="J51" s="733">
        <f t="shared" si="17"/>
        <v>14823.9696</v>
      </c>
      <c r="K51" s="733">
        <f t="shared" si="17"/>
        <v>21293.097000000002</v>
      </c>
      <c r="L51" s="733">
        <f t="shared" si="17"/>
        <v>17468.171451226342</v>
      </c>
      <c r="M51" s="733">
        <f t="shared" si="17"/>
        <v>16277.543499502208</v>
      </c>
      <c r="N51" s="795">
        <f t="shared" si="17"/>
        <v>22239.804871916</v>
      </c>
      <c r="O51" s="734">
        <f t="shared" si="2"/>
        <v>16984.466222001985</v>
      </c>
    </row>
    <row r="52" spans="1:15" s="309" customFormat="1" ht="13.5" customHeight="1" x14ac:dyDescent="0.2">
      <c r="A52" s="735" t="s">
        <v>305</v>
      </c>
      <c r="B52" s="736" t="s">
        <v>59</v>
      </c>
      <c r="C52" s="750">
        <v>0</v>
      </c>
      <c r="D52" s="750">
        <v>64</v>
      </c>
      <c r="E52" s="750">
        <v>0</v>
      </c>
      <c r="F52" s="750">
        <v>0</v>
      </c>
      <c r="G52" s="750">
        <v>0</v>
      </c>
      <c r="H52" s="750">
        <v>0</v>
      </c>
      <c r="I52" s="750">
        <v>334.95</v>
      </c>
      <c r="J52" s="750">
        <v>60.9</v>
      </c>
      <c r="K52" s="750">
        <v>106.29</v>
      </c>
      <c r="L52" s="743">
        <v>71.849999999999994</v>
      </c>
      <c r="M52" s="743">
        <v>17.79</v>
      </c>
      <c r="N52" s="800">
        <v>16.11</v>
      </c>
      <c r="O52" s="749">
        <f t="shared" si="2"/>
        <v>55.990833333333335</v>
      </c>
    </row>
    <row r="53" spans="1:15" s="309" customFormat="1" ht="13.5" customHeight="1" x14ac:dyDescent="0.2">
      <c r="A53" s="735" t="s">
        <v>306</v>
      </c>
      <c r="B53" s="736" t="s">
        <v>61</v>
      </c>
      <c r="C53" s="750">
        <v>0</v>
      </c>
      <c r="D53" s="750">
        <v>0</v>
      </c>
      <c r="E53" s="750">
        <v>0</v>
      </c>
      <c r="F53" s="750">
        <v>0</v>
      </c>
      <c r="G53" s="750">
        <v>0</v>
      </c>
      <c r="H53" s="750">
        <v>227.46</v>
      </c>
      <c r="I53" s="750">
        <v>0</v>
      </c>
      <c r="J53" s="750">
        <v>0</v>
      </c>
      <c r="K53" s="750">
        <v>0</v>
      </c>
      <c r="L53" s="743">
        <v>0</v>
      </c>
      <c r="M53" s="743">
        <v>0</v>
      </c>
      <c r="N53" s="800">
        <v>0</v>
      </c>
      <c r="O53" s="749">
        <f t="shared" si="2"/>
        <v>18.955000000000002</v>
      </c>
    </row>
    <row r="54" spans="1:15" s="309" customFormat="1" ht="13.5" customHeight="1" x14ac:dyDescent="0.2">
      <c r="A54" s="735" t="s">
        <v>307</v>
      </c>
      <c r="B54" s="736" t="s">
        <v>62</v>
      </c>
      <c r="C54" s="750">
        <v>13.91</v>
      </c>
      <c r="D54" s="750">
        <v>0</v>
      </c>
      <c r="E54" s="750">
        <v>61.75</v>
      </c>
      <c r="F54" s="750">
        <v>34.79</v>
      </c>
      <c r="G54" s="750">
        <v>13.92</v>
      </c>
      <c r="H54" s="750">
        <v>13.92</v>
      </c>
      <c r="I54" s="750">
        <v>27.84</v>
      </c>
      <c r="J54" s="750">
        <v>33.5</v>
      </c>
      <c r="K54" s="750">
        <v>75.69</v>
      </c>
      <c r="L54" s="743">
        <v>50</v>
      </c>
      <c r="M54" s="743">
        <v>50</v>
      </c>
      <c r="N54" s="800">
        <v>50</v>
      </c>
      <c r="O54" s="749">
        <f t="shared" si="2"/>
        <v>35.443333333333335</v>
      </c>
    </row>
    <row r="55" spans="1:15" s="309" customFormat="1" ht="13.5" customHeight="1" x14ac:dyDescent="0.2">
      <c r="A55" s="735" t="s">
        <v>308</v>
      </c>
      <c r="B55" s="736" t="s">
        <v>63</v>
      </c>
      <c r="C55" s="750">
        <v>652.48</v>
      </c>
      <c r="D55" s="750">
        <v>651.41999999999996</v>
      </c>
      <c r="E55" s="750">
        <v>715.44</v>
      </c>
      <c r="F55" s="750">
        <v>870.34</v>
      </c>
      <c r="G55" s="750">
        <v>675.63</v>
      </c>
      <c r="H55" s="750">
        <v>746.31</v>
      </c>
      <c r="I55" s="750">
        <v>727.56</v>
      </c>
      <c r="J55" s="750">
        <v>750.69</v>
      </c>
      <c r="K55" s="750">
        <v>730.37</v>
      </c>
      <c r="L55" s="743">
        <v>1019</v>
      </c>
      <c r="M55" s="743">
        <v>1019</v>
      </c>
      <c r="N55" s="800">
        <v>1019</v>
      </c>
      <c r="O55" s="749">
        <f t="shared" si="2"/>
        <v>798.10333333333347</v>
      </c>
    </row>
    <row r="56" spans="1:15" s="309" customFormat="1" ht="13.5" customHeight="1" x14ac:dyDescent="0.2">
      <c r="A56" s="735" t="s">
        <v>309</v>
      </c>
      <c r="B56" s="736" t="s">
        <v>64</v>
      </c>
      <c r="C56" s="750">
        <v>1183.94</v>
      </c>
      <c r="D56" s="750">
        <v>452.59</v>
      </c>
      <c r="E56" s="750">
        <v>452.59</v>
      </c>
      <c r="F56" s="750">
        <v>452.59</v>
      </c>
      <c r="G56" s="750">
        <v>208.8</v>
      </c>
      <c r="H56" s="750">
        <v>208.8</v>
      </c>
      <c r="I56" s="750">
        <v>208.8</v>
      </c>
      <c r="J56" s="750">
        <v>208.8</v>
      </c>
      <c r="K56" s="750">
        <v>208.8</v>
      </c>
      <c r="L56" s="743">
        <v>530</v>
      </c>
      <c r="M56" s="743">
        <v>530</v>
      </c>
      <c r="N56" s="800">
        <v>530</v>
      </c>
      <c r="O56" s="749">
        <f t="shared" si="2"/>
        <v>431.30916666666673</v>
      </c>
    </row>
    <row r="57" spans="1:15" s="309" customFormat="1" ht="13.5" customHeight="1" x14ac:dyDescent="0.2">
      <c r="A57" s="735" t="s">
        <v>310</v>
      </c>
      <c r="B57" s="736" t="s">
        <v>311</v>
      </c>
      <c r="C57" s="750">
        <v>195.19</v>
      </c>
      <c r="D57" s="750">
        <v>171.04</v>
      </c>
      <c r="E57" s="750">
        <v>156.94999999999999</v>
      </c>
      <c r="F57" s="750">
        <v>723.23</v>
      </c>
      <c r="G57" s="750">
        <v>179.72</v>
      </c>
      <c r="H57" s="750">
        <v>184.44</v>
      </c>
      <c r="I57" s="750">
        <v>191.68</v>
      </c>
      <c r="J57" s="750">
        <v>176.65</v>
      </c>
      <c r="K57" s="750">
        <v>215.3</v>
      </c>
      <c r="L57" s="743">
        <v>200</v>
      </c>
      <c r="M57" s="743">
        <v>200</v>
      </c>
      <c r="N57" s="800">
        <v>200</v>
      </c>
      <c r="O57" s="749">
        <f t="shared" si="2"/>
        <v>232.85000000000002</v>
      </c>
    </row>
    <row r="58" spans="1:15" s="309" customFormat="1" ht="13.5" customHeight="1" x14ac:dyDescent="0.2">
      <c r="A58" s="735" t="s">
        <v>312</v>
      </c>
      <c r="B58" s="736" t="s">
        <v>313</v>
      </c>
      <c r="C58" s="750">
        <v>0</v>
      </c>
      <c r="D58" s="750">
        <v>0</v>
      </c>
      <c r="E58" s="750">
        <v>0</v>
      </c>
      <c r="F58" s="750">
        <v>0</v>
      </c>
      <c r="G58" s="750">
        <v>0</v>
      </c>
      <c r="H58" s="750">
        <v>0</v>
      </c>
      <c r="I58" s="750">
        <v>0</v>
      </c>
      <c r="J58" s="750">
        <v>0</v>
      </c>
      <c r="K58" s="750">
        <v>174</v>
      </c>
      <c r="L58" s="743">
        <v>0</v>
      </c>
      <c r="M58" s="743">
        <v>0</v>
      </c>
      <c r="N58" s="800">
        <v>0</v>
      </c>
      <c r="O58" s="749">
        <f t="shared" si="2"/>
        <v>14.5</v>
      </c>
    </row>
    <row r="59" spans="1:15" s="309" customFormat="1" ht="13.5" customHeight="1" x14ac:dyDescent="0.2">
      <c r="A59" s="735" t="s">
        <v>314</v>
      </c>
      <c r="B59" s="736" t="s">
        <v>150</v>
      </c>
      <c r="C59" s="750">
        <v>0</v>
      </c>
      <c r="D59" s="750">
        <v>0</v>
      </c>
      <c r="E59" s="750">
        <v>0</v>
      </c>
      <c r="F59" s="750">
        <v>0</v>
      </c>
      <c r="G59" s="750">
        <v>0</v>
      </c>
      <c r="H59" s="750">
        <v>0</v>
      </c>
      <c r="I59" s="750">
        <v>0</v>
      </c>
      <c r="J59" s="750">
        <v>0</v>
      </c>
      <c r="K59" s="750">
        <v>0</v>
      </c>
      <c r="L59" s="743">
        <v>0</v>
      </c>
      <c r="M59" s="743">
        <v>0</v>
      </c>
      <c r="N59" s="800">
        <v>0</v>
      </c>
      <c r="O59" s="749">
        <f t="shared" si="2"/>
        <v>0</v>
      </c>
    </row>
    <row r="60" spans="1:15" s="309" customFormat="1" ht="13.5" customHeight="1" x14ac:dyDescent="0.2">
      <c r="A60" s="735" t="s">
        <v>315</v>
      </c>
      <c r="B60" s="736" t="s">
        <v>65</v>
      </c>
      <c r="C60" s="750">
        <v>0</v>
      </c>
      <c r="D60" s="750">
        <v>0</v>
      </c>
      <c r="E60" s="750">
        <v>0</v>
      </c>
      <c r="F60" s="750">
        <v>0</v>
      </c>
      <c r="G60" s="750">
        <v>0</v>
      </c>
      <c r="H60" s="750">
        <v>0</v>
      </c>
      <c r="I60" s="750">
        <v>0</v>
      </c>
      <c r="J60" s="750">
        <v>0</v>
      </c>
      <c r="K60" s="750">
        <v>0</v>
      </c>
      <c r="L60" s="743">
        <v>0</v>
      </c>
      <c r="M60" s="743">
        <v>0</v>
      </c>
      <c r="N60" s="800">
        <v>0</v>
      </c>
      <c r="O60" s="749">
        <f t="shared" si="2"/>
        <v>0</v>
      </c>
    </row>
    <row r="61" spans="1:15" s="309" customFormat="1" ht="13.5" customHeight="1" x14ac:dyDescent="0.2">
      <c r="A61" s="735" t="s">
        <v>316</v>
      </c>
      <c r="B61" s="736" t="s">
        <v>317</v>
      </c>
      <c r="C61" s="750">
        <v>0</v>
      </c>
      <c r="D61" s="750">
        <v>0</v>
      </c>
      <c r="E61" s="750">
        <v>0</v>
      </c>
      <c r="F61" s="750">
        <v>0</v>
      </c>
      <c r="G61" s="750">
        <v>1017.27</v>
      </c>
      <c r="H61" s="750">
        <v>0</v>
      </c>
      <c r="I61" s="750">
        <v>0</v>
      </c>
      <c r="J61" s="750">
        <v>0</v>
      </c>
      <c r="K61" s="750">
        <v>0</v>
      </c>
      <c r="L61" s="743">
        <v>0</v>
      </c>
      <c r="M61" s="743">
        <v>0</v>
      </c>
      <c r="N61" s="800">
        <v>0</v>
      </c>
      <c r="O61" s="749">
        <f t="shared" si="2"/>
        <v>84.772499999999994</v>
      </c>
    </row>
    <row r="62" spans="1:15" s="309" customFormat="1" ht="13.5" customHeight="1" x14ac:dyDescent="0.2">
      <c r="A62" s="735" t="s">
        <v>318</v>
      </c>
      <c r="B62" s="736" t="s">
        <v>151</v>
      </c>
      <c r="C62" s="750">
        <f>C10*100/87*3%</f>
        <v>735.6</v>
      </c>
      <c r="D62" s="750">
        <f>CONCATENATE(D10*100)/87*3%</f>
        <v>1085.8499999999999</v>
      </c>
      <c r="E62" s="750">
        <f>CONCATENATE(E10*100)/87*3%</f>
        <v>1228.2103448275864</v>
      </c>
      <c r="F62" s="750">
        <f t="shared" ref="F62:K62" si="18">F10*100/87*3%</f>
        <v>601.04999999999995</v>
      </c>
      <c r="G62" s="750">
        <f t="shared" si="18"/>
        <v>472.34655172413795</v>
      </c>
      <c r="H62" s="750">
        <f t="shared" si="18"/>
        <v>2478.3103448275861</v>
      </c>
      <c r="I62" s="750">
        <f t="shared" si="18"/>
        <v>1155.06</v>
      </c>
      <c r="J62" s="750">
        <f t="shared" si="18"/>
        <v>1815.3</v>
      </c>
      <c r="K62" s="750">
        <f t="shared" si="18"/>
        <v>1408.9500000000003</v>
      </c>
      <c r="L62" s="743">
        <v>1519.2413793103447</v>
      </c>
      <c r="M62" s="743">
        <v>2004.344827586207</v>
      </c>
      <c r="N62" s="800">
        <v>1818</v>
      </c>
      <c r="O62" s="749">
        <f t="shared" si="2"/>
        <v>1360.1886206896552</v>
      </c>
    </row>
    <row r="63" spans="1:15" s="309" customFormat="1" ht="13.5" customHeight="1" x14ac:dyDescent="0.2">
      <c r="A63" s="735" t="s">
        <v>319</v>
      </c>
      <c r="B63" s="736" t="s">
        <v>320</v>
      </c>
      <c r="C63" s="750">
        <v>0</v>
      </c>
      <c r="D63" s="750">
        <v>0</v>
      </c>
      <c r="E63" s="750">
        <v>0</v>
      </c>
      <c r="F63" s="750">
        <v>0</v>
      </c>
      <c r="G63" s="750">
        <v>0</v>
      </c>
      <c r="H63" s="750">
        <v>0</v>
      </c>
      <c r="I63" s="750">
        <v>0</v>
      </c>
      <c r="J63" s="750">
        <v>0</v>
      </c>
      <c r="K63" s="750">
        <v>0</v>
      </c>
      <c r="L63" s="743">
        <v>0</v>
      </c>
      <c r="M63" s="743">
        <v>0</v>
      </c>
      <c r="N63" s="800">
        <v>0</v>
      </c>
      <c r="O63" s="749">
        <f t="shared" si="2"/>
        <v>0</v>
      </c>
    </row>
    <row r="64" spans="1:15" s="309" customFormat="1" ht="13.5" customHeight="1" x14ac:dyDescent="0.2">
      <c r="A64" s="735" t="s">
        <v>321</v>
      </c>
      <c r="B64" s="736" t="s">
        <v>322</v>
      </c>
      <c r="C64" s="750">
        <v>0</v>
      </c>
      <c r="D64" s="750">
        <v>0</v>
      </c>
      <c r="E64" s="750">
        <v>0</v>
      </c>
      <c r="F64" s="750">
        <v>0</v>
      </c>
      <c r="G64" s="750">
        <v>0</v>
      </c>
      <c r="H64" s="750">
        <v>0</v>
      </c>
      <c r="I64" s="750">
        <v>0</v>
      </c>
      <c r="J64" s="750">
        <v>0</v>
      </c>
      <c r="K64" s="750">
        <v>0</v>
      </c>
      <c r="L64" s="743">
        <v>0</v>
      </c>
      <c r="M64" s="743">
        <v>0</v>
      </c>
      <c r="N64" s="800">
        <v>0</v>
      </c>
      <c r="O64" s="749">
        <f t="shared" si="2"/>
        <v>0</v>
      </c>
    </row>
    <row r="65" spans="1:15" s="309" customFormat="1" ht="13.5" customHeight="1" x14ac:dyDescent="0.2">
      <c r="A65" s="735" t="s">
        <v>323</v>
      </c>
      <c r="B65" s="736" t="s">
        <v>324</v>
      </c>
      <c r="C65" s="750">
        <v>0</v>
      </c>
      <c r="D65" s="750">
        <v>0</v>
      </c>
      <c r="E65" s="750">
        <v>0</v>
      </c>
      <c r="F65" s="750">
        <v>0</v>
      </c>
      <c r="G65" s="750">
        <v>0</v>
      </c>
      <c r="H65" s="750">
        <v>0</v>
      </c>
      <c r="I65" s="750">
        <v>0</v>
      </c>
      <c r="J65" s="750">
        <v>0</v>
      </c>
      <c r="K65" s="750">
        <v>0</v>
      </c>
      <c r="L65" s="743">
        <v>20</v>
      </c>
      <c r="M65" s="743">
        <v>20</v>
      </c>
      <c r="N65" s="800">
        <v>20</v>
      </c>
      <c r="O65" s="749">
        <f t="shared" si="2"/>
        <v>5</v>
      </c>
    </row>
    <row r="66" spans="1:15" s="322" customFormat="1" ht="13.5" customHeight="1" x14ac:dyDescent="0.2">
      <c r="A66" s="735" t="s">
        <v>325</v>
      </c>
      <c r="B66" s="736" t="s">
        <v>326</v>
      </c>
      <c r="C66" s="750">
        <v>0</v>
      </c>
      <c r="D66" s="750">
        <v>560</v>
      </c>
      <c r="E66" s="750">
        <v>1050</v>
      </c>
      <c r="F66" s="750">
        <v>1050</v>
      </c>
      <c r="G66" s="750">
        <v>840</v>
      </c>
      <c r="H66" s="750">
        <v>490</v>
      </c>
      <c r="I66" s="750">
        <v>840</v>
      </c>
      <c r="J66" s="750">
        <v>70</v>
      </c>
      <c r="K66" s="750">
        <v>0</v>
      </c>
      <c r="L66" s="743">
        <v>560</v>
      </c>
      <c r="M66" s="743">
        <v>560</v>
      </c>
      <c r="N66" s="800">
        <v>560</v>
      </c>
      <c r="O66" s="749">
        <f t="shared" si="2"/>
        <v>548.33333333333337</v>
      </c>
    </row>
    <row r="67" spans="1:15" s="309" customFormat="1" ht="13.5" customHeight="1" x14ac:dyDescent="0.2">
      <c r="A67" s="735" t="s">
        <v>327</v>
      </c>
      <c r="B67" s="736" t="s">
        <v>328</v>
      </c>
      <c r="C67" s="750">
        <v>0</v>
      </c>
      <c r="D67" s="750">
        <v>0</v>
      </c>
      <c r="E67" s="750">
        <v>0</v>
      </c>
      <c r="F67" s="750">
        <v>0</v>
      </c>
      <c r="G67" s="750">
        <v>0</v>
      </c>
      <c r="H67" s="750">
        <v>0</v>
      </c>
      <c r="I67" s="750">
        <v>0</v>
      </c>
      <c r="J67" s="750">
        <v>0</v>
      </c>
      <c r="K67" s="750">
        <v>0</v>
      </c>
      <c r="L67" s="743">
        <v>0</v>
      </c>
      <c r="M67" s="743">
        <v>0</v>
      </c>
      <c r="N67" s="800">
        <v>0</v>
      </c>
      <c r="O67" s="749">
        <f t="shared" si="2"/>
        <v>0</v>
      </c>
    </row>
    <row r="68" spans="1:15" s="309" customFormat="1" ht="13.5" customHeight="1" x14ac:dyDescent="0.2">
      <c r="A68" s="735" t="s">
        <v>329</v>
      </c>
      <c r="B68" s="736" t="s">
        <v>330</v>
      </c>
      <c r="C68" s="750">
        <v>0</v>
      </c>
      <c r="D68" s="750">
        <v>0</v>
      </c>
      <c r="E68" s="750">
        <v>0</v>
      </c>
      <c r="F68" s="750">
        <v>0</v>
      </c>
      <c r="G68" s="750">
        <v>730.8</v>
      </c>
      <c r="H68" s="750">
        <v>0</v>
      </c>
      <c r="I68" s="750">
        <v>0</v>
      </c>
      <c r="J68" s="750">
        <v>243.6</v>
      </c>
      <c r="K68" s="750">
        <v>0</v>
      </c>
      <c r="L68" s="743">
        <v>100</v>
      </c>
      <c r="M68" s="743">
        <v>100</v>
      </c>
      <c r="N68" s="800">
        <v>100</v>
      </c>
      <c r="O68" s="749">
        <f t="shared" si="2"/>
        <v>106.2</v>
      </c>
    </row>
    <row r="69" spans="1:15" s="309" customFormat="1" ht="13.5" customHeight="1" x14ac:dyDescent="0.2">
      <c r="A69" s="735" t="s">
        <v>331</v>
      </c>
      <c r="B69" s="736" t="s">
        <v>70</v>
      </c>
      <c r="C69" s="750">
        <v>395.28</v>
      </c>
      <c r="D69" s="750">
        <v>516.69000000000005</v>
      </c>
      <c r="E69" s="750">
        <v>127.81</v>
      </c>
      <c r="F69" s="750">
        <v>842.62</v>
      </c>
      <c r="G69" s="750">
        <v>1134.93</v>
      </c>
      <c r="H69" s="750">
        <v>939.68</v>
      </c>
      <c r="I69" s="750">
        <v>355.06</v>
      </c>
      <c r="J69" s="750">
        <v>345.58</v>
      </c>
      <c r="K69" s="750">
        <v>213.02</v>
      </c>
      <c r="L69" s="743">
        <v>528</v>
      </c>
      <c r="M69" s="743">
        <v>528</v>
      </c>
      <c r="N69" s="800">
        <v>528</v>
      </c>
      <c r="O69" s="749">
        <f t="shared" si="2"/>
        <v>537.88916666666671</v>
      </c>
    </row>
    <row r="70" spans="1:15" s="309" customFormat="1" ht="13.5" customHeight="1" x14ac:dyDescent="0.2">
      <c r="A70" s="735" t="s">
        <v>332</v>
      </c>
      <c r="B70" s="736" t="s">
        <v>71</v>
      </c>
      <c r="C70" s="750">
        <v>605.32000000000005</v>
      </c>
      <c r="D70" s="750">
        <v>591.44000000000005</v>
      </c>
      <c r="E70" s="750">
        <v>556.49</v>
      </c>
      <c r="F70" s="750">
        <v>579.24</v>
      </c>
      <c r="G70" s="750">
        <v>463.44</v>
      </c>
      <c r="H70" s="750">
        <v>444.79</v>
      </c>
      <c r="I70" s="750">
        <v>487.73</v>
      </c>
      <c r="J70" s="750">
        <v>469.64</v>
      </c>
      <c r="K70" s="750">
        <v>513.87</v>
      </c>
      <c r="L70" s="743">
        <v>522</v>
      </c>
      <c r="M70" s="743">
        <v>522</v>
      </c>
      <c r="N70" s="800">
        <v>522</v>
      </c>
      <c r="O70" s="749">
        <f t="shared" si="2"/>
        <v>523.1633333333333</v>
      </c>
    </row>
    <row r="71" spans="1:15" s="309" customFormat="1" ht="13.5" customHeight="1" x14ac:dyDescent="0.2">
      <c r="A71" s="735" t="s">
        <v>333</v>
      </c>
      <c r="B71" s="736" t="s">
        <v>334</v>
      </c>
      <c r="C71" s="750">
        <v>0</v>
      </c>
      <c r="D71" s="750">
        <v>0</v>
      </c>
      <c r="E71" s="750">
        <v>0</v>
      </c>
      <c r="F71" s="750">
        <v>0</v>
      </c>
      <c r="G71" s="750">
        <v>0</v>
      </c>
      <c r="H71" s="750">
        <v>0</v>
      </c>
      <c r="I71" s="750">
        <v>0</v>
      </c>
      <c r="J71" s="750">
        <v>0</v>
      </c>
      <c r="K71" s="750">
        <v>0</v>
      </c>
      <c r="L71" s="743">
        <v>0</v>
      </c>
      <c r="M71" s="743">
        <v>0</v>
      </c>
      <c r="N71" s="800">
        <v>0</v>
      </c>
      <c r="O71" s="749">
        <f t="shared" si="2"/>
        <v>0</v>
      </c>
    </row>
    <row r="72" spans="1:15" s="309" customFormat="1" ht="13.5" customHeight="1" x14ac:dyDescent="0.2">
      <c r="A72" s="735" t="s">
        <v>335</v>
      </c>
      <c r="B72" s="736" t="s">
        <v>73</v>
      </c>
      <c r="C72" s="750">
        <v>0</v>
      </c>
      <c r="D72" s="750">
        <v>0</v>
      </c>
      <c r="E72" s="750">
        <v>0</v>
      </c>
      <c r="F72" s="750">
        <v>0</v>
      </c>
      <c r="G72" s="750">
        <v>403.87</v>
      </c>
      <c r="H72" s="750">
        <v>403.87</v>
      </c>
      <c r="I72" s="750">
        <v>403.87</v>
      </c>
      <c r="J72" s="750">
        <v>403.87</v>
      </c>
      <c r="K72" s="750">
        <v>403.87</v>
      </c>
      <c r="L72" s="743">
        <v>345</v>
      </c>
      <c r="M72" s="743">
        <v>345</v>
      </c>
      <c r="N72" s="800">
        <v>345</v>
      </c>
      <c r="O72" s="749">
        <f t="shared" si="2"/>
        <v>254.52916666666667</v>
      </c>
    </row>
    <row r="73" spans="1:15" s="309" customFormat="1" ht="13.5" customHeight="1" x14ac:dyDescent="0.2">
      <c r="A73" s="735" t="s">
        <v>336</v>
      </c>
      <c r="B73" s="736" t="s">
        <v>337</v>
      </c>
      <c r="C73" s="750">
        <v>0</v>
      </c>
      <c r="D73" s="750">
        <v>0</v>
      </c>
      <c r="E73" s="750">
        <v>0</v>
      </c>
      <c r="F73" s="750">
        <v>0</v>
      </c>
      <c r="G73" s="750">
        <v>0</v>
      </c>
      <c r="H73" s="750">
        <v>0</v>
      </c>
      <c r="I73" s="750">
        <v>0</v>
      </c>
      <c r="J73" s="750">
        <v>0</v>
      </c>
      <c r="K73" s="750">
        <v>0</v>
      </c>
      <c r="L73" s="743">
        <v>0</v>
      </c>
      <c r="M73" s="743">
        <v>0</v>
      </c>
      <c r="N73" s="800">
        <v>0</v>
      </c>
      <c r="O73" s="749">
        <f t="shared" si="2"/>
        <v>0</v>
      </c>
    </row>
    <row r="74" spans="1:15" s="309" customFormat="1" ht="13.5" customHeight="1" x14ac:dyDescent="0.2">
      <c r="A74" s="735" t="s">
        <v>338</v>
      </c>
      <c r="B74" s="736" t="s">
        <v>339</v>
      </c>
      <c r="C74" s="750">
        <v>0</v>
      </c>
      <c r="D74" s="750">
        <v>0</v>
      </c>
      <c r="E74" s="750">
        <v>0</v>
      </c>
      <c r="F74" s="750">
        <v>0</v>
      </c>
      <c r="G74" s="750">
        <v>0</v>
      </c>
      <c r="H74" s="750">
        <v>0</v>
      </c>
      <c r="I74" s="750">
        <v>0</v>
      </c>
      <c r="J74" s="750">
        <v>0</v>
      </c>
      <c r="K74" s="750">
        <v>0</v>
      </c>
      <c r="L74" s="743">
        <v>0</v>
      </c>
      <c r="M74" s="743">
        <v>0</v>
      </c>
      <c r="N74" s="800">
        <v>0</v>
      </c>
      <c r="O74" s="749">
        <f t="shared" si="2"/>
        <v>0</v>
      </c>
    </row>
    <row r="75" spans="1:15" s="309" customFormat="1" ht="13.5" customHeight="1" x14ac:dyDescent="0.2">
      <c r="A75" s="735" t="s">
        <v>340</v>
      </c>
      <c r="B75" s="736" t="s">
        <v>341</v>
      </c>
      <c r="C75" s="750">
        <v>0</v>
      </c>
      <c r="D75" s="750">
        <v>0</v>
      </c>
      <c r="E75" s="750">
        <v>0</v>
      </c>
      <c r="F75" s="750">
        <v>0</v>
      </c>
      <c r="G75" s="750">
        <v>0</v>
      </c>
      <c r="H75" s="750">
        <v>0</v>
      </c>
      <c r="I75" s="750">
        <v>0</v>
      </c>
      <c r="J75" s="750">
        <v>0</v>
      </c>
      <c r="K75" s="750">
        <v>0</v>
      </c>
      <c r="L75" s="743">
        <v>1000</v>
      </c>
      <c r="M75" s="743">
        <v>0</v>
      </c>
      <c r="N75" s="800">
        <v>0</v>
      </c>
      <c r="O75" s="749">
        <f t="shared" ref="O75:O96" si="19">+AVERAGE(C75:N75)</f>
        <v>83.333333333333329</v>
      </c>
    </row>
    <row r="76" spans="1:15" s="309" customFormat="1" ht="13.5" customHeight="1" x14ac:dyDescent="0.2">
      <c r="A76" s="735" t="s">
        <v>342</v>
      </c>
      <c r="B76" s="736" t="s">
        <v>74</v>
      </c>
      <c r="C76" s="750">
        <v>0</v>
      </c>
      <c r="D76" s="750">
        <v>0</v>
      </c>
      <c r="E76" s="750">
        <v>0</v>
      </c>
      <c r="F76" s="750">
        <v>0</v>
      </c>
      <c r="G76" s="750">
        <v>0</v>
      </c>
      <c r="H76" s="750">
        <v>0</v>
      </c>
      <c r="I76" s="750">
        <v>0</v>
      </c>
      <c r="J76" s="750">
        <v>0</v>
      </c>
      <c r="K76" s="750">
        <v>0</v>
      </c>
      <c r="L76" s="743">
        <v>0</v>
      </c>
      <c r="M76" s="743">
        <v>0</v>
      </c>
      <c r="N76" s="800">
        <v>0</v>
      </c>
      <c r="O76" s="749">
        <f t="shared" si="19"/>
        <v>0</v>
      </c>
    </row>
    <row r="77" spans="1:15" s="309" customFormat="1" ht="13.5" customHeight="1" x14ac:dyDescent="0.2">
      <c r="A77" s="735" t="s">
        <v>343</v>
      </c>
      <c r="B77" s="736" t="s">
        <v>75</v>
      </c>
      <c r="C77" s="750">
        <v>0</v>
      </c>
      <c r="D77" s="750">
        <v>0</v>
      </c>
      <c r="E77" s="750">
        <v>0</v>
      </c>
      <c r="F77" s="750">
        <v>0</v>
      </c>
      <c r="G77" s="750">
        <v>0</v>
      </c>
      <c r="H77" s="750">
        <v>0</v>
      </c>
      <c r="I77" s="750">
        <v>0</v>
      </c>
      <c r="J77" s="750">
        <v>0</v>
      </c>
      <c r="K77" s="750">
        <v>0</v>
      </c>
      <c r="L77" s="743">
        <v>0</v>
      </c>
      <c r="M77" s="743">
        <v>0</v>
      </c>
      <c r="N77" s="800">
        <v>0</v>
      </c>
      <c r="O77" s="749">
        <f t="shared" si="19"/>
        <v>0</v>
      </c>
    </row>
    <row r="78" spans="1:15" s="309" customFormat="1" ht="13.5" customHeight="1" x14ac:dyDescent="0.2">
      <c r="A78" s="735" t="s">
        <v>344</v>
      </c>
      <c r="B78" s="736" t="s">
        <v>345</v>
      </c>
      <c r="C78" s="750">
        <v>0</v>
      </c>
      <c r="D78" s="750">
        <v>0</v>
      </c>
      <c r="E78" s="750">
        <v>0</v>
      </c>
      <c r="F78" s="750">
        <v>0</v>
      </c>
      <c r="G78" s="750">
        <v>0</v>
      </c>
      <c r="H78" s="750">
        <v>0</v>
      </c>
      <c r="I78" s="750">
        <v>0</v>
      </c>
      <c r="J78" s="750">
        <v>0</v>
      </c>
      <c r="K78" s="750">
        <v>0</v>
      </c>
      <c r="L78" s="743">
        <v>0</v>
      </c>
      <c r="M78" s="743">
        <v>0</v>
      </c>
      <c r="N78" s="800">
        <v>0</v>
      </c>
      <c r="O78" s="749">
        <f t="shared" si="19"/>
        <v>0</v>
      </c>
    </row>
    <row r="79" spans="1:15" s="309" customFormat="1" ht="13.5" customHeight="1" x14ac:dyDescent="0.2">
      <c r="A79" s="735" t="s">
        <v>346</v>
      </c>
      <c r="B79" s="736" t="s">
        <v>347</v>
      </c>
      <c r="C79" s="750">
        <v>0</v>
      </c>
      <c r="D79" s="750">
        <v>0</v>
      </c>
      <c r="E79" s="750">
        <v>0</v>
      </c>
      <c r="F79" s="750">
        <v>0</v>
      </c>
      <c r="G79" s="750">
        <v>0</v>
      </c>
      <c r="H79" s="750">
        <v>0</v>
      </c>
      <c r="I79" s="750">
        <v>0</v>
      </c>
      <c r="J79" s="750">
        <v>0</v>
      </c>
      <c r="K79" s="750">
        <v>0</v>
      </c>
      <c r="L79" s="743">
        <v>0</v>
      </c>
      <c r="M79" s="743">
        <v>0</v>
      </c>
      <c r="N79" s="800">
        <v>0</v>
      </c>
      <c r="O79" s="749">
        <f t="shared" si="19"/>
        <v>0</v>
      </c>
    </row>
    <row r="80" spans="1:15" s="309" customFormat="1" ht="13.5" customHeight="1" x14ac:dyDescent="0.2">
      <c r="A80" s="735" t="s">
        <v>348</v>
      </c>
      <c r="B80" s="736" t="s">
        <v>242</v>
      </c>
      <c r="C80" s="750">
        <v>0</v>
      </c>
      <c r="D80" s="750">
        <v>0</v>
      </c>
      <c r="E80" s="750">
        <v>0</v>
      </c>
      <c r="F80" s="750">
        <v>0</v>
      </c>
      <c r="G80" s="750">
        <v>0</v>
      </c>
      <c r="H80" s="750">
        <v>0</v>
      </c>
      <c r="I80" s="750">
        <v>0</v>
      </c>
      <c r="J80" s="750">
        <v>0</v>
      </c>
      <c r="K80" s="750">
        <v>0</v>
      </c>
      <c r="L80" s="743">
        <v>0</v>
      </c>
      <c r="M80" s="743">
        <v>0</v>
      </c>
      <c r="N80" s="800">
        <v>0</v>
      </c>
      <c r="O80" s="749">
        <f t="shared" si="19"/>
        <v>0</v>
      </c>
    </row>
    <row r="81" spans="1:15" s="309" customFormat="1" ht="13.5" customHeight="1" x14ac:dyDescent="0.2">
      <c r="A81" s="735" t="s">
        <v>349</v>
      </c>
      <c r="B81" s="736" t="s">
        <v>69</v>
      </c>
      <c r="C81" s="750">
        <v>927.42</v>
      </c>
      <c r="D81" s="750">
        <v>0</v>
      </c>
      <c r="E81" s="750">
        <v>429.61</v>
      </c>
      <c r="F81" s="750">
        <v>0</v>
      </c>
      <c r="G81" s="750">
        <v>1490.09</v>
      </c>
      <c r="H81" s="750">
        <v>253.47</v>
      </c>
      <c r="I81" s="750">
        <v>2797.05</v>
      </c>
      <c r="J81" s="750">
        <v>581.67999999999995</v>
      </c>
      <c r="K81" s="750">
        <v>815.54</v>
      </c>
      <c r="L81" s="743">
        <v>1000</v>
      </c>
      <c r="M81" s="743">
        <v>1000</v>
      </c>
      <c r="N81" s="800">
        <v>1000</v>
      </c>
      <c r="O81" s="749">
        <f t="shared" si="19"/>
        <v>857.90500000000009</v>
      </c>
    </row>
    <row r="82" spans="1:15" s="309" customFormat="1" ht="13.5" customHeight="1" x14ac:dyDescent="0.2">
      <c r="A82" s="735" t="s">
        <v>349</v>
      </c>
      <c r="B82" s="736" t="s">
        <v>77</v>
      </c>
      <c r="C82" s="750">
        <v>1456.134</v>
      </c>
      <c r="D82" s="750">
        <v>1642.9218000000003</v>
      </c>
      <c r="E82" s="750">
        <v>8026.8881999999976</v>
      </c>
      <c r="F82" s="750">
        <v>2236.5100000000002</v>
      </c>
      <c r="G82" s="750">
        <v>1905.1890000000001</v>
      </c>
      <c r="H82" s="750">
        <v>8221.001400000001</v>
      </c>
      <c r="I82" s="750">
        <v>3257.1648</v>
      </c>
      <c r="J82" s="750">
        <v>3113.7840000000001</v>
      </c>
      <c r="K82" s="750">
        <v>10003.4184</v>
      </c>
      <c r="L82" s="743">
        <v>2896.8048719160001</v>
      </c>
      <c r="M82" s="743">
        <v>2751.1980719160001</v>
      </c>
      <c r="N82" s="800">
        <v>9037.024871915999</v>
      </c>
      <c r="O82" s="749">
        <f t="shared" si="19"/>
        <v>4545.6699513123331</v>
      </c>
    </row>
    <row r="83" spans="1:15" s="309" customFormat="1" ht="13.5" customHeight="1" x14ac:dyDescent="0.2">
      <c r="A83" s="735" t="s">
        <v>349</v>
      </c>
      <c r="B83" s="736" t="s">
        <v>79</v>
      </c>
      <c r="C83" s="750">
        <v>5388.2399999999989</v>
      </c>
      <c r="D83" s="750">
        <v>5706.51</v>
      </c>
      <c r="E83" s="750">
        <v>6983.36</v>
      </c>
      <c r="F83" s="750">
        <v>6412.33</v>
      </c>
      <c r="G83" s="750">
        <v>6720.7074000000002</v>
      </c>
      <c r="H83" s="750">
        <v>7130.1360000000013</v>
      </c>
      <c r="I83" s="750">
        <v>6337.5683999999992</v>
      </c>
      <c r="J83" s="750">
        <v>6549.9756000000007</v>
      </c>
      <c r="K83" s="750">
        <v>6423.9785999999986</v>
      </c>
      <c r="L83" s="743">
        <v>7106.2752</v>
      </c>
      <c r="M83" s="743">
        <v>6630.2105999999994</v>
      </c>
      <c r="N83" s="800">
        <v>6494.67</v>
      </c>
      <c r="O83" s="749">
        <f t="shared" si="19"/>
        <v>6490.3301500000007</v>
      </c>
    </row>
    <row r="84" spans="1:15" s="294" customFormat="1" ht="13.5" customHeight="1" x14ac:dyDescent="0.2">
      <c r="A84" s="735" t="s">
        <v>350</v>
      </c>
      <c r="B84" s="736" t="s">
        <v>351</v>
      </c>
      <c r="C84" s="750">
        <v>0</v>
      </c>
      <c r="D84" s="750">
        <v>0</v>
      </c>
      <c r="E84" s="750">
        <v>0</v>
      </c>
      <c r="F84" s="750">
        <v>0</v>
      </c>
      <c r="G84" s="750">
        <v>0</v>
      </c>
      <c r="H84" s="750">
        <v>0</v>
      </c>
      <c r="I84" s="750">
        <v>0</v>
      </c>
      <c r="J84" s="750">
        <v>0</v>
      </c>
      <c r="K84" s="750">
        <v>0</v>
      </c>
      <c r="L84" s="743">
        <v>0</v>
      </c>
      <c r="M84" s="743">
        <v>0</v>
      </c>
      <c r="N84" s="800">
        <v>0</v>
      </c>
      <c r="O84" s="749">
        <f t="shared" si="19"/>
        <v>0</v>
      </c>
    </row>
    <row r="85" spans="1:15" s="294" customFormat="1" ht="13.5" customHeight="1" x14ac:dyDescent="0.2">
      <c r="A85" s="725" t="s">
        <v>354</v>
      </c>
      <c r="B85" s="726" t="s">
        <v>355</v>
      </c>
      <c r="C85" s="727">
        <f>C86+C88+C90+C92+C94</f>
        <v>0</v>
      </c>
      <c r="D85" s="727">
        <f t="shared" ref="D85:N85" si="20">D86+D88+D90+D92+D94</f>
        <v>0</v>
      </c>
      <c r="E85" s="727">
        <f t="shared" si="20"/>
        <v>0</v>
      </c>
      <c r="F85" s="727">
        <f t="shared" si="20"/>
        <v>0</v>
      </c>
      <c r="G85" s="727">
        <f t="shared" si="20"/>
        <v>0</v>
      </c>
      <c r="H85" s="727">
        <f t="shared" si="20"/>
        <v>0</v>
      </c>
      <c r="I85" s="727">
        <f t="shared" si="20"/>
        <v>0</v>
      </c>
      <c r="J85" s="727">
        <f t="shared" si="20"/>
        <v>0</v>
      </c>
      <c r="K85" s="727">
        <f t="shared" si="20"/>
        <v>0</v>
      </c>
      <c r="L85" s="727">
        <f t="shared" si="20"/>
        <v>0</v>
      </c>
      <c r="M85" s="727">
        <f t="shared" si="20"/>
        <v>0</v>
      </c>
      <c r="N85" s="794">
        <f t="shared" si="20"/>
        <v>0</v>
      </c>
      <c r="O85" s="729">
        <f t="shared" si="19"/>
        <v>0</v>
      </c>
    </row>
    <row r="86" spans="1:15" s="309" customFormat="1" ht="13.5" customHeight="1" x14ac:dyDescent="0.2">
      <c r="A86" s="758" t="s">
        <v>356</v>
      </c>
      <c r="B86" s="732" t="s">
        <v>357</v>
      </c>
      <c r="C86" s="733">
        <f>C87</f>
        <v>0</v>
      </c>
      <c r="D86" s="733">
        <f t="shared" ref="D86:N86" si="21">D87</f>
        <v>0</v>
      </c>
      <c r="E86" s="733">
        <f t="shared" si="21"/>
        <v>0</v>
      </c>
      <c r="F86" s="733">
        <f t="shared" si="21"/>
        <v>0</v>
      </c>
      <c r="G86" s="733">
        <f t="shared" si="21"/>
        <v>0</v>
      </c>
      <c r="H86" s="733">
        <f t="shared" si="21"/>
        <v>0</v>
      </c>
      <c r="I86" s="733">
        <f t="shared" si="21"/>
        <v>0</v>
      </c>
      <c r="J86" s="733">
        <f t="shared" si="21"/>
        <v>0</v>
      </c>
      <c r="K86" s="733">
        <f t="shared" si="21"/>
        <v>0</v>
      </c>
      <c r="L86" s="733">
        <f t="shared" si="21"/>
        <v>0</v>
      </c>
      <c r="M86" s="733">
        <f t="shared" si="21"/>
        <v>0</v>
      </c>
      <c r="N86" s="795">
        <f t="shared" si="21"/>
        <v>0</v>
      </c>
      <c r="O86" s="734">
        <f t="shared" si="19"/>
        <v>0</v>
      </c>
    </row>
    <row r="87" spans="1:15" s="309" customFormat="1" ht="13.5" customHeight="1" x14ac:dyDescent="0.2">
      <c r="A87" s="735" t="s">
        <v>358</v>
      </c>
      <c r="B87" s="736" t="s">
        <v>359</v>
      </c>
      <c r="C87" s="761">
        <v>0</v>
      </c>
      <c r="D87" s="761">
        <v>0</v>
      </c>
      <c r="E87" s="761">
        <v>0</v>
      </c>
      <c r="F87" s="761">
        <v>0</v>
      </c>
      <c r="G87" s="761">
        <v>0</v>
      </c>
      <c r="H87" s="761">
        <v>0</v>
      </c>
      <c r="I87" s="761">
        <v>0</v>
      </c>
      <c r="J87" s="761">
        <v>0</v>
      </c>
      <c r="K87" s="761">
        <v>0</v>
      </c>
      <c r="L87" s="761">
        <v>0</v>
      </c>
      <c r="M87" s="761">
        <v>0</v>
      </c>
      <c r="N87" s="803">
        <v>0</v>
      </c>
      <c r="O87" s="762">
        <f t="shared" si="19"/>
        <v>0</v>
      </c>
    </row>
    <row r="88" spans="1:15" s="309" customFormat="1" ht="13.5" customHeight="1" x14ac:dyDescent="0.2">
      <c r="A88" s="758" t="s">
        <v>360</v>
      </c>
      <c r="B88" s="732" t="s">
        <v>361</v>
      </c>
      <c r="C88" s="733">
        <f>C89</f>
        <v>0</v>
      </c>
      <c r="D88" s="733">
        <f t="shared" ref="D88:N88" si="22">D89</f>
        <v>0</v>
      </c>
      <c r="E88" s="733">
        <f t="shared" si="22"/>
        <v>0</v>
      </c>
      <c r="F88" s="733">
        <f t="shared" si="22"/>
        <v>0</v>
      </c>
      <c r="G88" s="733">
        <f t="shared" si="22"/>
        <v>0</v>
      </c>
      <c r="H88" s="733">
        <f t="shared" si="22"/>
        <v>0</v>
      </c>
      <c r="I88" s="733">
        <f t="shared" si="22"/>
        <v>0</v>
      </c>
      <c r="J88" s="733">
        <f t="shared" si="22"/>
        <v>0</v>
      </c>
      <c r="K88" s="733">
        <f t="shared" si="22"/>
        <v>0</v>
      </c>
      <c r="L88" s="733">
        <f t="shared" si="22"/>
        <v>0</v>
      </c>
      <c r="M88" s="733">
        <f t="shared" si="22"/>
        <v>0</v>
      </c>
      <c r="N88" s="795">
        <f t="shared" si="22"/>
        <v>0</v>
      </c>
      <c r="O88" s="734">
        <f t="shared" si="19"/>
        <v>0</v>
      </c>
    </row>
    <row r="89" spans="1:15" s="309" customFormat="1" ht="13.5" customHeight="1" x14ac:dyDescent="0.2">
      <c r="A89" s="735" t="s">
        <v>362</v>
      </c>
      <c r="B89" s="736" t="s">
        <v>363</v>
      </c>
      <c r="C89" s="761">
        <v>0</v>
      </c>
      <c r="D89" s="761">
        <v>0</v>
      </c>
      <c r="E89" s="761">
        <v>0</v>
      </c>
      <c r="F89" s="761">
        <v>0</v>
      </c>
      <c r="G89" s="761">
        <v>0</v>
      </c>
      <c r="H89" s="761">
        <v>0</v>
      </c>
      <c r="I89" s="761">
        <v>0</v>
      </c>
      <c r="J89" s="761">
        <v>0</v>
      </c>
      <c r="K89" s="761">
        <v>0</v>
      </c>
      <c r="L89" s="761">
        <v>0</v>
      </c>
      <c r="M89" s="761">
        <v>0</v>
      </c>
      <c r="N89" s="803">
        <v>0</v>
      </c>
      <c r="O89" s="762">
        <f t="shared" si="19"/>
        <v>0</v>
      </c>
    </row>
    <row r="90" spans="1:15" s="294" customFormat="1" ht="13.5" customHeight="1" x14ac:dyDescent="0.2">
      <c r="A90" s="758" t="s">
        <v>364</v>
      </c>
      <c r="B90" s="732" t="s">
        <v>365</v>
      </c>
      <c r="C90" s="733">
        <f>C91</f>
        <v>0</v>
      </c>
      <c r="D90" s="733">
        <f t="shared" ref="D90:N90" si="23">D91</f>
        <v>0</v>
      </c>
      <c r="E90" s="733">
        <f t="shared" si="23"/>
        <v>0</v>
      </c>
      <c r="F90" s="733">
        <f t="shared" si="23"/>
        <v>0</v>
      </c>
      <c r="G90" s="733">
        <f t="shared" si="23"/>
        <v>0</v>
      </c>
      <c r="H90" s="733">
        <f t="shared" si="23"/>
        <v>0</v>
      </c>
      <c r="I90" s="733">
        <f t="shared" si="23"/>
        <v>0</v>
      </c>
      <c r="J90" s="733">
        <f t="shared" si="23"/>
        <v>0</v>
      </c>
      <c r="K90" s="733">
        <f t="shared" si="23"/>
        <v>0</v>
      </c>
      <c r="L90" s="733">
        <f t="shared" si="23"/>
        <v>0</v>
      </c>
      <c r="M90" s="733">
        <f t="shared" si="23"/>
        <v>0</v>
      </c>
      <c r="N90" s="795">
        <f t="shared" si="23"/>
        <v>0</v>
      </c>
      <c r="O90" s="734">
        <f t="shared" si="19"/>
        <v>0</v>
      </c>
    </row>
    <row r="91" spans="1:15" s="309" customFormat="1" ht="13.5" customHeight="1" x14ac:dyDescent="0.2">
      <c r="A91" s="735" t="s">
        <v>366</v>
      </c>
      <c r="B91" s="736" t="s">
        <v>367</v>
      </c>
      <c r="C91" s="761">
        <v>0</v>
      </c>
      <c r="D91" s="761">
        <v>0</v>
      </c>
      <c r="E91" s="761">
        <v>0</v>
      </c>
      <c r="F91" s="761">
        <v>0</v>
      </c>
      <c r="G91" s="761">
        <v>0</v>
      </c>
      <c r="H91" s="761">
        <v>0</v>
      </c>
      <c r="I91" s="761">
        <v>0</v>
      </c>
      <c r="J91" s="761">
        <v>0</v>
      </c>
      <c r="K91" s="761">
        <v>0</v>
      </c>
      <c r="L91" s="761">
        <v>0</v>
      </c>
      <c r="M91" s="761">
        <v>0</v>
      </c>
      <c r="N91" s="803">
        <v>0</v>
      </c>
      <c r="O91" s="762">
        <f t="shared" si="19"/>
        <v>0</v>
      </c>
    </row>
    <row r="92" spans="1:15" s="294" customFormat="1" ht="13.5" customHeight="1" x14ac:dyDescent="0.2">
      <c r="A92" s="758" t="s">
        <v>368</v>
      </c>
      <c r="B92" s="732" t="s">
        <v>369</v>
      </c>
      <c r="C92" s="733">
        <f>C93</f>
        <v>0</v>
      </c>
      <c r="D92" s="733">
        <f t="shared" ref="D92:N92" si="24">D93</f>
        <v>0</v>
      </c>
      <c r="E92" s="733">
        <f t="shared" si="24"/>
        <v>0</v>
      </c>
      <c r="F92" s="733">
        <f t="shared" si="24"/>
        <v>0</v>
      </c>
      <c r="G92" s="733">
        <f t="shared" si="24"/>
        <v>0</v>
      </c>
      <c r="H92" s="733">
        <f t="shared" si="24"/>
        <v>0</v>
      </c>
      <c r="I92" s="733">
        <f t="shared" si="24"/>
        <v>0</v>
      </c>
      <c r="J92" s="733">
        <f t="shared" si="24"/>
        <v>0</v>
      </c>
      <c r="K92" s="733">
        <f t="shared" si="24"/>
        <v>0</v>
      </c>
      <c r="L92" s="733">
        <f t="shared" si="24"/>
        <v>0</v>
      </c>
      <c r="M92" s="733">
        <f t="shared" si="24"/>
        <v>0</v>
      </c>
      <c r="N92" s="795">
        <f t="shared" si="24"/>
        <v>0</v>
      </c>
      <c r="O92" s="734">
        <f t="shared" si="19"/>
        <v>0</v>
      </c>
    </row>
    <row r="93" spans="1:15" s="309" customFormat="1" ht="13.5" customHeight="1" x14ac:dyDescent="0.2">
      <c r="A93" s="735" t="s">
        <v>370</v>
      </c>
      <c r="B93" s="736" t="s">
        <v>371</v>
      </c>
      <c r="C93" s="761">
        <v>0</v>
      </c>
      <c r="D93" s="761">
        <v>0</v>
      </c>
      <c r="E93" s="761">
        <v>0</v>
      </c>
      <c r="F93" s="761">
        <v>0</v>
      </c>
      <c r="G93" s="761">
        <v>0</v>
      </c>
      <c r="H93" s="761">
        <v>0</v>
      </c>
      <c r="I93" s="761">
        <v>0</v>
      </c>
      <c r="J93" s="761">
        <v>0</v>
      </c>
      <c r="K93" s="761">
        <v>0</v>
      </c>
      <c r="L93" s="761">
        <v>0</v>
      </c>
      <c r="M93" s="761">
        <v>0</v>
      </c>
      <c r="N93" s="803">
        <v>0</v>
      </c>
      <c r="O93" s="762">
        <f t="shared" si="19"/>
        <v>0</v>
      </c>
    </row>
    <row r="94" spans="1:15" s="294" customFormat="1" ht="13.5" customHeight="1" x14ac:dyDescent="0.2">
      <c r="A94" s="758" t="s">
        <v>372</v>
      </c>
      <c r="B94" s="732" t="s">
        <v>373</v>
      </c>
      <c r="C94" s="733">
        <f>C95</f>
        <v>0</v>
      </c>
      <c r="D94" s="733">
        <f t="shared" ref="D94:N94" si="25">D95</f>
        <v>0</v>
      </c>
      <c r="E94" s="733">
        <f t="shared" si="25"/>
        <v>0</v>
      </c>
      <c r="F94" s="733">
        <f t="shared" si="25"/>
        <v>0</v>
      </c>
      <c r="G94" s="733">
        <f t="shared" si="25"/>
        <v>0</v>
      </c>
      <c r="H94" s="733">
        <f t="shared" si="25"/>
        <v>0</v>
      </c>
      <c r="I94" s="733">
        <f t="shared" si="25"/>
        <v>0</v>
      </c>
      <c r="J94" s="733">
        <f t="shared" si="25"/>
        <v>0</v>
      </c>
      <c r="K94" s="733">
        <f t="shared" si="25"/>
        <v>0</v>
      </c>
      <c r="L94" s="733">
        <f t="shared" si="25"/>
        <v>0</v>
      </c>
      <c r="M94" s="733">
        <f t="shared" si="25"/>
        <v>0</v>
      </c>
      <c r="N94" s="795">
        <f t="shared" si="25"/>
        <v>0</v>
      </c>
      <c r="O94" s="734">
        <f t="shared" si="19"/>
        <v>0</v>
      </c>
    </row>
    <row r="95" spans="1:15" s="294" customFormat="1" ht="13.5" customHeight="1" x14ac:dyDescent="0.2">
      <c r="A95" s="735" t="s">
        <v>374</v>
      </c>
      <c r="B95" s="736" t="s">
        <v>375</v>
      </c>
      <c r="C95" s="761">
        <v>0</v>
      </c>
      <c r="D95" s="761">
        <v>0</v>
      </c>
      <c r="E95" s="761">
        <v>0</v>
      </c>
      <c r="F95" s="761">
        <v>0</v>
      </c>
      <c r="G95" s="761">
        <v>0</v>
      </c>
      <c r="H95" s="761">
        <v>0</v>
      </c>
      <c r="I95" s="761">
        <v>0</v>
      </c>
      <c r="J95" s="761">
        <v>0</v>
      </c>
      <c r="K95" s="761">
        <v>0</v>
      </c>
      <c r="L95" s="761">
        <v>0</v>
      </c>
      <c r="M95" s="761">
        <v>0</v>
      </c>
      <c r="N95" s="803">
        <v>0</v>
      </c>
      <c r="O95" s="762">
        <f t="shared" si="19"/>
        <v>0</v>
      </c>
    </row>
    <row r="96" spans="1:15" ht="13.5" customHeight="1" thickBot="1" x14ac:dyDescent="0.3">
      <c r="A96" s="763"/>
      <c r="B96" s="720" t="s">
        <v>376</v>
      </c>
      <c r="C96" s="721">
        <f t="shared" ref="C96:N96" si="26">C10-C33</f>
        <v>-14720.973999999995</v>
      </c>
      <c r="D96" s="721">
        <f t="shared" si="26"/>
        <v>-4494.0518000000011</v>
      </c>
      <c r="E96" s="721">
        <f t="shared" si="26"/>
        <v>-941.42854482758412</v>
      </c>
      <c r="F96" s="721">
        <f t="shared" si="26"/>
        <v>-9205.4500000000007</v>
      </c>
      <c r="G96" s="721">
        <f t="shared" si="26"/>
        <v>-20269.892951724138</v>
      </c>
      <c r="H96" s="721">
        <f t="shared" si="26"/>
        <v>35611.442255172413</v>
      </c>
      <c r="I96" s="721">
        <f t="shared" si="26"/>
        <v>-2189.0732000000062</v>
      </c>
      <c r="J96" s="721">
        <f t="shared" si="26"/>
        <v>18664.060400000002</v>
      </c>
      <c r="K96" s="721">
        <f t="shared" si="26"/>
        <v>534.91300000000047</v>
      </c>
      <c r="L96" s="721">
        <f t="shared" si="26"/>
        <v>228.66787909044069</v>
      </c>
      <c r="M96" s="721">
        <f t="shared" si="26"/>
        <v>15487.295830814575</v>
      </c>
      <c r="N96" s="774">
        <f t="shared" si="26"/>
        <v>4121.0344584007835</v>
      </c>
      <c r="O96" s="764">
        <f t="shared" si="19"/>
        <v>1902.2119439105409</v>
      </c>
    </row>
    <row r="97" spans="8:15" x14ac:dyDescent="0.25">
      <c r="H97" s="286"/>
      <c r="I97" s="286"/>
      <c r="L97" s="286"/>
      <c r="M97" s="286"/>
      <c r="O97" s="285"/>
    </row>
  </sheetData>
  <mergeCells count="15">
    <mergeCell ref="O8:O9"/>
    <mergeCell ref="K8:K9"/>
    <mergeCell ref="L8:L9"/>
    <mergeCell ref="M8:M9"/>
    <mergeCell ref="B1:N2"/>
    <mergeCell ref="A8:B9"/>
    <mergeCell ref="C8:C9"/>
    <mergeCell ref="D8:D9"/>
    <mergeCell ref="E8:E9"/>
    <mergeCell ref="I8:I9"/>
    <mergeCell ref="J8:J9"/>
    <mergeCell ref="F8:F9"/>
    <mergeCell ref="G8:G9"/>
    <mergeCell ref="H8:H9"/>
    <mergeCell ref="N8:N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  <pageSetUpPr fitToPage="1"/>
  </sheetPr>
  <dimension ref="A1:V85"/>
  <sheetViews>
    <sheetView topLeftCell="A46" zoomScaleNormal="100" workbookViewId="0">
      <selection activeCell="H55" sqref="H55"/>
    </sheetView>
  </sheetViews>
  <sheetFormatPr baseColWidth="10" defaultColWidth="11.42578125" defaultRowHeight="12.75" x14ac:dyDescent="0.2"/>
  <cols>
    <col min="1" max="1" width="4.5703125" style="1" bestFit="1" customWidth="1"/>
    <col min="2" max="2" width="30.7109375" style="1" customWidth="1"/>
    <col min="3" max="3" width="10" style="1" customWidth="1"/>
    <col min="4" max="4" width="12.5703125" style="1" customWidth="1"/>
    <col min="5" max="5" width="17.140625" style="1" bestFit="1" customWidth="1"/>
    <col min="6" max="6" width="13.7109375" style="1" customWidth="1"/>
    <col min="7" max="13" width="14.140625" style="1" customWidth="1"/>
    <col min="14" max="15" width="3.7109375" style="1" customWidth="1"/>
    <col min="16" max="16" width="3" style="1" customWidth="1"/>
    <col min="17" max="17" width="3.5703125" style="1" customWidth="1"/>
    <col min="18" max="19" width="11.42578125" style="1" customWidth="1"/>
    <col min="20" max="20" width="19.28515625" style="1" customWidth="1"/>
    <col min="21" max="16384" width="11.42578125" style="1"/>
  </cols>
  <sheetData>
    <row r="1" spans="1:22" ht="12.75" customHeight="1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  <c r="L1" s="1019"/>
      <c r="M1" s="1019"/>
    </row>
    <row r="2" spans="1:22" ht="12.75" customHeight="1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  <c r="L2" s="1019"/>
      <c r="M2" s="1019"/>
    </row>
    <row r="3" spans="1:22" ht="12.75" customHeight="1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  <c r="L3" s="1020"/>
      <c r="M3" s="1020"/>
    </row>
    <row r="4" spans="1:22" ht="12.75" customHeight="1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  <c r="L4" s="1020"/>
      <c r="M4" s="1020"/>
    </row>
    <row r="5" spans="1:22" ht="12.75" customHeight="1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  <c r="L5" s="1021"/>
      <c r="M5" s="1021"/>
    </row>
    <row r="6" spans="1:22" ht="12.75" customHeight="1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L6" s="1021"/>
      <c r="M6" s="1021"/>
      <c r="S6" s="2"/>
      <c r="T6" s="2"/>
      <c r="U6" s="2"/>
      <c r="V6" s="2"/>
    </row>
    <row r="7" spans="1:22" x14ac:dyDescent="0.2">
      <c r="A7" s="3"/>
      <c r="B7" s="3"/>
      <c r="C7" s="4"/>
      <c r="D7" s="4"/>
      <c r="E7" s="4"/>
      <c r="F7" s="4"/>
      <c r="G7" s="4"/>
      <c r="S7" s="2"/>
      <c r="T7" s="2"/>
      <c r="U7" s="2"/>
      <c r="V7" s="2"/>
    </row>
    <row r="8" spans="1:22" s="5" customFormat="1" ht="23.25" x14ac:dyDescent="0.35">
      <c r="B8" s="159" t="s">
        <v>3</v>
      </c>
      <c r="C8" s="1354" t="s">
        <v>4</v>
      </c>
      <c r="D8" s="1354"/>
      <c r="E8" s="1354"/>
      <c r="F8" s="1354"/>
      <c r="G8" s="1354"/>
      <c r="H8" s="1354"/>
      <c r="I8" s="160"/>
      <c r="S8" s="7"/>
      <c r="T8" s="7" t="s">
        <v>5</v>
      </c>
      <c r="U8" s="7"/>
      <c r="V8" s="7"/>
    </row>
    <row r="9" spans="1:22" s="5" customFormat="1" ht="23.25" x14ac:dyDescent="0.35">
      <c r="B9" s="159" t="s">
        <v>6</v>
      </c>
      <c r="C9" s="1354"/>
      <c r="D9" s="1354"/>
      <c r="E9" s="1354"/>
      <c r="F9" s="1354"/>
      <c r="G9" s="1354"/>
      <c r="H9" s="1354"/>
      <c r="I9" s="160"/>
      <c r="S9" s="7"/>
      <c r="T9" s="7" t="s">
        <v>7</v>
      </c>
      <c r="U9" s="7"/>
      <c r="V9" s="7"/>
    </row>
    <row r="10" spans="1:22" s="5" customFormat="1" ht="23.25" x14ac:dyDescent="0.35">
      <c r="B10" s="159" t="s">
        <v>8</v>
      </c>
      <c r="C10" s="1355" t="s">
        <v>5</v>
      </c>
      <c r="D10" s="1355"/>
      <c r="E10" s="1355"/>
      <c r="F10" s="1355"/>
      <c r="G10" s="1355"/>
      <c r="H10" s="160"/>
      <c r="I10" s="160"/>
      <c r="M10" s="7"/>
      <c r="N10" s="7"/>
      <c r="O10" s="7"/>
      <c r="P10" s="7"/>
      <c r="Q10" s="7"/>
      <c r="R10" s="7"/>
      <c r="S10" s="7"/>
      <c r="T10" s="7" t="s">
        <v>9</v>
      </c>
      <c r="U10" s="7"/>
      <c r="V10" s="7"/>
    </row>
    <row r="11" spans="1:22" s="5" customFormat="1" ht="23.25" x14ac:dyDescent="0.35">
      <c r="B11" s="159" t="s">
        <v>10</v>
      </c>
      <c r="C11" s="161" t="s">
        <v>11</v>
      </c>
      <c r="D11" s="162"/>
      <c r="E11" s="162"/>
      <c r="F11" s="163" t="s">
        <v>12</v>
      </c>
      <c r="G11" s="162"/>
      <c r="H11" s="160"/>
      <c r="I11" s="160"/>
      <c r="M11" s="11"/>
      <c r="N11" s="7"/>
      <c r="O11" s="7"/>
      <c r="P11" s="7"/>
      <c r="Q11" s="7"/>
      <c r="R11" s="7"/>
      <c r="S11" s="7"/>
      <c r="T11" s="7"/>
      <c r="U11" s="7"/>
      <c r="V11" s="7"/>
    </row>
    <row r="12" spans="1:22" s="5" customFormat="1" ht="24" thickBot="1" x14ac:dyDescent="0.4">
      <c r="E12" s="167"/>
      <c r="M12" s="11"/>
      <c r="N12" s="7"/>
      <c r="O12" s="7"/>
      <c r="P12" s="7"/>
      <c r="Q12" s="7"/>
      <c r="R12" s="7"/>
      <c r="S12" s="7"/>
      <c r="T12" s="7"/>
      <c r="U12" s="7"/>
      <c r="V12" s="7"/>
    </row>
    <row r="13" spans="1:22" ht="18" x14ac:dyDescent="0.25">
      <c r="A13" s="12" t="s">
        <v>15</v>
      </c>
      <c r="B13" s="1356" t="s">
        <v>16</v>
      </c>
      <c r="C13" s="1357"/>
      <c r="D13" s="13" t="s">
        <v>17</v>
      </c>
      <c r="E13" s="168"/>
      <c r="M13" s="11"/>
      <c r="N13" s="2"/>
      <c r="O13" s="2"/>
      <c r="P13" s="2"/>
      <c r="Q13" s="2"/>
      <c r="R13" s="2"/>
      <c r="S13" s="2"/>
      <c r="T13" s="2" t="s">
        <v>19</v>
      </c>
      <c r="U13" s="2"/>
      <c r="V13" s="2"/>
    </row>
    <row r="14" spans="1:22" x14ac:dyDescent="0.2">
      <c r="B14" s="1358" t="s">
        <v>20</v>
      </c>
      <c r="C14" s="1359"/>
      <c r="D14" s="14">
        <v>20</v>
      </c>
      <c r="E14" s="127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">
      <c r="B15" s="1358" t="s">
        <v>21</v>
      </c>
      <c r="C15" s="1359"/>
      <c r="D15" s="14">
        <v>5</v>
      </c>
      <c r="E15" s="127"/>
      <c r="M15" s="2"/>
      <c r="N15" s="2"/>
      <c r="O15" s="2"/>
      <c r="P15" s="2"/>
      <c r="Q15" s="2"/>
      <c r="R15" s="2"/>
      <c r="S15" s="2"/>
      <c r="T15" s="2" t="s">
        <v>22</v>
      </c>
      <c r="U15" s="2"/>
      <c r="V15" s="2"/>
    </row>
    <row r="16" spans="1:22" x14ac:dyDescent="0.2">
      <c r="B16" s="1360" t="s">
        <v>23</v>
      </c>
      <c r="C16" s="1361"/>
      <c r="D16" s="14">
        <v>1</v>
      </c>
      <c r="E16" s="127"/>
      <c r="G16" s="15"/>
      <c r="H16" s="15"/>
      <c r="S16" s="2"/>
      <c r="T16" s="16" t="s">
        <v>24</v>
      </c>
      <c r="U16" s="17"/>
      <c r="V16" s="2"/>
    </row>
    <row r="17" spans="1:22" x14ac:dyDescent="0.2">
      <c r="B17" s="1360" t="s">
        <v>25</v>
      </c>
      <c r="C17" s="1361"/>
      <c r="D17" s="18">
        <v>1</v>
      </c>
      <c r="E17" s="29"/>
      <c r="J17" s="165" t="s">
        <v>26</v>
      </c>
      <c r="K17" s="165"/>
      <c r="L17" s="165" t="s">
        <v>27</v>
      </c>
      <c r="M17" s="165" t="s">
        <v>53</v>
      </c>
      <c r="S17" s="2"/>
      <c r="T17" s="16" t="s">
        <v>28</v>
      </c>
      <c r="U17" s="17"/>
      <c r="V17" s="2"/>
    </row>
    <row r="18" spans="1:22" x14ac:dyDescent="0.2">
      <c r="B18" s="19"/>
      <c r="C18" s="20"/>
      <c r="D18" s="21"/>
      <c r="E18" s="29"/>
      <c r="G18" s="166" t="s">
        <v>29</v>
      </c>
      <c r="H18" s="1362" t="s">
        <v>30</v>
      </c>
      <c r="I18" s="1363"/>
      <c r="J18" s="164"/>
      <c r="K18" s="164"/>
      <c r="L18" s="164"/>
      <c r="M18" s="164">
        <v>1</v>
      </c>
      <c r="S18" s="2"/>
      <c r="T18" s="16"/>
      <c r="U18" s="17"/>
      <c r="V18" s="2"/>
    </row>
    <row r="19" spans="1:22" ht="13.5" thickBot="1" x14ac:dyDescent="0.25">
      <c r="B19" s="1349" t="s">
        <v>31</v>
      </c>
      <c r="C19" s="1350"/>
      <c r="D19" s="23">
        <v>6.96</v>
      </c>
      <c r="E19" s="169"/>
      <c r="G19" s="1351" t="s">
        <v>5</v>
      </c>
      <c r="H19" s="1352" t="s">
        <v>32</v>
      </c>
      <c r="I19" s="1353"/>
      <c r="J19" s="22">
        <f>3*12</f>
        <v>36</v>
      </c>
      <c r="K19" s="22"/>
      <c r="L19" s="24">
        <f>+J19/12</f>
        <v>3</v>
      </c>
      <c r="M19" s="26">
        <v>2</v>
      </c>
      <c r="S19" s="2"/>
      <c r="T19" s="16" t="s">
        <v>33</v>
      </c>
      <c r="U19" s="17"/>
      <c r="V19" s="2"/>
    </row>
    <row r="20" spans="1:22" x14ac:dyDescent="0.2">
      <c r="B20" s="170"/>
      <c r="C20" s="170"/>
      <c r="D20" s="169"/>
      <c r="E20" s="169"/>
      <c r="G20" s="1351"/>
      <c r="H20" s="1352" t="s">
        <v>34</v>
      </c>
      <c r="I20" s="1353"/>
      <c r="J20" s="25">
        <f>(2+2+2+6+4+1+2)*3</f>
        <v>57</v>
      </c>
      <c r="K20" s="25"/>
      <c r="L20" s="24">
        <f>+J20/12</f>
        <v>4.75</v>
      </c>
      <c r="M20" s="26">
        <v>1</v>
      </c>
      <c r="S20" s="2"/>
      <c r="T20" s="16"/>
      <c r="U20" s="17"/>
      <c r="V20" s="2"/>
    </row>
    <row r="21" spans="1:22" s="30" customFormat="1" x14ac:dyDescent="0.2">
      <c r="A21" s="27"/>
      <c r="B21" s="28"/>
      <c r="C21" s="29"/>
      <c r="G21" s="31"/>
      <c r="I21" s="31"/>
      <c r="J21" s="32">
        <f t="shared" ref="J21:L21" si="0">SUM(J18:J20)</f>
        <v>93</v>
      </c>
      <c r="K21" s="32"/>
      <c r="L21" s="32">
        <f t="shared" si="0"/>
        <v>7.75</v>
      </c>
      <c r="M21" s="279">
        <f>SUM(M18:M20)</f>
        <v>4</v>
      </c>
      <c r="S21" s="33"/>
      <c r="T21" s="33"/>
      <c r="U21" s="33"/>
      <c r="V21" s="33"/>
    </row>
    <row r="22" spans="1:22" ht="15" customHeight="1" x14ac:dyDescent="0.2">
      <c r="A22" s="273" t="s">
        <v>35</v>
      </c>
      <c r="B22" s="1024" t="s">
        <v>36</v>
      </c>
      <c r="C22" s="1024"/>
      <c r="D22" s="1024"/>
      <c r="E22" s="1024"/>
      <c r="F22" s="1024"/>
      <c r="G22" s="1024"/>
      <c r="H22" s="1024"/>
      <c r="I22" s="1024"/>
      <c r="J22" s="1024"/>
      <c r="K22" s="1024"/>
      <c r="L22" s="1024"/>
      <c r="M22" s="1024"/>
      <c r="S22" s="2"/>
      <c r="T22" s="2"/>
      <c r="U22" s="2"/>
      <c r="V22" s="2"/>
    </row>
    <row r="23" spans="1:22" x14ac:dyDescent="0.2">
      <c r="B23" s="15"/>
      <c r="S23" s="2"/>
      <c r="T23" s="2"/>
      <c r="U23" s="2"/>
      <c r="V23" s="2"/>
    </row>
    <row r="24" spans="1:22" ht="15" customHeight="1" x14ac:dyDescent="0.2">
      <c r="A24" s="273" t="s">
        <v>37</v>
      </c>
      <c r="B24" s="1024" t="s">
        <v>38</v>
      </c>
      <c r="C24" s="1024"/>
      <c r="D24" s="1024"/>
      <c r="E24" s="1024"/>
      <c r="F24" s="1024"/>
      <c r="G24" s="1024"/>
      <c r="H24" s="1024"/>
      <c r="I24" s="273"/>
      <c r="J24" s="273"/>
      <c r="K24" s="273"/>
      <c r="L24" s="1024" t="s">
        <v>39</v>
      </c>
      <c r="M24" s="1024"/>
      <c r="S24" s="2"/>
      <c r="T24" s="2"/>
      <c r="U24" s="2"/>
      <c r="V24" s="2"/>
    </row>
    <row r="25" spans="1:22" ht="15" thickBot="1" x14ac:dyDescent="0.25">
      <c r="B25" s="15"/>
      <c r="H25" s="36"/>
      <c r="L25" s="37"/>
      <c r="S25" s="2"/>
      <c r="T25" s="2"/>
      <c r="U25" s="2"/>
      <c r="V25" s="2"/>
    </row>
    <row r="26" spans="1:22" s="38" customFormat="1" ht="27" customHeight="1" x14ac:dyDescent="0.2">
      <c r="B26" s="1032" t="s">
        <v>40</v>
      </c>
      <c r="C26" s="1172"/>
      <c r="D26" s="1032" t="s">
        <v>41</v>
      </c>
      <c r="E26" s="1174" t="s">
        <v>42</v>
      </c>
      <c r="F26" s="1033" t="s">
        <v>43</v>
      </c>
      <c r="G26" s="39" t="s">
        <v>44</v>
      </c>
      <c r="H26" s="40" t="s">
        <v>45</v>
      </c>
      <c r="I26" s="1038" t="s">
        <v>46</v>
      </c>
      <c r="J26" s="1039"/>
      <c r="K26" s="278"/>
      <c r="L26" s="1040" t="s">
        <v>47</v>
      </c>
      <c r="M26" s="1041"/>
      <c r="S26" s="41"/>
      <c r="T26" s="41"/>
      <c r="U26" s="41"/>
      <c r="V26" s="41"/>
    </row>
    <row r="27" spans="1:22" x14ac:dyDescent="0.2">
      <c r="B27" s="1034"/>
      <c r="C27" s="1173"/>
      <c r="D27" s="1034"/>
      <c r="E27" s="1175"/>
      <c r="F27" s="1035"/>
      <c r="G27" s="274" t="s">
        <v>48</v>
      </c>
      <c r="H27" s="275" t="s">
        <v>48</v>
      </c>
      <c r="I27" s="274" t="s">
        <v>49</v>
      </c>
      <c r="J27" s="275" t="s">
        <v>48</v>
      </c>
      <c r="K27" s="43"/>
      <c r="L27" s="274" t="s">
        <v>49</v>
      </c>
      <c r="M27" s="276" t="s">
        <v>48</v>
      </c>
    </row>
    <row r="28" spans="1:22" ht="13.5" thickBot="1" x14ac:dyDescent="0.25">
      <c r="B28" s="1025" t="s">
        <v>50</v>
      </c>
      <c r="C28" s="1176"/>
      <c r="D28" s="45"/>
      <c r="E28" s="46"/>
      <c r="F28" s="47"/>
      <c r="G28" s="45"/>
      <c r="H28" s="48"/>
      <c r="I28" s="49"/>
      <c r="J28" s="46"/>
      <c r="K28" s="46"/>
      <c r="L28" s="45"/>
      <c r="M28" s="47"/>
    </row>
    <row r="29" spans="1:22" s="31" customFormat="1" ht="18" customHeight="1" thickBot="1" x14ac:dyDescent="0.25">
      <c r="B29" s="1365" t="s">
        <v>51</v>
      </c>
      <c r="C29" s="1366"/>
      <c r="D29" s="50"/>
      <c r="E29" s="51" t="e">
        <f>SUM(E30:E31)</f>
        <v>#REF!</v>
      </c>
      <c r="F29" s="52"/>
      <c r="G29" s="50"/>
      <c r="H29" s="53" t="e">
        <f>SUM(H30:H31)</f>
        <v>#REF!</v>
      </c>
      <c r="I29" s="50"/>
      <c r="J29" s="53" t="e">
        <f>SUM(J30:J31)</f>
        <v>#REF!</v>
      </c>
      <c r="K29" s="54"/>
      <c r="L29" s="50"/>
      <c r="M29" s="52" t="e">
        <f>SUM(M30:M31)</f>
        <v>#REF!</v>
      </c>
    </row>
    <row r="30" spans="1:22" x14ac:dyDescent="0.2">
      <c r="B30" s="1029" t="s">
        <v>52</v>
      </c>
      <c r="C30" s="1367"/>
      <c r="D30" s="55">
        <v>1</v>
      </c>
      <c r="E30" s="56" t="e">
        <f>+#REF!</f>
        <v>#REF!</v>
      </c>
      <c r="F30" s="57" t="s">
        <v>53</v>
      </c>
      <c r="G30" s="55" t="e">
        <f>+(E30/4)/$M$21</f>
        <v>#REF!</v>
      </c>
      <c r="H30" s="58" t="e">
        <f>+G30*D30</f>
        <v>#REF!</v>
      </c>
      <c r="I30" s="59" t="s">
        <v>54</v>
      </c>
      <c r="J30" s="60" t="e">
        <f>IF($I30="S",$H30,0)</f>
        <v>#REF!</v>
      </c>
      <c r="K30" s="61" t="e">
        <f>+J30/$J$51</f>
        <v>#REF!</v>
      </c>
      <c r="L30" s="59" t="s">
        <v>54</v>
      </c>
      <c r="M30" s="62" t="e">
        <f>IF($L30="S",$H30,0)</f>
        <v>#REF!</v>
      </c>
    </row>
    <row r="31" spans="1:22" ht="13.5" thickBot="1" x14ac:dyDescent="0.25">
      <c r="B31" s="1042" t="s">
        <v>55</v>
      </c>
      <c r="C31" s="1368"/>
      <c r="D31" s="63">
        <v>20</v>
      </c>
      <c r="E31" s="64">
        <v>2535</v>
      </c>
      <c r="F31" s="65" t="s">
        <v>56</v>
      </c>
      <c r="G31" s="66">
        <f>+(E31/20)</f>
        <v>126.75</v>
      </c>
      <c r="H31" s="67">
        <f>+G31*D31</f>
        <v>2535</v>
      </c>
      <c r="I31" s="68" t="s">
        <v>54</v>
      </c>
      <c r="J31" s="69">
        <f>IF($I31="S",$H31,0)</f>
        <v>2535</v>
      </c>
      <c r="K31" s="61" t="e">
        <f>+J31/$J$51</f>
        <v>#REF!</v>
      </c>
      <c r="L31" s="68" t="s">
        <v>57</v>
      </c>
      <c r="M31" s="70">
        <f>IF($L31="S",$H31,0)</f>
        <v>0</v>
      </c>
    </row>
    <row r="32" spans="1:22" s="31" customFormat="1" ht="18" customHeight="1" thickBot="1" x14ac:dyDescent="0.25">
      <c r="B32" s="1365" t="s">
        <v>58</v>
      </c>
      <c r="C32" s="1366"/>
      <c r="D32" s="50"/>
      <c r="E32" s="51" t="e">
        <f>SUM(E33:E47)</f>
        <v>#REF!</v>
      </c>
      <c r="F32" s="52"/>
      <c r="G32" s="50"/>
      <c r="H32" s="53" t="e">
        <f>SUM(H33:H47)</f>
        <v>#REF!</v>
      </c>
      <c r="I32" s="50"/>
      <c r="J32" s="53" t="e">
        <f>SUM(J33:J47)</f>
        <v>#REF!</v>
      </c>
      <c r="K32" s="71"/>
      <c r="L32" s="50"/>
      <c r="M32" s="52" t="e">
        <f>SUM(M33:M47)</f>
        <v>#REF!</v>
      </c>
    </row>
    <row r="33" spans="1:13" x14ac:dyDescent="0.2">
      <c r="B33" s="1017" t="s">
        <v>59</v>
      </c>
      <c r="C33" s="1364"/>
      <c r="D33" s="55">
        <v>1</v>
      </c>
      <c r="E33" s="56" t="e">
        <f>+#REF!</f>
        <v>#REF!</v>
      </c>
      <c r="F33" s="57" t="s">
        <v>53</v>
      </c>
      <c r="G33" s="55" t="e">
        <f>+E33/4/$M$21</f>
        <v>#REF!</v>
      </c>
      <c r="H33" s="58" t="e">
        <f>D33*G33</f>
        <v>#REF!</v>
      </c>
      <c r="I33" s="59" t="s">
        <v>54</v>
      </c>
      <c r="J33" s="60" t="e">
        <f t="shared" ref="J33:J47" si="1">IF($I33="S",$H33,0)</f>
        <v>#REF!</v>
      </c>
      <c r="K33" s="61" t="e">
        <f>+J33/$J$51</f>
        <v>#REF!</v>
      </c>
      <c r="L33" s="59" t="s">
        <v>60</v>
      </c>
      <c r="M33" s="62" t="e">
        <f t="shared" ref="M33:M41" si="2">IF($L33="S",$H33,0)</f>
        <v>#REF!</v>
      </c>
    </row>
    <row r="34" spans="1:13" x14ac:dyDescent="0.2">
      <c r="B34" s="986" t="s">
        <v>61</v>
      </c>
      <c r="C34" s="1369"/>
      <c r="D34" s="72">
        <v>20</v>
      </c>
      <c r="E34" s="56" t="e">
        <f>+#REF!</f>
        <v>#REF!</v>
      </c>
      <c r="F34" s="74" t="s">
        <v>56</v>
      </c>
      <c r="G34" s="72" t="e">
        <f>+E34</f>
        <v>#REF!</v>
      </c>
      <c r="H34" s="75" t="e">
        <f>+G34*D34</f>
        <v>#REF!</v>
      </c>
      <c r="I34" s="76" t="s">
        <v>57</v>
      </c>
      <c r="J34" s="77">
        <f t="shared" si="1"/>
        <v>0</v>
      </c>
      <c r="K34" s="61" t="e">
        <f>+J34/$J$51</f>
        <v>#REF!</v>
      </c>
      <c r="L34" s="78" t="s">
        <v>54</v>
      </c>
      <c r="M34" s="79" t="e">
        <f t="shared" si="2"/>
        <v>#REF!</v>
      </c>
    </row>
    <row r="35" spans="1:13" x14ac:dyDescent="0.2">
      <c r="B35" s="986" t="s">
        <v>62</v>
      </c>
      <c r="C35" s="1369"/>
      <c r="D35" s="72">
        <v>1</v>
      </c>
      <c r="E35" s="56" t="e">
        <f>+#REF!</f>
        <v>#REF!</v>
      </c>
      <c r="F35" s="74" t="s">
        <v>53</v>
      </c>
      <c r="G35" s="72" t="e">
        <f>+E35/4/$M$21</f>
        <v>#REF!</v>
      </c>
      <c r="H35" s="80" t="e">
        <f t="shared" ref="H35:H47" si="3">D35*G35</f>
        <v>#REF!</v>
      </c>
      <c r="I35" s="78" t="s">
        <v>54</v>
      </c>
      <c r="J35" s="81" t="e">
        <f t="shared" si="1"/>
        <v>#REF!</v>
      </c>
      <c r="K35" s="61" t="e">
        <f>+J35/$J$51</f>
        <v>#REF!</v>
      </c>
      <c r="L35" s="78" t="s">
        <v>60</v>
      </c>
      <c r="M35" s="82" t="e">
        <f t="shared" si="2"/>
        <v>#REF!</v>
      </c>
    </row>
    <row r="36" spans="1:13" x14ac:dyDescent="0.2">
      <c r="B36" s="986" t="s">
        <v>63</v>
      </c>
      <c r="C36" s="1369"/>
      <c r="D36" s="72">
        <v>1</v>
      </c>
      <c r="E36" s="56" t="e">
        <f>+#REF!</f>
        <v>#REF!</v>
      </c>
      <c r="F36" s="74" t="s">
        <v>53</v>
      </c>
      <c r="G36" s="72" t="e">
        <f>+E36/4/$M$21</f>
        <v>#REF!</v>
      </c>
      <c r="H36" s="80" t="e">
        <f t="shared" si="3"/>
        <v>#REF!</v>
      </c>
      <c r="I36" s="78" t="s">
        <v>54</v>
      </c>
      <c r="J36" s="81" t="e">
        <f t="shared" si="1"/>
        <v>#REF!</v>
      </c>
      <c r="K36" s="61" t="e">
        <f>+J36/$J$51</f>
        <v>#REF!</v>
      </c>
      <c r="L36" s="78" t="s">
        <v>60</v>
      </c>
      <c r="M36" s="82" t="e">
        <f t="shared" si="2"/>
        <v>#REF!</v>
      </c>
    </row>
    <row r="37" spans="1:13" x14ac:dyDescent="0.2">
      <c r="B37" s="986" t="s">
        <v>64</v>
      </c>
      <c r="C37" s="1369"/>
      <c r="D37" s="72">
        <v>1</v>
      </c>
      <c r="E37" s="56" t="e">
        <f>+#REF!</f>
        <v>#REF!</v>
      </c>
      <c r="F37" s="74" t="s">
        <v>53</v>
      </c>
      <c r="G37" s="72" t="e">
        <f>+E37/4/$M$21</f>
        <v>#REF!</v>
      </c>
      <c r="H37" s="80" t="e">
        <f t="shared" si="3"/>
        <v>#REF!</v>
      </c>
      <c r="I37" s="78" t="s">
        <v>54</v>
      </c>
      <c r="J37" s="81" t="e">
        <f t="shared" si="1"/>
        <v>#REF!</v>
      </c>
      <c r="K37" s="61" t="e">
        <f>+J37/$J$51</f>
        <v>#REF!</v>
      </c>
      <c r="L37" s="78" t="s">
        <v>60</v>
      </c>
      <c r="M37" s="82" t="e">
        <f t="shared" si="2"/>
        <v>#REF!</v>
      </c>
    </row>
    <row r="38" spans="1:13" ht="31.5" customHeight="1" x14ac:dyDescent="0.2">
      <c r="B38" s="1370" t="s">
        <v>313</v>
      </c>
      <c r="C38" s="1371"/>
      <c r="D38" s="72"/>
      <c r="E38" s="56"/>
      <c r="F38" s="74"/>
      <c r="G38" s="72"/>
      <c r="H38" s="80"/>
      <c r="I38" s="78"/>
      <c r="J38" s="81"/>
      <c r="K38" s="61"/>
      <c r="L38" s="78"/>
      <c r="M38" s="82"/>
    </row>
    <row r="39" spans="1:13" x14ac:dyDescent="0.2">
      <c r="B39" s="1054" t="s">
        <v>65</v>
      </c>
      <c r="C39" s="1372"/>
      <c r="D39" s="72">
        <v>1</v>
      </c>
      <c r="E39" s="73">
        <v>1500</v>
      </c>
      <c r="F39" s="74" t="s">
        <v>53</v>
      </c>
      <c r="G39" s="72">
        <f>+E39/4/$M$21</f>
        <v>93.75</v>
      </c>
      <c r="H39" s="80">
        <f t="shared" si="3"/>
        <v>93.75</v>
      </c>
      <c r="I39" s="78" t="s">
        <v>66</v>
      </c>
      <c r="J39" s="81">
        <f t="shared" si="1"/>
        <v>0</v>
      </c>
      <c r="K39" s="61" t="e">
        <f t="shared" ref="K39:K47" si="4">+J39/$J$51</f>
        <v>#REF!</v>
      </c>
      <c r="L39" s="78" t="s">
        <v>60</v>
      </c>
      <c r="M39" s="82">
        <f t="shared" si="2"/>
        <v>93.75</v>
      </c>
    </row>
    <row r="40" spans="1:13" x14ac:dyDescent="0.2">
      <c r="B40" s="1006" t="s">
        <v>67</v>
      </c>
      <c r="C40" s="1373"/>
      <c r="D40" s="72">
        <v>1</v>
      </c>
      <c r="E40" s="73">
        <f>+'[7]SEC -RLP  (3)'!P66</f>
        <v>1399.6383333333333</v>
      </c>
      <c r="F40" s="74" t="s">
        <v>53</v>
      </c>
      <c r="G40" s="72">
        <f>+E40/4/$M$21</f>
        <v>87.477395833333333</v>
      </c>
      <c r="H40" s="80">
        <f t="shared" si="3"/>
        <v>87.477395833333333</v>
      </c>
      <c r="I40" s="78" t="s">
        <v>66</v>
      </c>
      <c r="J40" s="81">
        <f t="shared" si="1"/>
        <v>0</v>
      </c>
      <c r="K40" s="61" t="e">
        <f t="shared" si="4"/>
        <v>#REF!</v>
      </c>
      <c r="L40" s="78" t="s">
        <v>54</v>
      </c>
      <c r="M40" s="82">
        <f t="shared" si="2"/>
        <v>87.477395833333333</v>
      </c>
    </row>
    <row r="41" spans="1:13" x14ac:dyDescent="0.2">
      <c r="B41" s="1374" t="s">
        <v>68</v>
      </c>
      <c r="C41" s="1375"/>
      <c r="D41" s="72">
        <v>1</v>
      </c>
      <c r="E41" s="73">
        <f>50*6.96</f>
        <v>348</v>
      </c>
      <c r="F41" s="74" t="s">
        <v>53</v>
      </c>
      <c r="G41" s="72">
        <f>+E41</f>
        <v>348</v>
      </c>
      <c r="H41" s="80">
        <f t="shared" si="3"/>
        <v>348</v>
      </c>
      <c r="I41" s="78" t="s">
        <v>66</v>
      </c>
      <c r="J41" s="81">
        <f t="shared" si="1"/>
        <v>0</v>
      </c>
      <c r="K41" s="61" t="e">
        <f t="shared" si="4"/>
        <v>#REF!</v>
      </c>
      <c r="L41" s="78" t="s">
        <v>60</v>
      </c>
      <c r="M41" s="82">
        <f t="shared" si="2"/>
        <v>348</v>
      </c>
    </row>
    <row r="42" spans="1:13" x14ac:dyDescent="0.2">
      <c r="B42" s="1376" t="s">
        <v>69</v>
      </c>
      <c r="C42" s="1377"/>
      <c r="D42" s="72">
        <v>1</v>
      </c>
      <c r="E42" s="84">
        <f>+'[7]SEC -RLP  (3)'!P81</f>
        <v>873.5625</v>
      </c>
      <c r="F42" s="74" t="s">
        <v>53</v>
      </c>
      <c r="G42" s="72">
        <f t="shared" ref="G42:G47" si="5">+E42/4/$M$21</f>
        <v>54.59765625</v>
      </c>
      <c r="H42" s="80">
        <f t="shared" si="3"/>
        <v>54.59765625</v>
      </c>
      <c r="I42" s="78" t="s">
        <v>54</v>
      </c>
      <c r="J42" s="81">
        <f t="shared" si="1"/>
        <v>54.59765625</v>
      </c>
      <c r="K42" s="61" t="e">
        <f t="shared" si="4"/>
        <v>#REF!</v>
      </c>
      <c r="L42" s="78" t="s">
        <v>60</v>
      </c>
      <c r="M42" s="85" t="e">
        <f>+$H$48*D42</f>
        <v>#REF!</v>
      </c>
    </row>
    <row r="43" spans="1:13" x14ac:dyDescent="0.2">
      <c r="B43" s="986" t="s">
        <v>70</v>
      </c>
      <c r="C43" s="1369"/>
      <c r="D43" s="72">
        <v>1</v>
      </c>
      <c r="E43" s="73">
        <f>+'[7]SEC -RLP  (3)'!P69</f>
        <v>1203.2166666666667</v>
      </c>
      <c r="F43" s="74" t="s">
        <v>53</v>
      </c>
      <c r="G43" s="72">
        <f t="shared" si="5"/>
        <v>75.201041666666669</v>
      </c>
      <c r="H43" s="80">
        <f t="shared" si="3"/>
        <v>75.201041666666669</v>
      </c>
      <c r="I43" s="78" t="s">
        <v>54</v>
      </c>
      <c r="J43" s="81">
        <f t="shared" si="1"/>
        <v>75.201041666666669</v>
      </c>
      <c r="K43" s="61" t="e">
        <f t="shared" si="4"/>
        <v>#REF!</v>
      </c>
      <c r="L43" s="78" t="s">
        <v>60</v>
      </c>
      <c r="M43" s="82">
        <f>IF($L43="S",$H43,0)</f>
        <v>75.201041666666669</v>
      </c>
    </row>
    <row r="44" spans="1:13" x14ac:dyDescent="0.2">
      <c r="A44" s="37"/>
      <c r="B44" s="986" t="s">
        <v>71</v>
      </c>
      <c r="C44" s="1369"/>
      <c r="D44" s="72">
        <v>1</v>
      </c>
      <c r="E44" s="73">
        <f>+'[7]SEC -RLP  (3)'!P70</f>
        <v>1580.7441666666666</v>
      </c>
      <c r="F44" s="74" t="s">
        <v>53</v>
      </c>
      <c r="G44" s="72">
        <f t="shared" si="5"/>
        <v>98.796510416666663</v>
      </c>
      <c r="H44" s="80">
        <f t="shared" si="3"/>
        <v>98.796510416666663</v>
      </c>
      <c r="I44" s="78" t="s">
        <v>54</v>
      </c>
      <c r="J44" s="81">
        <f t="shared" si="1"/>
        <v>98.796510416666663</v>
      </c>
      <c r="K44" s="61" t="e">
        <f t="shared" si="4"/>
        <v>#REF!</v>
      </c>
      <c r="L44" s="78" t="s">
        <v>60</v>
      </c>
      <c r="M44" s="86" t="s">
        <v>72</v>
      </c>
    </row>
    <row r="45" spans="1:13" x14ac:dyDescent="0.2">
      <c r="B45" s="986" t="s">
        <v>73</v>
      </c>
      <c r="C45" s="1369"/>
      <c r="D45" s="72">
        <v>1</v>
      </c>
      <c r="E45" s="73">
        <f>+'[7]SEC -RLP  (3)'!P72</f>
        <v>479.16666666666669</v>
      </c>
      <c r="F45" s="74" t="s">
        <v>53</v>
      </c>
      <c r="G45" s="72">
        <f t="shared" si="5"/>
        <v>29.947916666666668</v>
      </c>
      <c r="H45" s="80">
        <f t="shared" si="3"/>
        <v>29.947916666666668</v>
      </c>
      <c r="I45" s="78" t="s">
        <v>54</v>
      </c>
      <c r="J45" s="81">
        <f t="shared" si="1"/>
        <v>29.947916666666668</v>
      </c>
      <c r="K45" s="61" t="e">
        <f t="shared" si="4"/>
        <v>#REF!</v>
      </c>
      <c r="L45" s="78" t="s">
        <v>60</v>
      </c>
      <c r="M45" s="82">
        <f>IF($L45="S",$H45,0)</f>
        <v>29.947916666666668</v>
      </c>
    </row>
    <row r="46" spans="1:13" x14ac:dyDescent="0.2">
      <c r="B46" s="1378" t="s">
        <v>74</v>
      </c>
      <c r="C46" s="1379"/>
      <c r="D46" s="72">
        <v>1</v>
      </c>
      <c r="E46" s="73">
        <f>+'[7]SEC -RLP  (3)'!P76</f>
        <v>833.33333333333337</v>
      </c>
      <c r="F46" s="74" t="s">
        <v>53</v>
      </c>
      <c r="G46" s="72">
        <f t="shared" si="5"/>
        <v>52.083333333333336</v>
      </c>
      <c r="H46" s="80">
        <f t="shared" si="3"/>
        <v>52.083333333333336</v>
      </c>
      <c r="I46" s="78" t="s">
        <v>54</v>
      </c>
      <c r="J46" s="81">
        <f t="shared" si="1"/>
        <v>52.083333333333336</v>
      </c>
      <c r="K46" s="61" t="e">
        <f t="shared" si="4"/>
        <v>#REF!</v>
      </c>
      <c r="L46" s="78" t="s">
        <v>60</v>
      </c>
      <c r="M46" s="82">
        <f>IF($L46="S",$H46,0)</f>
        <v>52.083333333333336</v>
      </c>
    </row>
    <row r="47" spans="1:13" ht="13.5" thickBot="1" x14ac:dyDescent="0.25">
      <c r="B47" s="986" t="s">
        <v>75</v>
      </c>
      <c r="C47" s="1369"/>
      <c r="D47" s="72">
        <v>1</v>
      </c>
      <c r="E47" s="73">
        <f>+'[7]SEC -RLP  (3)'!P77</f>
        <v>3636.2549999999997</v>
      </c>
      <c r="F47" s="74" t="s">
        <v>53</v>
      </c>
      <c r="G47" s="72">
        <f t="shared" si="5"/>
        <v>227.26593749999998</v>
      </c>
      <c r="H47" s="80">
        <f t="shared" si="3"/>
        <v>227.26593749999998</v>
      </c>
      <c r="I47" s="78" t="s">
        <v>54</v>
      </c>
      <c r="J47" s="81">
        <f t="shared" si="1"/>
        <v>227.26593749999998</v>
      </c>
      <c r="K47" s="61" t="e">
        <f t="shared" si="4"/>
        <v>#REF!</v>
      </c>
      <c r="L47" s="78" t="s">
        <v>60</v>
      </c>
      <c r="M47" s="82">
        <f>IF($L47="S",$H47,0)</f>
        <v>227.26593749999998</v>
      </c>
    </row>
    <row r="48" spans="1:13" ht="13.5" thickBot="1" x14ac:dyDescent="0.25">
      <c r="B48" s="1004" t="s">
        <v>76</v>
      </c>
      <c r="C48" s="1005"/>
      <c r="D48" s="87"/>
      <c r="E48" s="87" t="e">
        <f>+E32+E29</f>
        <v>#REF!</v>
      </c>
      <c r="F48" s="88"/>
      <c r="G48" s="87"/>
      <c r="H48" s="87" t="e">
        <f>+H29+H32</f>
        <v>#REF!</v>
      </c>
      <c r="I48" s="87"/>
      <c r="J48" s="87" t="e">
        <f>+J29+J32</f>
        <v>#REF!</v>
      </c>
      <c r="K48" s="87"/>
      <c r="L48" s="87"/>
      <c r="M48" s="89" t="e">
        <f>+M29+M32</f>
        <v>#REF!</v>
      </c>
    </row>
    <row r="49" spans="2:13" x14ac:dyDescent="0.2">
      <c r="B49" s="1378" t="s">
        <v>77</v>
      </c>
      <c r="C49" s="1379"/>
      <c r="D49" s="90">
        <v>0.26</v>
      </c>
      <c r="E49" s="84" t="e">
        <f>+$E$48*D49</f>
        <v>#REF!</v>
      </c>
      <c r="F49" s="91" t="s">
        <v>78</v>
      </c>
      <c r="G49" s="92"/>
      <c r="H49" s="93" t="e">
        <f>+H48*$D$49</f>
        <v>#REF!</v>
      </c>
      <c r="I49" s="92"/>
      <c r="J49" s="93" t="e">
        <f>+J48*$D$49</f>
        <v>#REF!</v>
      </c>
      <c r="K49" s="61" t="e">
        <f>+J49/$J$51</f>
        <v>#REF!</v>
      </c>
      <c r="L49" s="92"/>
      <c r="M49" s="85" t="e">
        <f>+M48*$D$49</f>
        <v>#REF!</v>
      </c>
    </row>
    <row r="50" spans="2:13" ht="13.5" thickBot="1" x14ac:dyDescent="0.25">
      <c r="B50" s="1380" t="s">
        <v>79</v>
      </c>
      <c r="C50" s="1381"/>
      <c r="D50" s="94">
        <v>0.35</v>
      </c>
      <c r="E50" s="84" t="e">
        <f>+$E$48*D50</f>
        <v>#REF!</v>
      </c>
      <c r="F50" s="95" t="s">
        <v>78</v>
      </c>
      <c r="G50" s="96"/>
      <c r="H50" s="93" t="e">
        <f>+H48*$D$50</f>
        <v>#REF!</v>
      </c>
      <c r="I50" s="96"/>
      <c r="J50" s="93" t="e">
        <f>+J48*$D$50</f>
        <v>#REF!</v>
      </c>
      <c r="K50" s="61" t="e">
        <f>+J50/$J$51</f>
        <v>#REF!</v>
      </c>
      <c r="L50" s="96"/>
      <c r="M50" s="85" t="e">
        <f>+M48*$D$50</f>
        <v>#REF!</v>
      </c>
    </row>
    <row r="51" spans="2:13" ht="13.5" thickBot="1" x14ac:dyDescent="0.25">
      <c r="B51" s="1004" t="s">
        <v>80</v>
      </c>
      <c r="C51" s="1005"/>
      <c r="D51" s="87"/>
      <c r="E51" s="97" t="e">
        <f>SUM(E48:E50)</f>
        <v>#REF!</v>
      </c>
      <c r="F51" s="89"/>
      <c r="G51" s="98"/>
      <c r="H51" s="99" t="e">
        <f>SUM(H48:H50)</f>
        <v>#REF!</v>
      </c>
      <c r="I51" s="87"/>
      <c r="J51" s="99" t="e">
        <f>SUM(J48:J50)</f>
        <v>#REF!</v>
      </c>
      <c r="K51" s="99"/>
      <c r="L51" s="98"/>
      <c r="M51" s="88" t="e">
        <f>SUM(M48:M50)</f>
        <v>#REF!</v>
      </c>
    </row>
    <row r="52" spans="2:13" x14ac:dyDescent="0.2">
      <c r="B52" s="1382" t="s">
        <v>81</v>
      </c>
      <c r="C52" s="1383"/>
      <c r="D52" s="100"/>
      <c r="E52" s="100"/>
      <c r="F52" s="101"/>
      <c r="G52" s="100"/>
      <c r="H52" s="100"/>
      <c r="I52" s="100"/>
      <c r="J52" s="102"/>
      <c r="K52" s="102"/>
      <c r="L52" s="100"/>
      <c r="M52" s="101"/>
    </row>
    <row r="53" spans="2:13" x14ac:dyDescent="0.2">
      <c r="B53" s="1384" t="s">
        <v>82</v>
      </c>
      <c r="C53" s="1385"/>
      <c r="D53" s="103"/>
      <c r="E53" s="104"/>
      <c r="F53" s="105"/>
      <c r="G53" s="103"/>
      <c r="H53" s="106">
        <f>SUM(H54:H66)</f>
        <v>57.5</v>
      </c>
      <c r="I53" s="103"/>
      <c r="J53" s="106">
        <f>SUM(J54:J66)</f>
        <v>39.5</v>
      </c>
      <c r="K53" s="106"/>
      <c r="L53" s="103"/>
      <c r="M53" s="105">
        <f>SUM(M54:M66)</f>
        <v>39.5</v>
      </c>
    </row>
    <row r="54" spans="2:13" x14ac:dyDescent="0.2">
      <c r="B54" s="1006" t="s">
        <v>83</v>
      </c>
      <c r="C54" s="1195"/>
      <c r="D54" s="78">
        <f t="shared" ref="D54:D66" si="6">+$D$73</f>
        <v>1</v>
      </c>
      <c r="E54" s="107"/>
      <c r="F54" s="91" t="s">
        <v>43</v>
      </c>
      <c r="G54" s="108">
        <v>2.5</v>
      </c>
      <c r="H54" s="109">
        <f>+G54*D54</f>
        <v>2.5</v>
      </c>
      <c r="I54" s="78" t="s">
        <v>54</v>
      </c>
      <c r="J54" s="81">
        <f t="shared" ref="J54:J66" si="7">IF($I54="S",$H54,0)</f>
        <v>2.5</v>
      </c>
      <c r="K54" s="110"/>
      <c r="L54" s="78" t="s">
        <v>54</v>
      </c>
      <c r="M54" s="82">
        <f t="shared" ref="M54:M66" si="8">IF($I54="S",$H54,0)</f>
        <v>2.5</v>
      </c>
    </row>
    <row r="55" spans="2:13" x14ac:dyDescent="0.2">
      <c r="B55" s="1006" t="s">
        <v>84</v>
      </c>
      <c r="C55" s="1195"/>
      <c r="D55" s="78">
        <f t="shared" si="6"/>
        <v>1</v>
      </c>
      <c r="E55" s="107"/>
      <c r="F55" s="91" t="s">
        <v>85</v>
      </c>
      <c r="G55" s="108">
        <v>18</v>
      </c>
      <c r="H55" s="109">
        <f t="shared" ref="H55:H66" si="9">+G55*D55</f>
        <v>18</v>
      </c>
      <c r="I55" s="78" t="s">
        <v>66</v>
      </c>
      <c r="J55" s="81">
        <f t="shared" si="7"/>
        <v>0</v>
      </c>
      <c r="K55" s="110"/>
      <c r="L55" s="78" t="s">
        <v>54</v>
      </c>
      <c r="M55" s="82">
        <f t="shared" si="8"/>
        <v>0</v>
      </c>
    </row>
    <row r="56" spans="2:13" x14ac:dyDescent="0.2">
      <c r="B56" s="1006" t="s">
        <v>86</v>
      </c>
      <c r="C56" s="1195"/>
      <c r="D56" s="78">
        <f t="shared" si="6"/>
        <v>1</v>
      </c>
      <c r="E56" s="107"/>
      <c r="F56" s="91" t="s">
        <v>43</v>
      </c>
      <c r="G56" s="108">
        <v>3</v>
      </c>
      <c r="H56" s="109">
        <f t="shared" si="9"/>
        <v>3</v>
      </c>
      <c r="I56" s="78" t="s">
        <v>54</v>
      </c>
      <c r="J56" s="81">
        <f t="shared" si="7"/>
        <v>3</v>
      </c>
      <c r="K56" s="110"/>
      <c r="L56" s="78" t="s">
        <v>54</v>
      </c>
      <c r="M56" s="82">
        <f t="shared" si="8"/>
        <v>3</v>
      </c>
    </row>
    <row r="57" spans="2:13" x14ac:dyDescent="0.2">
      <c r="B57" s="1006" t="s">
        <v>87</v>
      </c>
      <c r="C57" s="1195"/>
      <c r="D57" s="78">
        <f t="shared" si="6"/>
        <v>1</v>
      </c>
      <c r="E57" s="107"/>
      <c r="F57" s="91" t="s">
        <v>43</v>
      </c>
      <c r="G57" s="108">
        <v>2</v>
      </c>
      <c r="H57" s="109">
        <f t="shared" si="9"/>
        <v>2</v>
      </c>
      <c r="I57" s="78" t="s">
        <v>54</v>
      </c>
      <c r="J57" s="81">
        <f t="shared" si="7"/>
        <v>2</v>
      </c>
      <c r="K57" s="110"/>
      <c r="L57" s="78" t="s">
        <v>54</v>
      </c>
      <c r="M57" s="82">
        <f t="shared" si="8"/>
        <v>2</v>
      </c>
    </row>
    <row r="58" spans="2:13" x14ac:dyDescent="0.2">
      <c r="B58" s="1006" t="s">
        <v>88</v>
      </c>
      <c r="C58" s="1195"/>
      <c r="D58" s="78">
        <f t="shared" si="6"/>
        <v>1</v>
      </c>
      <c r="E58" s="107"/>
      <c r="F58" s="91" t="s">
        <v>43</v>
      </c>
      <c r="G58" s="108">
        <v>5</v>
      </c>
      <c r="H58" s="109">
        <f t="shared" si="9"/>
        <v>5</v>
      </c>
      <c r="I58" s="78" t="s">
        <v>54</v>
      </c>
      <c r="J58" s="81">
        <f t="shared" si="7"/>
        <v>5</v>
      </c>
      <c r="K58" s="110"/>
      <c r="L58" s="78" t="s">
        <v>54</v>
      </c>
      <c r="M58" s="82">
        <f t="shared" si="8"/>
        <v>5</v>
      </c>
    </row>
    <row r="59" spans="2:13" x14ac:dyDescent="0.2">
      <c r="B59" s="1006" t="s">
        <v>89</v>
      </c>
      <c r="C59" s="1373"/>
      <c r="D59" s="78">
        <f t="shared" si="6"/>
        <v>1</v>
      </c>
      <c r="E59" s="107"/>
      <c r="F59" s="91" t="s">
        <v>43</v>
      </c>
      <c r="G59" s="108">
        <v>3</v>
      </c>
      <c r="H59" s="109">
        <f t="shared" si="9"/>
        <v>3</v>
      </c>
      <c r="I59" s="78" t="s">
        <v>54</v>
      </c>
      <c r="J59" s="81">
        <f t="shared" si="7"/>
        <v>3</v>
      </c>
      <c r="K59" s="110"/>
      <c r="L59" s="78" t="s">
        <v>54</v>
      </c>
      <c r="M59" s="82">
        <f t="shared" si="8"/>
        <v>3</v>
      </c>
    </row>
    <row r="60" spans="2:13" x14ac:dyDescent="0.2">
      <c r="B60" s="1386" t="s">
        <v>90</v>
      </c>
      <c r="C60" s="1387"/>
      <c r="D60" s="78">
        <f t="shared" si="6"/>
        <v>1</v>
      </c>
      <c r="E60" s="107"/>
      <c r="F60" s="91" t="s">
        <v>43</v>
      </c>
      <c r="G60" s="108">
        <v>3</v>
      </c>
      <c r="H60" s="109">
        <f t="shared" si="9"/>
        <v>3</v>
      </c>
      <c r="I60" s="78" t="s">
        <v>54</v>
      </c>
      <c r="J60" s="81">
        <f t="shared" si="7"/>
        <v>3</v>
      </c>
      <c r="K60" s="110"/>
      <c r="L60" s="78" t="s">
        <v>54</v>
      </c>
      <c r="M60" s="82">
        <f t="shared" si="8"/>
        <v>3</v>
      </c>
    </row>
    <row r="61" spans="2:13" x14ac:dyDescent="0.2">
      <c r="B61" s="1386" t="s">
        <v>91</v>
      </c>
      <c r="C61" s="1388"/>
      <c r="D61" s="78">
        <f t="shared" si="6"/>
        <v>1</v>
      </c>
      <c r="E61" s="107"/>
      <c r="F61" s="91" t="s">
        <v>43</v>
      </c>
      <c r="G61" s="108">
        <f>0.2*20</f>
        <v>4</v>
      </c>
      <c r="H61" s="109">
        <f t="shared" si="9"/>
        <v>4</v>
      </c>
      <c r="I61" s="78" t="s">
        <v>60</v>
      </c>
      <c r="J61" s="81">
        <f t="shared" si="7"/>
        <v>4</v>
      </c>
      <c r="K61" s="110"/>
      <c r="L61" s="78" t="s">
        <v>54</v>
      </c>
      <c r="M61" s="82">
        <f t="shared" si="8"/>
        <v>4</v>
      </c>
    </row>
    <row r="62" spans="2:13" x14ac:dyDescent="0.2">
      <c r="B62" s="1015" t="s">
        <v>92</v>
      </c>
      <c r="C62" s="1389"/>
      <c r="D62" s="78">
        <f t="shared" si="6"/>
        <v>1</v>
      </c>
      <c r="E62" s="107">
        <v>10</v>
      </c>
      <c r="F62" s="91" t="s">
        <v>43</v>
      </c>
      <c r="G62" s="111">
        <v>10</v>
      </c>
      <c r="H62" s="109">
        <f t="shared" si="9"/>
        <v>10</v>
      </c>
      <c r="I62" s="78" t="s">
        <v>54</v>
      </c>
      <c r="J62" s="81">
        <f t="shared" si="7"/>
        <v>10</v>
      </c>
      <c r="K62" s="110"/>
      <c r="L62" s="78" t="s">
        <v>54</v>
      </c>
      <c r="M62" s="82">
        <f t="shared" si="8"/>
        <v>10</v>
      </c>
    </row>
    <row r="63" spans="2:13" x14ac:dyDescent="0.2">
      <c r="B63" s="1015" t="s">
        <v>19</v>
      </c>
      <c r="C63" s="1389"/>
      <c r="D63" s="78">
        <f t="shared" si="6"/>
        <v>1</v>
      </c>
      <c r="E63" s="107"/>
      <c r="F63" s="91" t="s">
        <v>43</v>
      </c>
      <c r="G63" s="112">
        <v>0</v>
      </c>
      <c r="H63" s="109">
        <f t="shared" si="9"/>
        <v>0</v>
      </c>
      <c r="I63" s="78" t="s">
        <v>54</v>
      </c>
      <c r="J63" s="81">
        <f t="shared" si="7"/>
        <v>0</v>
      </c>
      <c r="K63" s="110"/>
      <c r="L63" s="78" t="s">
        <v>54</v>
      </c>
      <c r="M63" s="82">
        <f t="shared" si="8"/>
        <v>0</v>
      </c>
    </row>
    <row r="64" spans="2:13" x14ac:dyDescent="0.2">
      <c r="B64" s="1006" t="s">
        <v>93</v>
      </c>
      <c r="C64" s="1373"/>
      <c r="D64" s="78">
        <f t="shared" si="6"/>
        <v>1</v>
      </c>
      <c r="E64" s="107"/>
      <c r="F64" s="91" t="s">
        <v>43</v>
      </c>
      <c r="G64" s="112">
        <v>0</v>
      </c>
      <c r="H64" s="109">
        <f t="shared" si="9"/>
        <v>0</v>
      </c>
      <c r="I64" s="78" t="s">
        <v>54</v>
      </c>
      <c r="J64" s="81">
        <f t="shared" si="7"/>
        <v>0</v>
      </c>
      <c r="K64" s="110"/>
      <c r="L64" s="78" t="s">
        <v>54</v>
      </c>
      <c r="M64" s="82">
        <f t="shared" si="8"/>
        <v>0</v>
      </c>
    </row>
    <row r="65" spans="1:13" x14ac:dyDescent="0.2">
      <c r="B65" s="986" t="s">
        <v>94</v>
      </c>
      <c r="C65" s="1369"/>
      <c r="D65" s="78">
        <f t="shared" si="6"/>
        <v>1</v>
      </c>
      <c r="E65" s="107"/>
      <c r="F65" s="91" t="s">
        <v>43</v>
      </c>
      <c r="G65" s="108">
        <v>7</v>
      </c>
      <c r="H65" s="109">
        <f t="shared" si="9"/>
        <v>7</v>
      </c>
      <c r="I65" s="78" t="s">
        <v>54</v>
      </c>
      <c r="J65" s="81">
        <f t="shared" si="7"/>
        <v>7</v>
      </c>
      <c r="K65" s="110"/>
      <c r="L65" s="78" t="s">
        <v>54</v>
      </c>
      <c r="M65" s="82">
        <f t="shared" si="8"/>
        <v>7</v>
      </c>
    </row>
    <row r="66" spans="1:13" x14ac:dyDescent="0.2">
      <c r="B66" s="1187" t="s">
        <v>95</v>
      </c>
      <c r="C66" s="1191"/>
      <c r="D66" s="78">
        <f t="shared" si="6"/>
        <v>1</v>
      </c>
      <c r="E66" s="107"/>
      <c r="F66" s="113"/>
      <c r="G66" s="112">
        <v>0</v>
      </c>
      <c r="H66" s="109">
        <f t="shared" si="9"/>
        <v>0</v>
      </c>
      <c r="I66" s="78" t="s">
        <v>54</v>
      </c>
      <c r="J66" s="81">
        <f t="shared" si="7"/>
        <v>0</v>
      </c>
      <c r="K66" s="110"/>
      <c r="L66" s="78" t="s">
        <v>54</v>
      </c>
      <c r="M66" s="82">
        <f t="shared" si="8"/>
        <v>0</v>
      </c>
    </row>
    <row r="67" spans="1:13" s="27" customFormat="1" x14ac:dyDescent="0.2">
      <c r="B67" s="1192" t="s">
        <v>96</v>
      </c>
      <c r="C67" s="1193"/>
      <c r="D67" s="114"/>
      <c r="E67" s="114"/>
      <c r="F67" s="115"/>
      <c r="G67" s="116"/>
      <c r="H67" s="117">
        <f>+H53</f>
        <v>57.5</v>
      </c>
      <c r="I67" s="118"/>
      <c r="J67" s="117">
        <f>+J53</f>
        <v>39.5</v>
      </c>
      <c r="K67" s="119"/>
      <c r="L67" s="114"/>
      <c r="M67" s="117">
        <f>+M53</f>
        <v>39.5</v>
      </c>
    </row>
    <row r="68" spans="1:13" s="27" customFormat="1" x14ac:dyDescent="0.2">
      <c r="B68" s="1189" t="s">
        <v>45</v>
      </c>
      <c r="C68" s="1190"/>
      <c r="D68" s="120"/>
      <c r="E68" s="120"/>
      <c r="F68" s="121"/>
      <c r="G68" s="120"/>
      <c r="H68" s="122" t="e">
        <f>+H67+H51</f>
        <v>#REF!</v>
      </c>
      <c r="I68" s="123"/>
      <c r="J68" s="122" t="e">
        <f>+J67+J51</f>
        <v>#REF!</v>
      </c>
      <c r="K68" s="124"/>
      <c r="L68" s="120"/>
      <c r="M68" s="122" t="e">
        <f>+M67+M51</f>
        <v>#REF!</v>
      </c>
    </row>
    <row r="69" spans="1:13" s="27" customFormat="1" ht="13.5" thickBot="1" x14ac:dyDescent="0.25">
      <c r="B69" s="125"/>
      <c r="C69" s="125"/>
      <c r="D69" s="126"/>
      <c r="E69" s="126"/>
      <c r="G69" s="127"/>
    </row>
    <row r="70" spans="1:13" s="37" customFormat="1" ht="14.25" x14ac:dyDescent="0.2">
      <c r="A70" s="128"/>
      <c r="B70" s="129" t="s">
        <v>97</v>
      </c>
      <c r="C70" s="130">
        <v>0.15</v>
      </c>
      <c r="H70" s="31"/>
      <c r="I70" s="31"/>
      <c r="J70" s="131"/>
      <c r="K70" s="131"/>
      <c r="L70" s="131"/>
    </row>
    <row r="71" spans="1:13" s="37" customFormat="1" ht="15" thickBot="1" x14ac:dyDescent="0.25">
      <c r="A71" s="128"/>
      <c r="B71" s="132" t="s">
        <v>98</v>
      </c>
      <c r="C71" s="133">
        <v>0.16</v>
      </c>
      <c r="H71" s="134"/>
      <c r="I71" s="134"/>
      <c r="J71" s="135"/>
      <c r="K71" s="135"/>
      <c r="L71" s="136"/>
    </row>
    <row r="72" spans="1:13" s="37" customFormat="1" ht="13.5" thickBot="1" x14ac:dyDescent="0.25">
      <c r="A72" s="128"/>
      <c r="E72" s="83"/>
      <c r="F72" s="83"/>
      <c r="H72" s="134"/>
      <c r="I72" s="134"/>
      <c r="J72" s="135"/>
      <c r="K72" s="135"/>
      <c r="L72" s="136"/>
    </row>
    <row r="73" spans="1:13" s="37" customFormat="1" ht="13.5" hidden="1" thickBot="1" x14ac:dyDescent="0.25">
      <c r="A73" s="128"/>
      <c r="B73" s="994" t="s">
        <v>99</v>
      </c>
      <c r="C73" s="995"/>
      <c r="D73" s="137">
        <v>1</v>
      </c>
      <c r="E73" s="138"/>
      <c r="H73" s="134"/>
      <c r="I73" s="134"/>
      <c r="J73" s="135"/>
      <c r="K73" s="135"/>
      <c r="L73" s="136"/>
    </row>
    <row r="74" spans="1:13" s="37" customFormat="1" ht="13.5" hidden="1" thickBot="1" x14ac:dyDescent="0.25">
      <c r="A74" s="128"/>
      <c r="I74" s="1"/>
      <c r="J74" s="1"/>
      <c r="K74" s="1"/>
      <c r="L74" s="1"/>
      <c r="M74" s="1"/>
    </row>
    <row r="75" spans="1:13" s="37" customFormat="1" ht="30.75" customHeight="1" thickBot="1" x14ac:dyDescent="0.25">
      <c r="A75" s="128"/>
      <c r="E75" s="277" t="s">
        <v>100</v>
      </c>
      <c r="F75" s="3"/>
      <c r="G75" s="277" t="s">
        <v>47</v>
      </c>
      <c r="I75" s="1"/>
      <c r="J75" s="1"/>
      <c r="K75" s="1"/>
      <c r="L75" s="1"/>
      <c r="M75" s="1"/>
    </row>
    <row r="76" spans="1:13" s="37" customFormat="1" ht="13.5" thickBot="1" x14ac:dyDescent="0.25">
      <c r="A76" s="128"/>
      <c r="B76" s="1004" t="s">
        <v>80</v>
      </c>
      <c r="C76" s="1005"/>
      <c r="D76" s="24"/>
      <c r="E76" s="24" t="e">
        <f>+J51</f>
        <v>#REF!</v>
      </c>
      <c r="F76" s="24" t="e">
        <f>+E76</f>
        <v>#REF!</v>
      </c>
      <c r="G76" s="24" t="e">
        <f>+M48</f>
        <v>#REF!</v>
      </c>
      <c r="H76" s="83" t="s">
        <v>101</v>
      </c>
      <c r="I76" s="137" t="e">
        <f>+E76+E77*E84</f>
        <v>#REF!</v>
      </c>
      <c r="J76" s="137" t="e">
        <f>+E76+E77*E85</f>
        <v>#REF!</v>
      </c>
      <c r="K76" s="1"/>
      <c r="L76" s="1"/>
      <c r="M76" s="1"/>
    </row>
    <row r="77" spans="1:13" s="144" customFormat="1" ht="13.5" thickBot="1" x14ac:dyDescent="0.25">
      <c r="A77" s="140"/>
      <c r="B77" s="996" t="s">
        <v>81</v>
      </c>
      <c r="C77" s="997"/>
      <c r="D77" s="141"/>
      <c r="E77" s="141">
        <f>+J67</f>
        <v>39.5</v>
      </c>
      <c r="F77" s="141" t="e">
        <f>+E77*E84</f>
        <v>#REF!</v>
      </c>
      <c r="G77" s="141">
        <f>+M67</f>
        <v>39.5</v>
      </c>
      <c r="H77" s="142" t="s">
        <v>102</v>
      </c>
      <c r="I77" s="143" t="e">
        <f>+E82*E84</f>
        <v>#REF!</v>
      </c>
      <c r="J77" s="143" t="e">
        <f>+E83*E85</f>
        <v>#REF!</v>
      </c>
      <c r="K77" s="1"/>
      <c r="L77" s="1"/>
      <c r="M77" s="1"/>
    </row>
    <row r="78" spans="1:13" ht="13.5" thickBot="1" x14ac:dyDescent="0.25">
      <c r="B78" s="998" t="s">
        <v>45</v>
      </c>
      <c r="C78" s="999"/>
      <c r="D78" s="145"/>
      <c r="E78" s="145" t="e">
        <f>SUM(E76:E77)</f>
        <v>#REF!</v>
      </c>
      <c r="F78" s="145" t="e">
        <f>SUM(F76:F77)</f>
        <v>#REF!</v>
      </c>
      <c r="G78" s="145" t="e">
        <f>SUM(G76:G77)</f>
        <v>#REF!</v>
      </c>
      <c r="I78" s="146" t="e">
        <f>+I76-I77</f>
        <v>#REF!</v>
      </c>
      <c r="J78" s="146" t="e">
        <f>+J76-J77</f>
        <v>#REF!</v>
      </c>
    </row>
    <row r="79" spans="1:13" ht="13.5" thickBot="1" x14ac:dyDescent="0.25">
      <c r="B79" s="1000" t="s">
        <v>103</v>
      </c>
      <c r="C79" s="1001"/>
      <c r="D79" s="147">
        <v>0.15340000000000001</v>
      </c>
      <c r="E79" s="148" t="e">
        <f>+(E82-E78)/E82</f>
        <v>#REF!</v>
      </c>
      <c r="F79" s="148" t="e">
        <f>+F78/600</f>
        <v>#REF!</v>
      </c>
      <c r="G79" s="148" t="e">
        <f>+G78/(1-$D$79)</f>
        <v>#REF!</v>
      </c>
      <c r="H79" s="149" t="e">
        <f t="shared" ref="H79:H81" si="10">+E84*E86</f>
        <v>#REF!</v>
      </c>
    </row>
    <row r="80" spans="1:13" ht="13.5" thickBot="1" x14ac:dyDescent="0.25">
      <c r="B80" s="1189" t="s">
        <v>104</v>
      </c>
      <c r="C80" s="1390"/>
      <c r="D80" s="147">
        <v>0.14940000000000001</v>
      </c>
      <c r="E80" s="148" t="e">
        <f>+E79/(1-$D$80)</f>
        <v>#REF!</v>
      </c>
      <c r="F80" s="148"/>
      <c r="G80" s="148" t="e">
        <f>+G79/(1-$D$80)</f>
        <v>#REF!</v>
      </c>
      <c r="H80" s="149" t="e">
        <f t="shared" si="10"/>
        <v>#REF!</v>
      </c>
    </row>
    <row r="81" spans="2:8" ht="13.5" thickBot="1" x14ac:dyDescent="0.25">
      <c r="B81" s="1189" t="s">
        <v>105</v>
      </c>
      <c r="C81" s="1391"/>
      <c r="D81" s="147">
        <v>0.03</v>
      </c>
      <c r="E81" s="148" t="e">
        <f>+E80/(1-$D$81)</f>
        <v>#REF!</v>
      </c>
      <c r="F81" s="148"/>
      <c r="G81" s="148" t="e">
        <f>+G80/(1-$D$81)</f>
        <v>#REF!</v>
      </c>
      <c r="H81" s="149">
        <f t="shared" si="10"/>
        <v>0</v>
      </c>
    </row>
    <row r="82" spans="2:8" x14ac:dyDescent="0.2">
      <c r="B82" s="1002" t="s">
        <v>106</v>
      </c>
      <c r="C82" s="150" t="s">
        <v>107</v>
      </c>
      <c r="D82" s="151" t="s">
        <v>108</v>
      </c>
      <c r="E82" s="152">
        <v>600</v>
      </c>
      <c r="F82" s="153" t="e">
        <f>+F78/E84</f>
        <v>#REF!</v>
      </c>
      <c r="G82" s="154"/>
    </row>
    <row r="83" spans="2:8" x14ac:dyDescent="0.2">
      <c r="B83" s="1003"/>
      <c r="C83" s="150" t="s">
        <v>109</v>
      </c>
      <c r="D83" s="151" t="s">
        <v>108</v>
      </c>
      <c r="E83" s="155">
        <v>820</v>
      </c>
      <c r="F83" s="154"/>
      <c r="G83" s="15"/>
    </row>
    <row r="84" spans="2:8" x14ac:dyDescent="0.2">
      <c r="B84" s="1189" t="s">
        <v>110</v>
      </c>
      <c r="C84" s="1190"/>
      <c r="D84" s="156" t="s">
        <v>111</v>
      </c>
      <c r="E84" s="157" t="e">
        <f>+$E$76/(E82-$E$77)</f>
        <v>#REF!</v>
      </c>
      <c r="F84" s="158"/>
      <c r="G84" s="154"/>
    </row>
    <row r="85" spans="2:8" x14ac:dyDescent="0.2">
      <c r="D85" s="156" t="s">
        <v>112</v>
      </c>
      <c r="E85" s="157" t="e">
        <f>+$E$76/(E83-$E$77)</f>
        <v>#REF!</v>
      </c>
      <c r="F85" s="15"/>
    </row>
  </sheetData>
  <sheetProtection selectLockedCells="1"/>
  <mergeCells count="74">
    <mergeCell ref="B82:B83"/>
    <mergeCell ref="B84:C84"/>
    <mergeCell ref="B76:C76"/>
    <mergeCell ref="B77:C77"/>
    <mergeCell ref="B78:C78"/>
    <mergeCell ref="B79:C79"/>
    <mergeCell ref="B80:C80"/>
    <mergeCell ref="B81:C81"/>
    <mergeCell ref="B73:C73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57:C57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45:C45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33:C33"/>
    <mergeCell ref="B22:M22"/>
    <mergeCell ref="B24:H24"/>
    <mergeCell ref="L24:M24"/>
    <mergeCell ref="B26:C27"/>
    <mergeCell ref="D26:D27"/>
    <mergeCell ref="E26:E27"/>
    <mergeCell ref="F26:F27"/>
    <mergeCell ref="I26:J26"/>
    <mergeCell ref="L26:M26"/>
    <mergeCell ref="B28:C28"/>
    <mergeCell ref="B29:C29"/>
    <mergeCell ref="B30:C30"/>
    <mergeCell ref="B31:C31"/>
    <mergeCell ref="B32:C32"/>
    <mergeCell ref="B19:C19"/>
    <mergeCell ref="G19:G20"/>
    <mergeCell ref="H19:I19"/>
    <mergeCell ref="H20:I20"/>
    <mergeCell ref="B1:M2"/>
    <mergeCell ref="B3:M4"/>
    <mergeCell ref="B5:M6"/>
    <mergeCell ref="C8:H9"/>
    <mergeCell ref="C10:G10"/>
    <mergeCell ref="B13:C13"/>
    <mergeCell ref="B14:C14"/>
    <mergeCell ref="B15:C15"/>
    <mergeCell ref="B16:C16"/>
    <mergeCell ref="B17:C17"/>
    <mergeCell ref="H18:I18"/>
  </mergeCells>
  <dataValidations count="1">
    <dataValidation type="list" allowBlank="1" showInputMessage="1" showErrorMessage="1" sqref="C10:G10" xr:uid="{00000000-0002-0000-1100-000000000000}">
      <formula1>$T$8:$T$10</formula1>
    </dataValidation>
  </dataValidation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>
    <tabColor rgb="FFFFCC00"/>
  </sheetPr>
  <dimension ref="A1:O97"/>
  <sheetViews>
    <sheetView workbookViewId="0">
      <pane xSplit="2" ySplit="9" topLeftCell="C43" activePane="bottomRight" state="frozen"/>
      <selection pane="topRight" activeCell="C1" sqref="C1"/>
      <selection pane="bottomLeft" activeCell="A10" sqref="A10"/>
      <selection pane="bottomRight" activeCell="R91" sqref="R91"/>
    </sheetView>
  </sheetViews>
  <sheetFormatPr baseColWidth="10" defaultColWidth="10" defaultRowHeight="15" x14ac:dyDescent="0.25"/>
  <cols>
    <col min="1" max="1" width="12.5703125" style="284" customWidth="1"/>
    <col min="2" max="2" width="40.140625" style="283" bestFit="1" customWidth="1"/>
    <col min="3" max="3" width="11.7109375" style="284" hidden="1" customWidth="1"/>
    <col min="4" max="4" width="9.85546875" style="284" hidden="1" customWidth="1"/>
    <col min="5" max="7" width="9.85546875" style="285" hidden="1" customWidth="1"/>
    <col min="8" max="8" width="10.85546875" style="285" hidden="1" customWidth="1"/>
    <col min="9" max="11" width="10.140625" style="285" hidden="1" customWidth="1"/>
    <col min="12" max="13" width="10.85546875" style="285" hidden="1" customWidth="1"/>
    <col min="14" max="14" width="9.85546875" style="284" hidden="1" customWidth="1"/>
    <col min="15" max="15" width="11.5703125" style="284" bestFit="1" customWidth="1"/>
    <col min="16" max="254" width="10" style="284"/>
    <col min="255" max="255" width="9.7109375" style="284" bestFit="1" customWidth="1"/>
    <col min="256" max="256" width="40.140625" style="284" bestFit="1" customWidth="1"/>
    <col min="257" max="257" width="11.7109375" style="284" customWidth="1"/>
    <col min="258" max="268" width="9.85546875" style="284" customWidth="1"/>
    <col min="269" max="269" width="13.28515625" style="284" customWidth="1"/>
    <col min="270" max="510" width="10" style="284"/>
    <col min="511" max="511" width="9.7109375" style="284" bestFit="1" customWidth="1"/>
    <col min="512" max="512" width="40.140625" style="284" bestFit="1" customWidth="1"/>
    <col min="513" max="513" width="11.7109375" style="284" customWidth="1"/>
    <col min="514" max="524" width="9.85546875" style="284" customWidth="1"/>
    <col min="525" max="525" width="13.28515625" style="284" customWidth="1"/>
    <col min="526" max="766" width="10" style="284"/>
    <col min="767" max="767" width="9.7109375" style="284" bestFit="1" customWidth="1"/>
    <col min="768" max="768" width="40.140625" style="284" bestFit="1" customWidth="1"/>
    <col min="769" max="769" width="11.7109375" style="284" customWidth="1"/>
    <col min="770" max="780" width="9.85546875" style="284" customWidth="1"/>
    <col min="781" max="781" width="13.28515625" style="284" customWidth="1"/>
    <col min="782" max="1022" width="10" style="284"/>
    <col min="1023" max="1023" width="9.7109375" style="284" bestFit="1" customWidth="1"/>
    <col min="1024" max="1024" width="40.140625" style="284" bestFit="1" customWidth="1"/>
    <col min="1025" max="1025" width="11.7109375" style="284" customWidth="1"/>
    <col min="1026" max="1036" width="9.85546875" style="284" customWidth="1"/>
    <col min="1037" max="1037" width="13.28515625" style="284" customWidth="1"/>
    <col min="1038" max="1278" width="10" style="284"/>
    <col min="1279" max="1279" width="9.7109375" style="284" bestFit="1" customWidth="1"/>
    <col min="1280" max="1280" width="40.140625" style="284" bestFit="1" customWidth="1"/>
    <col min="1281" max="1281" width="11.7109375" style="284" customWidth="1"/>
    <col min="1282" max="1292" width="9.85546875" style="284" customWidth="1"/>
    <col min="1293" max="1293" width="13.28515625" style="284" customWidth="1"/>
    <col min="1294" max="1534" width="10" style="284"/>
    <col min="1535" max="1535" width="9.7109375" style="284" bestFit="1" customWidth="1"/>
    <col min="1536" max="1536" width="40.140625" style="284" bestFit="1" customWidth="1"/>
    <col min="1537" max="1537" width="11.7109375" style="284" customWidth="1"/>
    <col min="1538" max="1548" width="9.85546875" style="284" customWidth="1"/>
    <col min="1549" max="1549" width="13.28515625" style="284" customWidth="1"/>
    <col min="1550" max="1790" width="10" style="284"/>
    <col min="1791" max="1791" width="9.7109375" style="284" bestFit="1" customWidth="1"/>
    <col min="1792" max="1792" width="40.140625" style="284" bestFit="1" customWidth="1"/>
    <col min="1793" max="1793" width="11.7109375" style="284" customWidth="1"/>
    <col min="1794" max="1804" width="9.85546875" style="284" customWidth="1"/>
    <col min="1805" max="1805" width="13.28515625" style="284" customWidth="1"/>
    <col min="1806" max="2046" width="10" style="284"/>
    <col min="2047" max="2047" width="9.7109375" style="284" bestFit="1" customWidth="1"/>
    <col min="2048" max="2048" width="40.140625" style="284" bestFit="1" customWidth="1"/>
    <col min="2049" max="2049" width="11.7109375" style="284" customWidth="1"/>
    <col min="2050" max="2060" width="9.85546875" style="284" customWidth="1"/>
    <col min="2061" max="2061" width="13.28515625" style="284" customWidth="1"/>
    <col min="2062" max="2302" width="10" style="284"/>
    <col min="2303" max="2303" width="9.7109375" style="284" bestFit="1" customWidth="1"/>
    <col min="2304" max="2304" width="40.140625" style="284" bestFit="1" customWidth="1"/>
    <col min="2305" max="2305" width="11.7109375" style="284" customWidth="1"/>
    <col min="2306" max="2316" width="9.85546875" style="284" customWidth="1"/>
    <col min="2317" max="2317" width="13.28515625" style="284" customWidth="1"/>
    <col min="2318" max="2558" width="10" style="284"/>
    <col min="2559" max="2559" width="9.7109375" style="284" bestFit="1" customWidth="1"/>
    <col min="2560" max="2560" width="40.140625" style="284" bestFit="1" customWidth="1"/>
    <col min="2561" max="2561" width="11.7109375" style="284" customWidth="1"/>
    <col min="2562" max="2572" width="9.85546875" style="284" customWidth="1"/>
    <col min="2573" max="2573" width="13.28515625" style="284" customWidth="1"/>
    <col min="2574" max="2814" width="10" style="284"/>
    <col min="2815" max="2815" width="9.7109375" style="284" bestFit="1" customWidth="1"/>
    <col min="2816" max="2816" width="40.140625" style="284" bestFit="1" customWidth="1"/>
    <col min="2817" max="2817" width="11.7109375" style="284" customWidth="1"/>
    <col min="2818" max="2828" width="9.85546875" style="284" customWidth="1"/>
    <col min="2829" max="2829" width="13.28515625" style="284" customWidth="1"/>
    <col min="2830" max="3070" width="10" style="284"/>
    <col min="3071" max="3071" width="9.7109375" style="284" bestFit="1" customWidth="1"/>
    <col min="3072" max="3072" width="40.140625" style="284" bestFit="1" customWidth="1"/>
    <col min="3073" max="3073" width="11.7109375" style="284" customWidth="1"/>
    <col min="3074" max="3084" width="9.85546875" style="284" customWidth="1"/>
    <col min="3085" max="3085" width="13.28515625" style="284" customWidth="1"/>
    <col min="3086" max="3326" width="10" style="284"/>
    <col min="3327" max="3327" width="9.7109375" style="284" bestFit="1" customWidth="1"/>
    <col min="3328" max="3328" width="40.140625" style="284" bestFit="1" customWidth="1"/>
    <col min="3329" max="3329" width="11.7109375" style="284" customWidth="1"/>
    <col min="3330" max="3340" width="9.85546875" style="284" customWidth="1"/>
    <col min="3341" max="3341" width="13.28515625" style="284" customWidth="1"/>
    <col min="3342" max="3582" width="10" style="284"/>
    <col min="3583" max="3583" width="9.7109375" style="284" bestFit="1" customWidth="1"/>
    <col min="3584" max="3584" width="40.140625" style="284" bestFit="1" customWidth="1"/>
    <col min="3585" max="3585" width="11.7109375" style="284" customWidth="1"/>
    <col min="3586" max="3596" width="9.85546875" style="284" customWidth="1"/>
    <col min="3597" max="3597" width="13.28515625" style="284" customWidth="1"/>
    <col min="3598" max="3838" width="10" style="284"/>
    <col min="3839" max="3839" width="9.7109375" style="284" bestFit="1" customWidth="1"/>
    <col min="3840" max="3840" width="40.140625" style="284" bestFit="1" customWidth="1"/>
    <col min="3841" max="3841" width="11.7109375" style="284" customWidth="1"/>
    <col min="3842" max="3852" width="9.85546875" style="284" customWidth="1"/>
    <col min="3853" max="3853" width="13.28515625" style="284" customWidth="1"/>
    <col min="3854" max="4094" width="10" style="284"/>
    <col min="4095" max="4095" width="9.7109375" style="284" bestFit="1" customWidth="1"/>
    <col min="4096" max="4096" width="40.140625" style="284" bestFit="1" customWidth="1"/>
    <col min="4097" max="4097" width="11.7109375" style="284" customWidth="1"/>
    <col min="4098" max="4108" width="9.85546875" style="284" customWidth="1"/>
    <col min="4109" max="4109" width="13.28515625" style="284" customWidth="1"/>
    <col min="4110" max="4350" width="10" style="284"/>
    <col min="4351" max="4351" width="9.7109375" style="284" bestFit="1" customWidth="1"/>
    <col min="4352" max="4352" width="40.140625" style="284" bestFit="1" customWidth="1"/>
    <col min="4353" max="4353" width="11.7109375" style="284" customWidth="1"/>
    <col min="4354" max="4364" width="9.85546875" style="284" customWidth="1"/>
    <col min="4365" max="4365" width="13.28515625" style="284" customWidth="1"/>
    <col min="4366" max="4606" width="10" style="284"/>
    <col min="4607" max="4607" width="9.7109375" style="284" bestFit="1" customWidth="1"/>
    <col min="4608" max="4608" width="40.140625" style="284" bestFit="1" customWidth="1"/>
    <col min="4609" max="4609" width="11.7109375" style="284" customWidth="1"/>
    <col min="4610" max="4620" width="9.85546875" style="284" customWidth="1"/>
    <col min="4621" max="4621" width="13.28515625" style="284" customWidth="1"/>
    <col min="4622" max="4862" width="10" style="284"/>
    <col min="4863" max="4863" width="9.7109375" style="284" bestFit="1" customWidth="1"/>
    <col min="4864" max="4864" width="40.140625" style="284" bestFit="1" customWidth="1"/>
    <col min="4865" max="4865" width="11.7109375" style="284" customWidth="1"/>
    <col min="4866" max="4876" width="9.85546875" style="284" customWidth="1"/>
    <col min="4877" max="4877" width="13.28515625" style="284" customWidth="1"/>
    <col min="4878" max="5118" width="10" style="284"/>
    <col min="5119" max="5119" width="9.7109375" style="284" bestFit="1" customWidth="1"/>
    <col min="5120" max="5120" width="40.140625" style="284" bestFit="1" customWidth="1"/>
    <col min="5121" max="5121" width="11.7109375" style="284" customWidth="1"/>
    <col min="5122" max="5132" width="9.85546875" style="284" customWidth="1"/>
    <col min="5133" max="5133" width="13.28515625" style="284" customWidth="1"/>
    <col min="5134" max="5374" width="10" style="284"/>
    <col min="5375" max="5375" width="9.7109375" style="284" bestFit="1" customWidth="1"/>
    <col min="5376" max="5376" width="40.140625" style="284" bestFit="1" customWidth="1"/>
    <col min="5377" max="5377" width="11.7109375" style="284" customWidth="1"/>
    <col min="5378" max="5388" width="9.85546875" style="284" customWidth="1"/>
    <col min="5389" max="5389" width="13.28515625" style="284" customWidth="1"/>
    <col min="5390" max="5630" width="10" style="284"/>
    <col min="5631" max="5631" width="9.7109375" style="284" bestFit="1" customWidth="1"/>
    <col min="5632" max="5632" width="40.140625" style="284" bestFit="1" customWidth="1"/>
    <col min="5633" max="5633" width="11.7109375" style="284" customWidth="1"/>
    <col min="5634" max="5644" width="9.85546875" style="284" customWidth="1"/>
    <col min="5645" max="5645" width="13.28515625" style="284" customWidth="1"/>
    <col min="5646" max="5886" width="10" style="284"/>
    <col min="5887" max="5887" width="9.7109375" style="284" bestFit="1" customWidth="1"/>
    <col min="5888" max="5888" width="40.140625" style="284" bestFit="1" customWidth="1"/>
    <col min="5889" max="5889" width="11.7109375" style="284" customWidth="1"/>
    <col min="5890" max="5900" width="9.85546875" style="284" customWidth="1"/>
    <col min="5901" max="5901" width="13.28515625" style="284" customWidth="1"/>
    <col min="5902" max="6142" width="10" style="284"/>
    <col min="6143" max="6143" width="9.7109375" style="284" bestFit="1" customWidth="1"/>
    <col min="6144" max="6144" width="40.140625" style="284" bestFit="1" customWidth="1"/>
    <col min="6145" max="6145" width="11.7109375" style="284" customWidth="1"/>
    <col min="6146" max="6156" width="9.85546875" style="284" customWidth="1"/>
    <col min="6157" max="6157" width="13.28515625" style="284" customWidth="1"/>
    <col min="6158" max="6398" width="10" style="284"/>
    <col min="6399" max="6399" width="9.7109375" style="284" bestFit="1" customWidth="1"/>
    <col min="6400" max="6400" width="40.140625" style="284" bestFit="1" customWidth="1"/>
    <col min="6401" max="6401" width="11.7109375" style="284" customWidth="1"/>
    <col min="6402" max="6412" width="9.85546875" style="284" customWidth="1"/>
    <col min="6413" max="6413" width="13.28515625" style="284" customWidth="1"/>
    <col min="6414" max="6654" width="10" style="284"/>
    <col min="6655" max="6655" width="9.7109375" style="284" bestFit="1" customWidth="1"/>
    <col min="6656" max="6656" width="40.140625" style="284" bestFit="1" customWidth="1"/>
    <col min="6657" max="6657" width="11.7109375" style="284" customWidth="1"/>
    <col min="6658" max="6668" width="9.85546875" style="284" customWidth="1"/>
    <col min="6669" max="6669" width="13.28515625" style="284" customWidth="1"/>
    <col min="6670" max="6910" width="10" style="284"/>
    <col min="6911" max="6911" width="9.7109375" style="284" bestFit="1" customWidth="1"/>
    <col min="6912" max="6912" width="40.140625" style="284" bestFit="1" customWidth="1"/>
    <col min="6913" max="6913" width="11.7109375" style="284" customWidth="1"/>
    <col min="6914" max="6924" width="9.85546875" style="284" customWidth="1"/>
    <col min="6925" max="6925" width="13.28515625" style="284" customWidth="1"/>
    <col min="6926" max="7166" width="10" style="284"/>
    <col min="7167" max="7167" width="9.7109375" style="284" bestFit="1" customWidth="1"/>
    <col min="7168" max="7168" width="40.140625" style="284" bestFit="1" customWidth="1"/>
    <col min="7169" max="7169" width="11.7109375" style="284" customWidth="1"/>
    <col min="7170" max="7180" width="9.85546875" style="284" customWidth="1"/>
    <col min="7181" max="7181" width="13.28515625" style="284" customWidth="1"/>
    <col min="7182" max="7422" width="10" style="284"/>
    <col min="7423" max="7423" width="9.7109375" style="284" bestFit="1" customWidth="1"/>
    <col min="7424" max="7424" width="40.140625" style="284" bestFit="1" customWidth="1"/>
    <col min="7425" max="7425" width="11.7109375" style="284" customWidth="1"/>
    <col min="7426" max="7436" width="9.85546875" style="284" customWidth="1"/>
    <col min="7437" max="7437" width="13.28515625" style="284" customWidth="1"/>
    <col min="7438" max="7678" width="10" style="284"/>
    <col min="7679" max="7679" width="9.7109375" style="284" bestFit="1" customWidth="1"/>
    <col min="7680" max="7680" width="40.140625" style="284" bestFit="1" customWidth="1"/>
    <col min="7681" max="7681" width="11.7109375" style="284" customWidth="1"/>
    <col min="7682" max="7692" width="9.85546875" style="284" customWidth="1"/>
    <col min="7693" max="7693" width="13.28515625" style="284" customWidth="1"/>
    <col min="7694" max="7934" width="10" style="284"/>
    <col min="7935" max="7935" width="9.7109375" style="284" bestFit="1" customWidth="1"/>
    <col min="7936" max="7936" width="40.140625" style="284" bestFit="1" customWidth="1"/>
    <col min="7937" max="7937" width="11.7109375" style="284" customWidth="1"/>
    <col min="7938" max="7948" width="9.85546875" style="284" customWidth="1"/>
    <col min="7949" max="7949" width="13.28515625" style="284" customWidth="1"/>
    <col min="7950" max="8190" width="10" style="284"/>
    <col min="8191" max="8191" width="9.7109375" style="284" bestFit="1" customWidth="1"/>
    <col min="8192" max="8192" width="40.140625" style="284" bestFit="1" customWidth="1"/>
    <col min="8193" max="8193" width="11.7109375" style="284" customWidth="1"/>
    <col min="8194" max="8204" width="9.85546875" style="284" customWidth="1"/>
    <col min="8205" max="8205" width="13.28515625" style="284" customWidth="1"/>
    <col min="8206" max="8446" width="10" style="284"/>
    <col min="8447" max="8447" width="9.7109375" style="284" bestFit="1" customWidth="1"/>
    <col min="8448" max="8448" width="40.140625" style="284" bestFit="1" customWidth="1"/>
    <col min="8449" max="8449" width="11.7109375" style="284" customWidth="1"/>
    <col min="8450" max="8460" width="9.85546875" style="284" customWidth="1"/>
    <col min="8461" max="8461" width="13.28515625" style="284" customWidth="1"/>
    <col min="8462" max="8702" width="10" style="284"/>
    <col min="8703" max="8703" width="9.7109375" style="284" bestFit="1" customWidth="1"/>
    <col min="8704" max="8704" width="40.140625" style="284" bestFit="1" customWidth="1"/>
    <col min="8705" max="8705" width="11.7109375" style="284" customWidth="1"/>
    <col min="8706" max="8716" width="9.85546875" style="284" customWidth="1"/>
    <col min="8717" max="8717" width="13.28515625" style="284" customWidth="1"/>
    <col min="8718" max="8958" width="10" style="284"/>
    <col min="8959" max="8959" width="9.7109375" style="284" bestFit="1" customWidth="1"/>
    <col min="8960" max="8960" width="40.140625" style="284" bestFit="1" customWidth="1"/>
    <col min="8961" max="8961" width="11.7109375" style="284" customWidth="1"/>
    <col min="8962" max="8972" width="9.85546875" style="284" customWidth="1"/>
    <col min="8973" max="8973" width="13.28515625" style="284" customWidth="1"/>
    <col min="8974" max="9214" width="10" style="284"/>
    <col min="9215" max="9215" width="9.7109375" style="284" bestFit="1" customWidth="1"/>
    <col min="9216" max="9216" width="40.140625" style="284" bestFit="1" customWidth="1"/>
    <col min="9217" max="9217" width="11.7109375" style="284" customWidth="1"/>
    <col min="9218" max="9228" width="9.85546875" style="284" customWidth="1"/>
    <col min="9229" max="9229" width="13.28515625" style="284" customWidth="1"/>
    <col min="9230" max="9470" width="10" style="284"/>
    <col min="9471" max="9471" width="9.7109375" style="284" bestFit="1" customWidth="1"/>
    <col min="9472" max="9472" width="40.140625" style="284" bestFit="1" customWidth="1"/>
    <col min="9473" max="9473" width="11.7109375" style="284" customWidth="1"/>
    <col min="9474" max="9484" width="9.85546875" style="284" customWidth="1"/>
    <col min="9485" max="9485" width="13.28515625" style="284" customWidth="1"/>
    <col min="9486" max="9726" width="10" style="284"/>
    <col min="9727" max="9727" width="9.7109375" style="284" bestFit="1" customWidth="1"/>
    <col min="9728" max="9728" width="40.140625" style="284" bestFit="1" customWidth="1"/>
    <col min="9729" max="9729" width="11.7109375" style="284" customWidth="1"/>
    <col min="9730" max="9740" width="9.85546875" style="284" customWidth="1"/>
    <col min="9741" max="9741" width="13.28515625" style="284" customWidth="1"/>
    <col min="9742" max="9982" width="10" style="284"/>
    <col min="9983" max="9983" width="9.7109375" style="284" bestFit="1" customWidth="1"/>
    <col min="9984" max="9984" width="40.140625" style="284" bestFit="1" customWidth="1"/>
    <col min="9985" max="9985" width="11.7109375" style="284" customWidth="1"/>
    <col min="9986" max="9996" width="9.85546875" style="284" customWidth="1"/>
    <col min="9997" max="9997" width="13.28515625" style="284" customWidth="1"/>
    <col min="9998" max="10238" width="10" style="284"/>
    <col min="10239" max="10239" width="9.7109375" style="284" bestFit="1" customWidth="1"/>
    <col min="10240" max="10240" width="40.140625" style="284" bestFit="1" customWidth="1"/>
    <col min="10241" max="10241" width="11.7109375" style="284" customWidth="1"/>
    <col min="10242" max="10252" width="9.85546875" style="284" customWidth="1"/>
    <col min="10253" max="10253" width="13.28515625" style="284" customWidth="1"/>
    <col min="10254" max="10494" width="10" style="284"/>
    <col min="10495" max="10495" width="9.7109375" style="284" bestFit="1" customWidth="1"/>
    <col min="10496" max="10496" width="40.140625" style="284" bestFit="1" customWidth="1"/>
    <col min="10497" max="10497" width="11.7109375" style="284" customWidth="1"/>
    <col min="10498" max="10508" width="9.85546875" style="284" customWidth="1"/>
    <col min="10509" max="10509" width="13.28515625" style="284" customWidth="1"/>
    <col min="10510" max="10750" width="10" style="284"/>
    <col min="10751" max="10751" width="9.7109375" style="284" bestFit="1" customWidth="1"/>
    <col min="10752" max="10752" width="40.140625" style="284" bestFit="1" customWidth="1"/>
    <col min="10753" max="10753" width="11.7109375" style="284" customWidth="1"/>
    <col min="10754" max="10764" width="9.85546875" style="284" customWidth="1"/>
    <col min="10765" max="10765" width="13.28515625" style="284" customWidth="1"/>
    <col min="10766" max="11006" width="10" style="284"/>
    <col min="11007" max="11007" width="9.7109375" style="284" bestFit="1" customWidth="1"/>
    <col min="11008" max="11008" width="40.140625" style="284" bestFit="1" customWidth="1"/>
    <col min="11009" max="11009" width="11.7109375" style="284" customWidth="1"/>
    <col min="11010" max="11020" width="9.85546875" style="284" customWidth="1"/>
    <col min="11021" max="11021" width="13.28515625" style="284" customWidth="1"/>
    <col min="11022" max="11262" width="10" style="284"/>
    <col min="11263" max="11263" width="9.7109375" style="284" bestFit="1" customWidth="1"/>
    <col min="11264" max="11264" width="40.140625" style="284" bestFit="1" customWidth="1"/>
    <col min="11265" max="11265" width="11.7109375" style="284" customWidth="1"/>
    <col min="11266" max="11276" width="9.85546875" style="284" customWidth="1"/>
    <col min="11277" max="11277" width="13.28515625" style="284" customWidth="1"/>
    <col min="11278" max="11518" width="10" style="284"/>
    <col min="11519" max="11519" width="9.7109375" style="284" bestFit="1" customWidth="1"/>
    <col min="11520" max="11520" width="40.140625" style="284" bestFit="1" customWidth="1"/>
    <col min="11521" max="11521" width="11.7109375" style="284" customWidth="1"/>
    <col min="11522" max="11532" width="9.85546875" style="284" customWidth="1"/>
    <col min="11533" max="11533" width="13.28515625" style="284" customWidth="1"/>
    <col min="11534" max="11774" width="10" style="284"/>
    <col min="11775" max="11775" width="9.7109375" style="284" bestFit="1" customWidth="1"/>
    <col min="11776" max="11776" width="40.140625" style="284" bestFit="1" customWidth="1"/>
    <col min="11777" max="11777" width="11.7109375" style="284" customWidth="1"/>
    <col min="11778" max="11788" width="9.85546875" style="284" customWidth="1"/>
    <col min="11789" max="11789" width="13.28515625" style="284" customWidth="1"/>
    <col min="11790" max="12030" width="10" style="284"/>
    <col min="12031" max="12031" width="9.7109375" style="284" bestFit="1" customWidth="1"/>
    <col min="12032" max="12032" width="40.140625" style="284" bestFit="1" customWidth="1"/>
    <col min="12033" max="12033" width="11.7109375" style="284" customWidth="1"/>
    <col min="12034" max="12044" width="9.85546875" style="284" customWidth="1"/>
    <col min="12045" max="12045" width="13.28515625" style="284" customWidth="1"/>
    <col min="12046" max="12286" width="10" style="284"/>
    <col min="12287" max="12287" width="9.7109375" style="284" bestFit="1" customWidth="1"/>
    <col min="12288" max="12288" width="40.140625" style="284" bestFit="1" customWidth="1"/>
    <col min="12289" max="12289" width="11.7109375" style="284" customWidth="1"/>
    <col min="12290" max="12300" width="9.85546875" style="284" customWidth="1"/>
    <col min="12301" max="12301" width="13.28515625" style="284" customWidth="1"/>
    <col min="12302" max="12542" width="10" style="284"/>
    <col min="12543" max="12543" width="9.7109375" style="284" bestFit="1" customWidth="1"/>
    <col min="12544" max="12544" width="40.140625" style="284" bestFit="1" customWidth="1"/>
    <col min="12545" max="12545" width="11.7109375" style="284" customWidth="1"/>
    <col min="12546" max="12556" width="9.85546875" style="284" customWidth="1"/>
    <col min="12557" max="12557" width="13.28515625" style="284" customWidth="1"/>
    <col min="12558" max="12798" width="10" style="284"/>
    <col min="12799" max="12799" width="9.7109375" style="284" bestFit="1" customWidth="1"/>
    <col min="12800" max="12800" width="40.140625" style="284" bestFit="1" customWidth="1"/>
    <col min="12801" max="12801" width="11.7109375" style="284" customWidth="1"/>
    <col min="12802" max="12812" width="9.85546875" style="284" customWidth="1"/>
    <col min="12813" max="12813" width="13.28515625" style="284" customWidth="1"/>
    <col min="12814" max="13054" width="10" style="284"/>
    <col min="13055" max="13055" width="9.7109375" style="284" bestFit="1" customWidth="1"/>
    <col min="13056" max="13056" width="40.140625" style="284" bestFit="1" customWidth="1"/>
    <col min="13057" max="13057" width="11.7109375" style="284" customWidth="1"/>
    <col min="13058" max="13068" width="9.85546875" style="284" customWidth="1"/>
    <col min="13069" max="13069" width="13.28515625" style="284" customWidth="1"/>
    <col min="13070" max="13310" width="10" style="284"/>
    <col min="13311" max="13311" width="9.7109375" style="284" bestFit="1" customWidth="1"/>
    <col min="13312" max="13312" width="40.140625" style="284" bestFit="1" customWidth="1"/>
    <col min="13313" max="13313" width="11.7109375" style="284" customWidth="1"/>
    <col min="13314" max="13324" width="9.85546875" style="284" customWidth="1"/>
    <col min="13325" max="13325" width="13.28515625" style="284" customWidth="1"/>
    <col min="13326" max="13566" width="10" style="284"/>
    <col min="13567" max="13567" width="9.7109375" style="284" bestFit="1" customWidth="1"/>
    <col min="13568" max="13568" width="40.140625" style="284" bestFit="1" customWidth="1"/>
    <col min="13569" max="13569" width="11.7109375" style="284" customWidth="1"/>
    <col min="13570" max="13580" width="9.85546875" style="284" customWidth="1"/>
    <col min="13581" max="13581" width="13.28515625" style="284" customWidth="1"/>
    <col min="13582" max="13822" width="10" style="284"/>
    <col min="13823" max="13823" width="9.7109375" style="284" bestFit="1" customWidth="1"/>
    <col min="13824" max="13824" width="40.140625" style="284" bestFit="1" customWidth="1"/>
    <col min="13825" max="13825" width="11.7109375" style="284" customWidth="1"/>
    <col min="13826" max="13836" width="9.85546875" style="284" customWidth="1"/>
    <col min="13837" max="13837" width="13.28515625" style="284" customWidth="1"/>
    <col min="13838" max="14078" width="10" style="284"/>
    <col min="14079" max="14079" width="9.7109375" style="284" bestFit="1" customWidth="1"/>
    <col min="14080" max="14080" width="40.140625" style="284" bestFit="1" customWidth="1"/>
    <col min="14081" max="14081" width="11.7109375" style="284" customWidth="1"/>
    <col min="14082" max="14092" width="9.85546875" style="284" customWidth="1"/>
    <col min="14093" max="14093" width="13.28515625" style="284" customWidth="1"/>
    <col min="14094" max="14334" width="10" style="284"/>
    <col min="14335" max="14335" width="9.7109375" style="284" bestFit="1" customWidth="1"/>
    <col min="14336" max="14336" width="40.140625" style="284" bestFit="1" customWidth="1"/>
    <col min="14337" max="14337" width="11.7109375" style="284" customWidth="1"/>
    <col min="14338" max="14348" width="9.85546875" style="284" customWidth="1"/>
    <col min="14349" max="14349" width="13.28515625" style="284" customWidth="1"/>
    <col min="14350" max="14590" width="10" style="284"/>
    <col min="14591" max="14591" width="9.7109375" style="284" bestFit="1" customWidth="1"/>
    <col min="14592" max="14592" width="40.140625" style="284" bestFit="1" customWidth="1"/>
    <col min="14593" max="14593" width="11.7109375" style="284" customWidth="1"/>
    <col min="14594" max="14604" width="9.85546875" style="284" customWidth="1"/>
    <col min="14605" max="14605" width="13.28515625" style="284" customWidth="1"/>
    <col min="14606" max="14846" width="10" style="284"/>
    <col min="14847" max="14847" width="9.7109375" style="284" bestFit="1" customWidth="1"/>
    <col min="14848" max="14848" width="40.140625" style="284" bestFit="1" customWidth="1"/>
    <col min="14849" max="14849" width="11.7109375" style="284" customWidth="1"/>
    <col min="14850" max="14860" width="9.85546875" style="284" customWidth="1"/>
    <col min="14861" max="14861" width="13.28515625" style="284" customWidth="1"/>
    <col min="14862" max="15102" width="10" style="284"/>
    <col min="15103" max="15103" width="9.7109375" style="284" bestFit="1" customWidth="1"/>
    <col min="15104" max="15104" width="40.140625" style="284" bestFit="1" customWidth="1"/>
    <col min="15105" max="15105" width="11.7109375" style="284" customWidth="1"/>
    <col min="15106" max="15116" width="9.85546875" style="284" customWidth="1"/>
    <col min="15117" max="15117" width="13.28515625" style="284" customWidth="1"/>
    <col min="15118" max="15358" width="10" style="284"/>
    <col min="15359" max="15359" width="9.7109375" style="284" bestFit="1" customWidth="1"/>
    <col min="15360" max="15360" width="40.140625" style="284" bestFit="1" customWidth="1"/>
    <col min="15361" max="15361" width="11.7109375" style="284" customWidth="1"/>
    <col min="15362" max="15372" width="9.85546875" style="284" customWidth="1"/>
    <col min="15373" max="15373" width="13.28515625" style="284" customWidth="1"/>
    <col min="15374" max="15614" width="10" style="284"/>
    <col min="15615" max="15615" width="9.7109375" style="284" bestFit="1" customWidth="1"/>
    <col min="15616" max="15616" width="40.140625" style="284" bestFit="1" customWidth="1"/>
    <col min="15617" max="15617" width="11.7109375" style="284" customWidth="1"/>
    <col min="15618" max="15628" width="9.85546875" style="284" customWidth="1"/>
    <col min="15629" max="15629" width="13.28515625" style="284" customWidth="1"/>
    <col min="15630" max="15870" width="10" style="284"/>
    <col min="15871" max="15871" width="9.7109375" style="284" bestFit="1" customWidth="1"/>
    <col min="15872" max="15872" width="40.140625" style="284" bestFit="1" customWidth="1"/>
    <col min="15873" max="15873" width="11.7109375" style="284" customWidth="1"/>
    <col min="15874" max="15884" width="9.85546875" style="284" customWidth="1"/>
    <col min="15885" max="15885" width="13.28515625" style="284" customWidth="1"/>
    <col min="15886" max="16126" width="10" style="284"/>
    <col min="16127" max="16127" width="9.7109375" style="284" bestFit="1" customWidth="1"/>
    <col min="16128" max="16128" width="40.140625" style="284" bestFit="1" customWidth="1"/>
    <col min="16129" max="16129" width="11.7109375" style="284" customWidth="1"/>
    <col min="16130" max="16140" width="9.85546875" style="284" customWidth="1"/>
    <col min="16141" max="16141" width="13.28515625" style="284" customWidth="1"/>
    <col min="16142" max="16384" width="10" style="284"/>
  </cols>
  <sheetData>
    <row r="1" spans="1:15" s="280" customFormat="1" ht="30" customHeight="1" x14ac:dyDescent="0.2">
      <c r="B1" s="1198" t="s">
        <v>208</v>
      </c>
      <c r="C1" s="1199"/>
      <c r="D1" s="1199"/>
      <c r="E1" s="1199"/>
      <c r="F1" s="1199"/>
      <c r="G1" s="1199"/>
      <c r="H1" s="1199"/>
      <c r="I1" s="1199"/>
      <c r="J1" s="1199"/>
      <c r="K1" s="1199"/>
      <c r="L1" s="1199"/>
      <c r="M1" s="1199"/>
      <c r="N1" s="1199"/>
    </row>
    <row r="2" spans="1:15" s="280" customFormat="1" ht="30" customHeight="1" x14ac:dyDescent="0.2">
      <c r="A2" s="281"/>
      <c r="B2" s="1201"/>
      <c r="C2" s="1202"/>
      <c r="D2" s="1202"/>
      <c r="E2" s="1202"/>
      <c r="F2" s="1202"/>
      <c r="G2" s="1202"/>
      <c r="H2" s="1202"/>
      <c r="I2" s="1202"/>
      <c r="J2" s="1202"/>
      <c r="K2" s="1202"/>
      <c r="L2" s="1202"/>
      <c r="M2" s="1202"/>
      <c r="N2" s="1202"/>
    </row>
    <row r="3" spans="1:15" ht="15.75" thickBot="1" x14ac:dyDescent="0.3">
      <c r="A3" s="282"/>
    </row>
    <row r="4" spans="1:15" x14ac:dyDescent="0.25">
      <c r="A4" s="287"/>
      <c r="B4" s="287"/>
      <c r="C4" s="287"/>
      <c r="D4" s="287"/>
      <c r="E4" s="288"/>
      <c r="F4" s="288"/>
      <c r="G4" s="288"/>
      <c r="H4" s="288"/>
      <c r="I4" s="288"/>
      <c r="J4" s="288"/>
      <c r="K4" s="288"/>
      <c r="L4" s="288"/>
      <c r="M4" s="288"/>
      <c r="N4" s="347"/>
    </row>
    <row r="5" spans="1:15" x14ac:dyDescent="0.25">
      <c r="A5" s="282"/>
      <c r="N5" s="348">
        <v>2018</v>
      </c>
    </row>
    <row r="6" spans="1:15" ht="15.75" thickBot="1" x14ac:dyDescent="0.3">
      <c r="A6" s="282" t="s">
        <v>209</v>
      </c>
      <c r="B6" s="289"/>
      <c r="N6" s="349"/>
    </row>
    <row r="7" spans="1:15" ht="15.75" thickBot="1" x14ac:dyDescent="0.3"/>
    <row r="8" spans="1:15" ht="12.75" customHeight="1" x14ac:dyDescent="0.25">
      <c r="A8" s="1394" t="s">
        <v>210</v>
      </c>
      <c r="B8" s="1395"/>
      <c r="C8" s="1398" t="s">
        <v>211</v>
      </c>
      <c r="D8" s="1398" t="s">
        <v>212</v>
      </c>
      <c r="E8" s="1400" t="s">
        <v>213</v>
      </c>
      <c r="F8" s="1400" t="s">
        <v>214</v>
      </c>
      <c r="G8" s="1400" t="s">
        <v>215</v>
      </c>
      <c r="H8" s="1400" t="s">
        <v>216</v>
      </c>
      <c r="I8" s="1400" t="s">
        <v>217</v>
      </c>
      <c r="J8" s="1400" t="s">
        <v>218</v>
      </c>
      <c r="K8" s="1400" t="s">
        <v>219</v>
      </c>
      <c r="L8" s="1400" t="s">
        <v>220</v>
      </c>
      <c r="M8" s="1400" t="s">
        <v>221</v>
      </c>
      <c r="N8" s="1402" t="s">
        <v>222</v>
      </c>
      <c r="O8" s="1392" t="s">
        <v>377</v>
      </c>
    </row>
    <row r="9" spans="1:15" hidden="1" x14ac:dyDescent="0.25">
      <c r="A9" s="1396"/>
      <c r="B9" s="1397"/>
      <c r="C9" s="1399"/>
      <c r="D9" s="1399"/>
      <c r="E9" s="1401"/>
      <c r="F9" s="1401"/>
      <c r="G9" s="1401"/>
      <c r="H9" s="1401"/>
      <c r="I9" s="1401"/>
      <c r="J9" s="1401"/>
      <c r="K9" s="1401"/>
      <c r="L9" s="1401"/>
      <c r="M9" s="1401"/>
      <c r="N9" s="1403"/>
      <c r="O9" s="1393"/>
    </row>
    <row r="10" spans="1:15" s="294" customFormat="1" ht="13.5" hidden="1" customHeight="1" x14ac:dyDescent="0.2">
      <c r="A10" s="290" t="s">
        <v>223</v>
      </c>
      <c r="B10" s="291" t="s">
        <v>224</v>
      </c>
      <c r="C10" s="292">
        <f t="shared" ref="C10:M10" si="0">C11+C24+C27</f>
        <v>38523.25</v>
      </c>
      <c r="D10" s="292">
        <f t="shared" si="0"/>
        <v>156879.26</v>
      </c>
      <c r="E10" s="293">
        <f t="shared" si="0"/>
        <v>228391.53</v>
      </c>
      <c r="F10" s="293">
        <f t="shared" si="0"/>
        <v>289607.34000000003</v>
      </c>
      <c r="G10" s="293">
        <f t="shared" si="0"/>
        <v>247695.88</v>
      </c>
      <c r="H10" s="293">
        <f t="shared" si="0"/>
        <v>259140.81</v>
      </c>
      <c r="I10" s="293">
        <f t="shared" si="0"/>
        <v>260578.57</v>
      </c>
      <c r="J10" s="293">
        <f t="shared" si="0"/>
        <v>226574.97</v>
      </c>
      <c r="K10" s="293">
        <f t="shared" si="0"/>
        <v>185639.72</v>
      </c>
      <c r="L10" s="293">
        <f t="shared" si="0"/>
        <v>292002.34999999998</v>
      </c>
      <c r="M10" s="293">
        <f t="shared" si="0"/>
        <v>124955.55</v>
      </c>
      <c r="N10" s="326">
        <f t="shared" ref="N10" si="1">N11+N24+N27</f>
        <v>268568.5</v>
      </c>
      <c r="O10" s="336">
        <f>SUM(C10:N10)</f>
        <v>2578557.73</v>
      </c>
    </row>
    <row r="11" spans="1:15" s="294" customFormat="1" ht="13.5" hidden="1" customHeight="1" x14ac:dyDescent="0.2">
      <c r="A11" s="295" t="s">
        <v>225</v>
      </c>
      <c r="B11" s="296" t="s">
        <v>226</v>
      </c>
      <c r="C11" s="297">
        <f t="shared" ref="C11:M11" si="2">C12+C17+C20+C22</f>
        <v>38523.25</v>
      </c>
      <c r="D11" s="297">
        <f t="shared" si="2"/>
        <v>156879.26</v>
      </c>
      <c r="E11" s="298">
        <f t="shared" si="2"/>
        <v>228391.53</v>
      </c>
      <c r="F11" s="298">
        <f t="shared" si="2"/>
        <v>289607.34000000003</v>
      </c>
      <c r="G11" s="298">
        <f t="shared" si="2"/>
        <v>247695.88</v>
      </c>
      <c r="H11" s="298">
        <f t="shared" si="2"/>
        <v>259140.81</v>
      </c>
      <c r="I11" s="298">
        <f t="shared" si="2"/>
        <v>260578.57</v>
      </c>
      <c r="J11" s="298">
        <f t="shared" si="2"/>
        <v>226574.97</v>
      </c>
      <c r="K11" s="298">
        <f t="shared" si="2"/>
        <v>185639.72</v>
      </c>
      <c r="L11" s="298">
        <f t="shared" si="2"/>
        <v>292002.34999999998</v>
      </c>
      <c r="M11" s="298">
        <f t="shared" si="2"/>
        <v>124955.55</v>
      </c>
      <c r="N11" s="327">
        <f t="shared" ref="N11" si="3">N12+N17+N20+N22</f>
        <v>268568.5</v>
      </c>
      <c r="O11" s="337">
        <f t="shared" ref="O11:O74" si="4">SUM(C11:N11)</f>
        <v>2578557.73</v>
      </c>
    </row>
    <row r="12" spans="1:15" s="294" customFormat="1" ht="13.5" customHeight="1" x14ac:dyDescent="0.2">
      <c r="A12" s="300" t="s">
        <v>227</v>
      </c>
      <c r="B12" s="301" t="s">
        <v>228</v>
      </c>
      <c r="C12" s="302">
        <f t="shared" ref="C12:M12" si="5">C13+C14+C15+C16</f>
        <v>0</v>
      </c>
      <c r="D12" s="302">
        <f t="shared" si="5"/>
        <v>0</v>
      </c>
      <c r="E12" s="303">
        <f t="shared" si="5"/>
        <v>0</v>
      </c>
      <c r="F12" s="303">
        <f t="shared" si="5"/>
        <v>0</v>
      </c>
      <c r="G12" s="303">
        <f t="shared" si="5"/>
        <v>0</v>
      </c>
      <c r="H12" s="303">
        <f t="shared" si="5"/>
        <v>0</v>
      </c>
      <c r="I12" s="303">
        <f t="shared" si="5"/>
        <v>0</v>
      </c>
      <c r="J12" s="303">
        <f t="shared" si="5"/>
        <v>0</v>
      </c>
      <c r="K12" s="303">
        <f t="shared" si="5"/>
        <v>0</v>
      </c>
      <c r="L12" s="303">
        <f t="shared" si="5"/>
        <v>0</v>
      </c>
      <c r="M12" s="303">
        <f t="shared" si="5"/>
        <v>0</v>
      </c>
      <c r="N12" s="328">
        <f t="shared" ref="N12" si="6">N13</f>
        <v>0</v>
      </c>
      <c r="O12" s="338">
        <f t="shared" si="4"/>
        <v>0</v>
      </c>
    </row>
    <row r="13" spans="1:15" s="309" customFormat="1" ht="13.5" customHeight="1" x14ac:dyDescent="0.2">
      <c r="A13" s="305" t="s">
        <v>229</v>
      </c>
      <c r="B13" s="306" t="s">
        <v>230</v>
      </c>
      <c r="C13" s="307">
        <v>0</v>
      </c>
      <c r="D13" s="307">
        <v>0</v>
      </c>
      <c r="E13" s="308">
        <v>0</v>
      </c>
      <c r="F13" s="308">
        <v>0</v>
      </c>
      <c r="G13" s="308">
        <v>0</v>
      </c>
      <c r="H13" s="308">
        <v>0</v>
      </c>
      <c r="I13" s="308">
        <v>0</v>
      </c>
      <c r="J13" s="308">
        <v>0</v>
      </c>
      <c r="K13" s="308">
        <v>0</v>
      </c>
      <c r="L13" s="308">
        <v>0</v>
      </c>
      <c r="M13" s="308">
        <v>0</v>
      </c>
      <c r="N13" s="329">
        <v>0</v>
      </c>
      <c r="O13" s="339">
        <f t="shared" si="4"/>
        <v>0</v>
      </c>
    </row>
    <row r="14" spans="1:15" s="309" customFormat="1" ht="13.5" customHeight="1" x14ac:dyDescent="0.2">
      <c r="A14" s="305" t="s">
        <v>231</v>
      </c>
      <c r="B14" s="306" t="s">
        <v>232</v>
      </c>
      <c r="C14" s="307">
        <v>0</v>
      </c>
      <c r="D14" s="307">
        <v>0</v>
      </c>
      <c r="E14" s="308">
        <v>0</v>
      </c>
      <c r="F14" s="308">
        <v>0</v>
      </c>
      <c r="G14" s="308">
        <v>0</v>
      </c>
      <c r="H14" s="308">
        <v>0</v>
      </c>
      <c r="I14" s="308">
        <v>0</v>
      </c>
      <c r="J14" s="308">
        <v>0</v>
      </c>
      <c r="K14" s="308">
        <v>0</v>
      </c>
      <c r="L14" s="308">
        <v>0</v>
      </c>
      <c r="M14" s="308">
        <v>0</v>
      </c>
      <c r="N14" s="329">
        <v>0</v>
      </c>
      <c r="O14" s="339">
        <f t="shared" si="4"/>
        <v>0</v>
      </c>
    </row>
    <row r="15" spans="1:15" s="309" customFormat="1" ht="13.5" customHeight="1" x14ac:dyDescent="0.2">
      <c r="A15" s="305" t="s">
        <v>233</v>
      </c>
      <c r="B15" s="306" t="s">
        <v>234</v>
      </c>
      <c r="C15" s="310">
        <v>0</v>
      </c>
      <c r="D15" s="310">
        <v>0</v>
      </c>
      <c r="E15" s="311">
        <v>0</v>
      </c>
      <c r="F15" s="311">
        <v>0</v>
      </c>
      <c r="G15" s="311">
        <v>0</v>
      </c>
      <c r="H15" s="311">
        <v>0</v>
      </c>
      <c r="I15" s="311">
        <v>0</v>
      </c>
      <c r="J15" s="311">
        <v>0</v>
      </c>
      <c r="K15" s="311">
        <v>0</v>
      </c>
      <c r="L15" s="311">
        <v>0</v>
      </c>
      <c r="M15" s="311">
        <v>0</v>
      </c>
      <c r="N15" s="330">
        <v>0</v>
      </c>
      <c r="O15" s="340">
        <f t="shared" si="4"/>
        <v>0</v>
      </c>
    </row>
    <row r="16" spans="1:15" s="294" customFormat="1" ht="13.5" customHeight="1" x14ac:dyDescent="0.2">
      <c r="A16" s="305" t="s">
        <v>235</v>
      </c>
      <c r="B16" s="306" t="s">
        <v>236</v>
      </c>
      <c r="C16" s="307">
        <v>0</v>
      </c>
      <c r="D16" s="307">
        <v>0</v>
      </c>
      <c r="E16" s="308">
        <v>0</v>
      </c>
      <c r="F16" s="308">
        <v>0</v>
      </c>
      <c r="G16" s="308">
        <v>0</v>
      </c>
      <c r="H16" s="308">
        <v>0</v>
      </c>
      <c r="I16" s="308">
        <v>0</v>
      </c>
      <c r="J16" s="308">
        <v>0</v>
      </c>
      <c r="K16" s="308">
        <v>0</v>
      </c>
      <c r="L16" s="308">
        <v>0</v>
      </c>
      <c r="M16" s="308">
        <v>0</v>
      </c>
      <c r="N16" s="329">
        <v>0</v>
      </c>
      <c r="O16" s="339">
        <f t="shared" si="4"/>
        <v>0</v>
      </c>
    </row>
    <row r="17" spans="1:15" s="294" customFormat="1" ht="13.5" customHeight="1" x14ac:dyDescent="0.2">
      <c r="A17" s="300" t="s">
        <v>237</v>
      </c>
      <c r="B17" s="301" t="s">
        <v>238</v>
      </c>
      <c r="C17" s="302">
        <f t="shared" ref="C17:M17" si="7">C18+C19</f>
        <v>0</v>
      </c>
      <c r="D17" s="302">
        <f t="shared" si="7"/>
        <v>0</v>
      </c>
      <c r="E17" s="303">
        <f t="shared" si="7"/>
        <v>0</v>
      </c>
      <c r="F17" s="303">
        <f t="shared" si="7"/>
        <v>0</v>
      </c>
      <c r="G17" s="303">
        <f t="shared" si="7"/>
        <v>0</v>
      </c>
      <c r="H17" s="303">
        <f t="shared" si="7"/>
        <v>0</v>
      </c>
      <c r="I17" s="303">
        <f t="shared" si="7"/>
        <v>0</v>
      </c>
      <c r="J17" s="303">
        <f t="shared" si="7"/>
        <v>0</v>
      </c>
      <c r="K17" s="303">
        <f t="shared" si="7"/>
        <v>0</v>
      </c>
      <c r="L17" s="303">
        <f t="shared" si="7"/>
        <v>0</v>
      </c>
      <c r="M17" s="303">
        <f t="shared" si="7"/>
        <v>0</v>
      </c>
      <c r="N17" s="328">
        <f t="shared" ref="N17" si="8">N18+N19</f>
        <v>0</v>
      </c>
      <c r="O17" s="338">
        <f t="shared" si="4"/>
        <v>0</v>
      </c>
    </row>
    <row r="18" spans="1:15" s="294" customFormat="1" ht="13.5" customHeight="1" x14ac:dyDescent="0.2">
      <c r="A18" s="305" t="s">
        <v>239</v>
      </c>
      <c r="B18" s="306" t="s">
        <v>240</v>
      </c>
      <c r="C18" s="307">
        <v>0</v>
      </c>
      <c r="D18" s="307">
        <v>0</v>
      </c>
      <c r="E18" s="308">
        <v>0</v>
      </c>
      <c r="F18" s="308">
        <v>0</v>
      </c>
      <c r="G18" s="308">
        <v>0</v>
      </c>
      <c r="H18" s="308">
        <v>0</v>
      </c>
      <c r="I18" s="308">
        <v>0</v>
      </c>
      <c r="J18" s="308">
        <v>0</v>
      </c>
      <c r="K18" s="308">
        <v>0</v>
      </c>
      <c r="L18" s="308">
        <v>0</v>
      </c>
      <c r="M18" s="308">
        <v>0</v>
      </c>
      <c r="N18" s="329">
        <v>0</v>
      </c>
      <c r="O18" s="339">
        <f t="shared" si="4"/>
        <v>0</v>
      </c>
    </row>
    <row r="19" spans="1:15" s="294" customFormat="1" ht="13.5" customHeight="1" x14ac:dyDescent="0.2">
      <c r="A19" s="305" t="s">
        <v>241</v>
      </c>
      <c r="B19" s="306" t="s">
        <v>242</v>
      </c>
      <c r="C19" s="307">
        <v>0</v>
      </c>
      <c r="D19" s="307">
        <v>0</v>
      </c>
      <c r="E19" s="308">
        <v>0</v>
      </c>
      <c r="F19" s="308">
        <v>0</v>
      </c>
      <c r="G19" s="308">
        <v>0</v>
      </c>
      <c r="H19" s="308">
        <v>0</v>
      </c>
      <c r="I19" s="308">
        <v>0</v>
      </c>
      <c r="J19" s="308">
        <v>0</v>
      </c>
      <c r="K19" s="308">
        <v>0</v>
      </c>
      <c r="L19" s="308">
        <v>0</v>
      </c>
      <c r="M19" s="308">
        <v>0</v>
      </c>
      <c r="N19" s="329">
        <v>0</v>
      </c>
      <c r="O19" s="339">
        <f t="shared" si="4"/>
        <v>0</v>
      </c>
    </row>
    <row r="20" spans="1:15" s="294" customFormat="1" ht="13.5" hidden="1" customHeight="1" x14ac:dyDescent="0.2">
      <c r="A20" s="300" t="s">
        <v>243</v>
      </c>
      <c r="B20" s="301" t="s">
        <v>244</v>
      </c>
      <c r="C20" s="302">
        <f t="shared" ref="C20:M20" si="9">C21</f>
        <v>38523.25</v>
      </c>
      <c r="D20" s="302">
        <f t="shared" si="9"/>
        <v>156879.26</v>
      </c>
      <c r="E20" s="303">
        <f t="shared" si="9"/>
        <v>228391.53</v>
      </c>
      <c r="F20" s="303">
        <f t="shared" si="9"/>
        <v>289607.34000000003</v>
      </c>
      <c r="G20" s="303">
        <f t="shared" si="9"/>
        <v>247695.88</v>
      </c>
      <c r="H20" s="303">
        <f t="shared" si="9"/>
        <v>259140.81</v>
      </c>
      <c r="I20" s="303">
        <f t="shared" si="9"/>
        <v>260578.57</v>
      </c>
      <c r="J20" s="303">
        <f t="shared" si="9"/>
        <v>226574.97</v>
      </c>
      <c r="K20" s="303">
        <f t="shared" si="9"/>
        <v>185639.72</v>
      </c>
      <c r="L20" s="303">
        <f t="shared" si="9"/>
        <v>292002.34999999998</v>
      </c>
      <c r="M20" s="303">
        <f t="shared" si="9"/>
        <v>124955.55</v>
      </c>
      <c r="N20" s="328">
        <f t="shared" ref="N20" si="10">N21</f>
        <v>265318.5</v>
      </c>
      <c r="O20" s="338">
        <f t="shared" si="4"/>
        <v>2575307.73</v>
      </c>
    </row>
    <row r="21" spans="1:15" s="294" customFormat="1" ht="13.5" hidden="1" customHeight="1" x14ac:dyDescent="0.2">
      <c r="A21" s="305" t="s">
        <v>245</v>
      </c>
      <c r="B21" s="306" t="s">
        <v>246</v>
      </c>
      <c r="C21" s="307">
        <v>38523.25</v>
      </c>
      <c r="D21" s="307">
        <v>156879.26</v>
      </c>
      <c r="E21" s="308">
        <v>228391.53</v>
      </c>
      <c r="F21" s="308">
        <v>289607.34000000003</v>
      </c>
      <c r="G21" s="308">
        <v>247695.88</v>
      </c>
      <c r="H21" s="308">
        <v>259140.81</v>
      </c>
      <c r="I21" s="308">
        <v>260578.57</v>
      </c>
      <c r="J21" s="308">
        <v>226574.97</v>
      </c>
      <c r="K21" s="308">
        <v>185639.72</v>
      </c>
      <c r="L21" s="308">
        <v>292002.34999999998</v>
      </c>
      <c r="M21" s="308">
        <v>124955.55</v>
      </c>
      <c r="N21" s="329">
        <v>265318.5</v>
      </c>
      <c r="O21" s="339">
        <f t="shared" si="4"/>
        <v>2575307.73</v>
      </c>
    </row>
    <row r="22" spans="1:15" s="294" customFormat="1" ht="13.5" hidden="1" customHeight="1" x14ac:dyDescent="0.2">
      <c r="A22" s="300" t="s">
        <v>247</v>
      </c>
      <c r="B22" s="301" t="s">
        <v>248</v>
      </c>
      <c r="C22" s="302">
        <f t="shared" ref="C22:M22" si="11">C23</f>
        <v>0</v>
      </c>
      <c r="D22" s="302">
        <f t="shared" si="11"/>
        <v>0</v>
      </c>
      <c r="E22" s="303">
        <f t="shared" si="11"/>
        <v>0</v>
      </c>
      <c r="F22" s="303">
        <f t="shared" si="11"/>
        <v>0</v>
      </c>
      <c r="G22" s="303">
        <f t="shared" si="11"/>
        <v>0</v>
      </c>
      <c r="H22" s="303">
        <f t="shared" si="11"/>
        <v>0</v>
      </c>
      <c r="I22" s="303">
        <f t="shared" si="11"/>
        <v>0</v>
      </c>
      <c r="J22" s="303">
        <f t="shared" si="11"/>
        <v>0</v>
      </c>
      <c r="K22" s="303">
        <f t="shared" si="11"/>
        <v>0</v>
      </c>
      <c r="L22" s="303">
        <f t="shared" si="11"/>
        <v>0</v>
      </c>
      <c r="M22" s="303">
        <f t="shared" si="11"/>
        <v>0</v>
      </c>
      <c r="N22" s="328">
        <f t="shared" ref="N22" si="12">N23</f>
        <v>3250</v>
      </c>
      <c r="O22" s="338">
        <f t="shared" si="4"/>
        <v>3250</v>
      </c>
    </row>
    <row r="23" spans="1:15" s="294" customFormat="1" ht="13.5" hidden="1" customHeight="1" x14ac:dyDescent="0.2">
      <c r="A23" s="305" t="s">
        <v>249</v>
      </c>
      <c r="B23" s="306" t="s">
        <v>250</v>
      </c>
      <c r="C23" s="307">
        <v>0</v>
      </c>
      <c r="D23" s="307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29">
        <v>3250</v>
      </c>
      <c r="O23" s="339">
        <f t="shared" si="4"/>
        <v>3250</v>
      </c>
    </row>
    <row r="24" spans="1:15" s="294" customFormat="1" ht="13.5" customHeight="1" x14ac:dyDescent="0.2">
      <c r="A24" s="295" t="s">
        <v>251</v>
      </c>
      <c r="B24" s="296" t="s">
        <v>252</v>
      </c>
      <c r="C24" s="297">
        <f t="shared" ref="C24:M25" si="13">C25</f>
        <v>0</v>
      </c>
      <c r="D24" s="297">
        <f t="shared" si="13"/>
        <v>0</v>
      </c>
      <c r="E24" s="298">
        <f t="shared" si="13"/>
        <v>0</v>
      </c>
      <c r="F24" s="298">
        <f t="shared" si="13"/>
        <v>0</v>
      </c>
      <c r="G24" s="298">
        <f t="shared" si="13"/>
        <v>0</v>
      </c>
      <c r="H24" s="298">
        <f t="shared" si="13"/>
        <v>0</v>
      </c>
      <c r="I24" s="298">
        <f t="shared" si="13"/>
        <v>0</v>
      </c>
      <c r="J24" s="298">
        <f t="shared" si="13"/>
        <v>0</v>
      </c>
      <c r="K24" s="298">
        <f t="shared" si="13"/>
        <v>0</v>
      </c>
      <c r="L24" s="298">
        <f t="shared" si="13"/>
        <v>0</v>
      </c>
      <c r="M24" s="298">
        <f t="shared" si="13"/>
        <v>0</v>
      </c>
      <c r="N24" s="327">
        <f t="shared" ref="N24:N25" si="14">N25</f>
        <v>0</v>
      </c>
      <c r="O24" s="337">
        <f t="shared" si="4"/>
        <v>0</v>
      </c>
    </row>
    <row r="25" spans="1:15" s="294" customFormat="1" ht="13.5" customHeight="1" x14ac:dyDescent="0.2">
      <c r="A25" s="300" t="s">
        <v>253</v>
      </c>
      <c r="B25" s="301" t="s">
        <v>254</v>
      </c>
      <c r="C25" s="302">
        <f t="shared" si="13"/>
        <v>0</v>
      </c>
      <c r="D25" s="302">
        <f t="shared" si="13"/>
        <v>0</v>
      </c>
      <c r="E25" s="303">
        <f t="shared" si="13"/>
        <v>0</v>
      </c>
      <c r="F25" s="303">
        <f t="shared" si="13"/>
        <v>0</v>
      </c>
      <c r="G25" s="303">
        <f t="shared" si="13"/>
        <v>0</v>
      </c>
      <c r="H25" s="303">
        <f t="shared" si="13"/>
        <v>0</v>
      </c>
      <c r="I25" s="303">
        <f t="shared" si="13"/>
        <v>0</v>
      </c>
      <c r="J25" s="303">
        <f t="shared" si="13"/>
        <v>0</v>
      </c>
      <c r="K25" s="303">
        <f t="shared" si="13"/>
        <v>0</v>
      </c>
      <c r="L25" s="303">
        <f t="shared" si="13"/>
        <v>0</v>
      </c>
      <c r="M25" s="303">
        <f t="shared" si="13"/>
        <v>0</v>
      </c>
      <c r="N25" s="328">
        <f t="shared" si="14"/>
        <v>0</v>
      </c>
      <c r="O25" s="338">
        <f t="shared" si="4"/>
        <v>0</v>
      </c>
    </row>
    <row r="26" spans="1:15" s="294" customFormat="1" ht="13.5" customHeight="1" x14ac:dyDescent="0.2">
      <c r="A26" s="305" t="s">
        <v>255</v>
      </c>
      <c r="B26" s="306" t="s">
        <v>256</v>
      </c>
      <c r="C26" s="307">
        <v>0</v>
      </c>
      <c r="D26" s="307">
        <v>0</v>
      </c>
      <c r="E26" s="308">
        <v>0</v>
      </c>
      <c r="F26" s="308">
        <v>0</v>
      </c>
      <c r="G26" s="308">
        <v>0</v>
      </c>
      <c r="H26" s="308">
        <v>0</v>
      </c>
      <c r="I26" s="308">
        <v>0</v>
      </c>
      <c r="J26" s="308">
        <v>0</v>
      </c>
      <c r="K26" s="308">
        <v>0</v>
      </c>
      <c r="L26" s="308">
        <v>0</v>
      </c>
      <c r="M26" s="308">
        <v>0</v>
      </c>
      <c r="N26" s="329">
        <v>0</v>
      </c>
      <c r="O26" s="339">
        <f t="shared" si="4"/>
        <v>0</v>
      </c>
    </row>
    <row r="27" spans="1:15" s="294" customFormat="1" ht="13.5" customHeight="1" x14ac:dyDescent="0.2">
      <c r="A27" s="295" t="s">
        <v>257</v>
      </c>
      <c r="B27" s="296" t="s">
        <v>258</v>
      </c>
      <c r="C27" s="297">
        <f t="shared" ref="C27:M27" si="15">C28+C31</f>
        <v>0</v>
      </c>
      <c r="D27" s="297">
        <f t="shared" si="15"/>
        <v>0</v>
      </c>
      <c r="E27" s="298">
        <f t="shared" si="15"/>
        <v>0</v>
      </c>
      <c r="F27" s="298">
        <f t="shared" si="15"/>
        <v>0</v>
      </c>
      <c r="G27" s="298">
        <f t="shared" si="15"/>
        <v>0</v>
      </c>
      <c r="H27" s="298">
        <f t="shared" si="15"/>
        <v>0</v>
      </c>
      <c r="I27" s="298">
        <f t="shared" si="15"/>
        <v>0</v>
      </c>
      <c r="J27" s="298">
        <f t="shared" si="15"/>
        <v>0</v>
      </c>
      <c r="K27" s="298">
        <f t="shared" si="15"/>
        <v>0</v>
      </c>
      <c r="L27" s="298">
        <f t="shared" si="15"/>
        <v>0</v>
      </c>
      <c r="M27" s="298">
        <f t="shared" si="15"/>
        <v>0</v>
      </c>
      <c r="N27" s="327">
        <f t="shared" ref="N27" si="16">N28+N31</f>
        <v>0</v>
      </c>
      <c r="O27" s="337">
        <f t="shared" si="4"/>
        <v>0</v>
      </c>
    </row>
    <row r="28" spans="1:15" s="294" customFormat="1" ht="13.5" customHeight="1" x14ac:dyDescent="0.2">
      <c r="A28" s="300" t="s">
        <v>259</v>
      </c>
      <c r="B28" s="301" t="s">
        <v>260</v>
      </c>
      <c r="C28" s="302">
        <f t="shared" ref="C28:M28" si="17">C29+C30</f>
        <v>0</v>
      </c>
      <c r="D28" s="302">
        <f t="shared" si="17"/>
        <v>0</v>
      </c>
      <c r="E28" s="303">
        <f t="shared" si="17"/>
        <v>0</v>
      </c>
      <c r="F28" s="303">
        <f t="shared" si="17"/>
        <v>0</v>
      </c>
      <c r="G28" s="303">
        <f t="shared" si="17"/>
        <v>0</v>
      </c>
      <c r="H28" s="303">
        <f t="shared" si="17"/>
        <v>0</v>
      </c>
      <c r="I28" s="303">
        <f t="shared" si="17"/>
        <v>0</v>
      </c>
      <c r="J28" s="303">
        <f t="shared" si="17"/>
        <v>0</v>
      </c>
      <c r="K28" s="303">
        <f t="shared" si="17"/>
        <v>0</v>
      </c>
      <c r="L28" s="303">
        <f t="shared" si="17"/>
        <v>0</v>
      </c>
      <c r="M28" s="303">
        <f t="shared" si="17"/>
        <v>0</v>
      </c>
      <c r="N28" s="328">
        <f t="shared" ref="N28" si="18">N29+N30</f>
        <v>0</v>
      </c>
      <c r="O28" s="338">
        <f t="shared" si="4"/>
        <v>0</v>
      </c>
    </row>
    <row r="29" spans="1:15" s="309" customFormat="1" ht="13.5" customHeight="1" x14ac:dyDescent="0.2">
      <c r="A29" s="305" t="s">
        <v>261</v>
      </c>
      <c r="B29" s="306" t="s">
        <v>262</v>
      </c>
      <c r="C29" s="307">
        <v>0</v>
      </c>
      <c r="D29" s="307">
        <v>0</v>
      </c>
      <c r="E29" s="308">
        <v>0</v>
      </c>
      <c r="F29" s="308">
        <v>0</v>
      </c>
      <c r="G29" s="308">
        <v>0</v>
      </c>
      <c r="H29" s="308">
        <v>0</v>
      </c>
      <c r="I29" s="308">
        <v>0</v>
      </c>
      <c r="J29" s="308">
        <v>0</v>
      </c>
      <c r="K29" s="308">
        <v>0</v>
      </c>
      <c r="L29" s="308">
        <v>0</v>
      </c>
      <c r="M29" s="308">
        <v>0</v>
      </c>
      <c r="N29" s="329">
        <v>0</v>
      </c>
      <c r="O29" s="339">
        <f t="shared" si="4"/>
        <v>0</v>
      </c>
    </row>
    <row r="30" spans="1:15" s="294" customFormat="1" ht="13.5" customHeight="1" x14ac:dyDescent="0.2">
      <c r="A30" s="305" t="s">
        <v>263</v>
      </c>
      <c r="B30" s="306" t="s">
        <v>264</v>
      </c>
      <c r="C30" s="307">
        <v>0</v>
      </c>
      <c r="D30" s="307">
        <v>0</v>
      </c>
      <c r="E30" s="308">
        <v>0</v>
      </c>
      <c r="F30" s="308">
        <v>0</v>
      </c>
      <c r="G30" s="308">
        <v>0</v>
      </c>
      <c r="H30" s="308">
        <v>0</v>
      </c>
      <c r="I30" s="308">
        <v>0</v>
      </c>
      <c r="J30" s="308">
        <v>0</v>
      </c>
      <c r="K30" s="308">
        <v>0</v>
      </c>
      <c r="L30" s="308">
        <v>0</v>
      </c>
      <c r="M30" s="308">
        <v>0</v>
      </c>
      <c r="N30" s="329">
        <v>0</v>
      </c>
      <c r="O30" s="339">
        <f t="shared" si="4"/>
        <v>0</v>
      </c>
    </row>
    <row r="31" spans="1:15" s="294" customFormat="1" ht="13.5" customHeight="1" x14ac:dyDescent="0.2">
      <c r="A31" s="300" t="s">
        <v>265</v>
      </c>
      <c r="B31" s="301" t="s">
        <v>266</v>
      </c>
      <c r="C31" s="302">
        <f t="shared" ref="C31:M31" si="19">C32</f>
        <v>0</v>
      </c>
      <c r="D31" s="302">
        <f t="shared" si="19"/>
        <v>0</v>
      </c>
      <c r="E31" s="303">
        <f t="shared" si="19"/>
        <v>0</v>
      </c>
      <c r="F31" s="303">
        <f t="shared" si="19"/>
        <v>0</v>
      </c>
      <c r="G31" s="303">
        <f t="shared" si="19"/>
        <v>0</v>
      </c>
      <c r="H31" s="303">
        <f t="shared" si="19"/>
        <v>0</v>
      </c>
      <c r="I31" s="303">
        <f t="shared" si="19"/>
        <v>0</v>
      </c>
      <c r="J31" s="303">
        <f t="shared" si="19"/>
        <v>0</v>
      </c>
      <c r="K31" s="303">
        <f t="shared" si="19"/>
        <v>0</v>
      </c>
      <c r="L31" s="303">
        <f t="shared" si="19"/>
        <v>0</v>
      </c>
      <c r="M31" s="303">
        <f t="shared" si="19"/>
        <v>0</v>
      </c>
      <c r="N31" s="328">
        <f t="shared" ref="N31" si="20">N32</f>
        <v>0</v>
      </c>
      <c r="O31" s="338">
        <f t="shared" si="4"/>
        <v>0</v>
      </c>
    </row>
    <row r="32" spans="1:15" s="309" customFormat="1" ht="13.5" customHeight="1" x14ac:dyDescent="0.2">
      <c r="A32" s="305" t="s">
        <v>267</v>
      </c>
      <c r="B32" s="306" t="s">
        <v>256</v>
      </c>
      <c r="C32" s="307">
        <v>0</v>
      </c>
      <c r="D32" s="307">
        <v>0</v>
      </c>
      <c r="E32" s="308">
        <v>0</v>
      </c>
      <c r="F32" s="308">
        <v>0</v>
      </c>
      <c r="G32" s="308">
        <v>0</v>
      </c>
      <c r="H32" s="308">
        <v>0</v>
      </c>
      <c r="I32" s="308">
        <v>0</v>
      </c>
      <c r="J32" s="308">
        <v>0</v>
      </c>
      <c r="K32" s="308">
        <v>0</v>
      </c>
      <c r="L32" s="308">
        <v>0</v>
      </c>
      <c r="M32" s="308">
        <v>0</v>
      </c>
      <c r="N32" s="329">
        <v>0</v>
      </c>
      <c r="O32" s="339">
        <f t="shared" si="4"/>
        <v>0</v>
      </c>
    </row>
    <row r="33" spans="1:15" s="294" customFormat="1" ht="13.5" hidden="1" customHeight="1" x14ac:dyDescent="0.2">
      <c r="A33" s="290" t="s">
        <v>268</v>
      </c>
      <c r="B33" s="291" t="s">
        <v>269</v>
      </c>
      <c r="C33" s="292">
        <f t="shared" ref="C33:N33" si="21">C34+C37+C50+C84</f>
        <v>79435.706435430708</v>
      </c>
      <c r="D33" s="292">
        <f t="shared" si="21"/>
        <v>153643.7196551724</v>
      </c>
      <c r="E33" s="293">
        <f t="shared" si="21"/>
        <v>222090.2</v>
      </c>
      <c r="F33" s="293">
        <f t="shared" si="21"/>
        <v>218270.52960336785</v>
      </c>
      <c r="G33" s="293">
        <f t="shared" si="21"/>
        <v>231425.659160001</v>
      </c>
      <c r="H33" s="293">
        <f t="shared" si="21"/>
        <v>230116.26131424727</v>
      </c>
      <c r="I33" s="293">
        <f t="shared" si="21"/>
        <v>173855.84964937688</v>
      </c>
      <c r="J33" s="293">
        <f t="shared" si="21"/>
        <v>210060.46864477836</v>
      </c>
      <c r="K33" s="293">
        <f t="shared" si="21"/>
        <v>232323.03321582524</v>
      </c>
      <c r="L33" s="293">
        <f t="shared" si="21"/>
        <v>210750.0344</v>
      </c>
      <c r="M33" s="293">
        <f t="shared" si="21"/>
        <v>158348.1720689655</v>
      </c>
      <c r="N33" s="326">
        <f t="shared" si="21"/>
        <v>253685.60476191971</v>
      </c>
      <c r="O33" s="336">
        <f t="shared" si="4"/>
        <v>2374005.2389090853</v>
      </c>
    </row>
    <row r="34" spans="1:15" s="294" customFormat="1" ht="13.5" customHeight="1" x14ac:dyDescent="0.2">
      <c r="A34" s="295" t="s">
        <v>270</v>
      </c>
      <c r="B34" s="296" t="s">
        <v>271</v>
      </c>
      <c r="C34" s="313">
        <f t="shared" ref="C34:M35" si="22">C35</f>
        <v>0</v>
      </c>
      <c r="D34" s="313">
        <f t="shared" si="22"/>
        <v>0</v>
      </c>
      <c r="E34" s="299">
        <f t="shared" si="22"/>
        <v>0</v>
      </c>
      <c r="F34" s="299">
        <f t="shared" si="22"/>
        <v>0</v>
      </c>
      <c r="G34" s="299">
        <f t="shared" si="22"/>
        <v>0</v>
      </c>
      <c r="H34" s="299">
        <f t="shared" si="22"/>
        <v>0</v>
      </c>
      <c r="I34" s="299">
        <f t="shared" si="22"/>
        <v>0</v>
      </c>
      <c r="J34" s="299">
        <f t="shared" si="22"/>
        <v>0</v>
      </c>
      <c r="K34" s="299">
        <f t="shared" si="22"/>
        <v>0</v>
      </c>
      <c r="L34" s="299">
        <f t="shared" si="22"/>
        <v>0</v>
      </c>
      <c r="M34" s="299">
        <f t="shared" si="22"/>
        <v>0</v>
      </c>
      <c r="N34" s="331">
        <f t="shared" ref="N34:N35" si="23">N35</f>
        <v>0</v>
      </c>
      <c r="O34" s="341">
        <f t="shared" si="4"/>
        <v>0</v>
      </c>
    </row>
    <row r="35" spans="1:15" s="294" customFormat="1" ht="13.5" customHeight="1" x14ac:dyDescent="0.2">
      <c r="A35" s="300" t="s">
        <v>272</v>
      </c>
      <c r="B35" s="301" t="s">
        <v>273</v>
      </c>
      <c r="C35" s="314">
        <f t="shared" si="22"/>
        <v>0</v>
      </c>
      <c r="D35" s="314">
        <f t="shared" si="22"/>
        <v>0</v>
      </c>
      <c r="E35" s="304">
        <f t="shared" si="22"/>
        <v>0</v>
      </c>
      <c r="F35" s="304">
        <f t="shared" si="22"/>
        <v>0</v>
      </c>
      <c r="G35" s="304">
        <f t="shared" si="22"/>
        <v>0</v>
      </c>
      <c r="H35" s="304">
        <f t="shared" si="22"/>
        <v>0</v>
      </c>
      <c r="I35" s="304">
        <f t="shared" si="22"/>
        <v>0</v>
      </c>
      <c r="J35" s="304">
        <f t="shared" si="22"/>
        <v>0</v>
      </c>
      <c r="K35" s="304">
        <f t="shared" si="22"/>
        <v>0</v>
      </c>
      <c r="L35" s="304">
        <f t="shared" si="22"/>
        <v>0</v>
      </c>
      <c r="M35" s="304">
        <f t="shared" si="22"/>
        <v>0</v>
      </c>
      <c r="N35" s="332">
        <f t="shared" si="23"/>
        <v>0</v>
      </c>
      <c r="O35" s="342">
        <f t="shared" si="4"/>
        <v>0</v>
      </c>
    </row>
    <row r="36" spans="1:15" s="309" customFormat="1" ht="13.5" customHeight="1" x14ac:dyDescent="0.2">
      <c r="A36" s="305" t="s">
        <v>274</v>
      </c>
      <c r="B36" s="306" t="s">
        <v>275</v>
      </c>
      <c r="C36" s="312">
        <v>0</v>
      </c>
      <c r="D36" s="312">
        <v>0</v>
      </c>
      <c r="E36" s="315">
        <v>0</v>
      </c>
      <c r="F36" s="315">
        <v>0</v>
      </c>
      <c r="G36" s="315">
        <v>0</v>
      </c>
      <c r="H36" s="315">
        <v>0</v>
      </c>
      <c r="I36" s="315">
        <v>0</v>
      </c>
      <c r="J36" s="315">
        <v>0</v>
      </c>
      <c r="K36" s="315">
        <v>0</v>
      </c>
      <c r="L36" s="315">
        <v>0</v>
      </c>
      <c r="M36" s="315">
        <v>0</v>
      </c>
      <c r="N36" s="333">
        <v>0</v>
      </c>
      <c r="O36" s="343">
        <f t="shared" si="4"/>
        <v>0</v>
      </c>
    </row>
    <row r="37" spans="1:15" s="294" customFormat="1" ht="13.5" hidden="1" customHeight="1" x14ac:dyDescent="0.2">
      <c r="A37" s="295" t="s">
        <v>276</v>
      </c>
      <c r="B37" s="296" t="s">
        <v>277</v>
      </c>
      <c r="C37" s="297">
        <f t="shared" ref="C37:M37" si="24">C38+C46</f>
        <v>39190.560000000005</v>
      </c>
      <c r="D37" s="297">
        <f t="shared" si="24"/>
        <v>59347.93</v>
      </c>
      <c r="E37" s="298">
        <f t="shared" si="24"/>
        <v>79279.760000000009</v>
      </c>
      <c r="F37" s="298">
        <f t="shared" si="24"/>
        <v>100641.93000000001</v>
      </c>
      <c r="G37" s="298">
        <f t="shared" si="24"/>
        <v>96468.63</v>
      </c>
      <c r="H37" s="298">
        <f t="shared" si="24"/>
        <v>59840.82</v>
      </c>
      <c r="I37" s="298">
        <f t="shared" si="24"/>
        <v>67265.86</v>
      </c>
      <c r="J37" s="298">
        <f t="shared" si="24"/>
        <v>70656.67</v>
      </c>
      <c r="K37" s="298">
        <f t="shared" si="24"/>
        <v>76753.06</v>
      </c>
      <c r="L37" s="298">
        <f t="shared" si="24"/>
        <v>86628.2</v>
      </c>
      <c r="M37" s="298">
        <f t="shared" si="24"/>
        <v>92867.4</v>
      </c>
      <c r="N37" s="327">
        <f t="shared" ref="N37" si="25">N38+N46</f>
        <v>78791.092219999991</v>
      </c>
      <c r="O37" s="337">
        <f t="shared" si="4"/>
        <v>907731.91221999994</v>
      </c>
    </row>
    <row r="38" spans="1:15" s="309" customFormat="1" ht="13.5" hidden="1" customHeight="1" x14ac:dyDescent="0.2">
      <c r="A38" s="300" t="s">
        <v>276</v>
      </c>
      <c r="B38" s="301" t="s">
        <v>278</v>
      </c>
      <c r="C38" s="302">
        <f t="shared" ref="C38:N38" si="26">C39+C40+C41+C42+C43+C44+C45</f>
        <v>28450.320000000003</v>
      </c>
      <c r="D38" s="302">
        <f t="shared" ref="D38:M38" si="27">D39+D40+D41+D42+D43+D44+D45</f>
        <v>35069.53</v>
      </c>
      <c r="E38" s="303">
        <f t="shared" si="27"/>
        <v>35323.360000000001</v>
      </c>
      <c r="F38" s="303">
        <f t="shared" si="27"/>
        <v>35426.810000000005</v>
      </c>
      <c r="G38" s="303">
        <f t="shared" si="27"/>
        <v>42424.630000000005</v>
      </c>
      <c r="H38" s="303">
        <f t="shared" si="27"/>
        <v>35951.22</v>
      </c>
      <c r="I38" s="303">
        <f t="shared" si="27"/>
        <v>35454.26</v>
      </c>
      <c r="J38" s="303">
        <f t="shared" si="27"/>
        <v>35474.949999999997</v>
      </c>
      <c r="K38" s="303">
        <f t="shared" si="27"/>
        <v>35661.159999999996</v>
      </c>
      <c r="L38" s="303">
        <f t="shared" si="27"/>
        <v>34590.079999999994</v>
      </c>
      <c r="M38" s="303">
        <f t="shared" si="27"/>
        <v>36492.119999999995</v>
      </c>
      <c r="N38" s="328">
        <f t="shared" si="26"/>
        <v>38471.092219999991</v>
      </c>
      <c r="O38" s="338">
        <f t="shared" si="4"/>
        <v>428789.53221999999</v>
      </c>
    </row>
    <row r="39" spans="1:15" s="309" customFormat="1" ht="13.5" hidden="1" customHeight="1" x14ac:dyDescent="0.2">
      <c r="A39" s="305" t="s">
        <v>279</v>
      </c>
      <c r="B39" s="306" t="s">
        <v>280</v>
      </c>
      <c r="C39" s="312">
        <v>19347.8</v>
      </c>
      <c r="D39" s="312">
        <v>23581.06</v>
      </c>
      <c r="E39" s="315">
        <v>23847.8</v>
      </c>
      <c r="F39" s="315">
        <v>23847.8</v>
      </c>
      <c r="G39" s="315">
        <v>28990.68</v>
      </c>
      <c r="H39" s="315">
        <v>24188.68</v>
      </c>
      <c r="I39" s="315">
        <v>23910.98</v>
      </c>
      <c r="J39" s="315">
        <v>23910.98</v>
      </c>
      <c r="K39" s="315">
        <v>23910.98</v>
      </c>
      <c r="L39" s="315">
        <v>23403.31</v>
      </c>
      <c r="M39" s="315">
        <v>24219.98</v>
      </c>
      <c r="N39" s="333">
        <v>25575.659999999996</v>
      </c>
      <c r="O39" s="343">
        <f t="shared" si="4"/>
        <v>288735.71000000002</v>
      </c>
    </row>
    <row r="40" spans="1:15" s="309" customFormat="1" ht="13.5" hidden="1" customHeight="1" x14ac:dyDescent="0.2">
      <c r="A40" s="316" t="s">
        <v>281</v>
      </c>
      <c r="B40" s="317" t="s">
        <v>282</v>
      </c>
      <c r="C40" s="318">
        <v>3233.02</v>
      </c>
      <c r="D40" s="318">
        <v>3940.4</v>
      </c>
      <c r="E40" s="319">
        <v>3984.97</v>
      </c>
      <c r="F40" s="319">
        <v>3984.97</v>
      </c>
      <c r="G40" s="319">
        <v>4844.34</v>
      </c>
      <c r="H40" s="319">
        <v>4041.93</v>
      </c>
      <c r="I40" s="319">
        <v>3995.52</v>
      </c>
      <c r="J40" s="319">
        <v>3995.52</v>
      </c>
      <c r="K40" s="319">
        <v>3995.52</v>
      </c>
      <c r="L40" s="319">
        <v>3910.69</v>
      </c>
      <c r="M40" s="319">
        <v>4047.16</v>
      </c>
      <c r="N40" s="334">
        <v>4273.6927859999996</v>
      </c>
      <c r="O40" s="344">
        <f t="shared" si="4"/>
        <v>48247.732785999993</v>
      </c>
    </row>
    <row r="41" spans="1:15" s="309" customFormat="1" ht="13.5" hidden="1" customHeight="1" x14ac:dyDescent="0.2">
      <c r="A41" s="316" t="s">
        <v>283</v>
      </c>
      <c r="B41" s="317" t="s">
        <v>284</v>
      </c>
      <c r="C41" s="318">
        <v>3223.34</v>
      </c>
      <c r="D41" s="318">
        <v>3928.6</v>
      </c>
      <c r="E41" s="319">
        <v>3973.04</v>
      </c>
      <c r="F41" s="319">
        <v>3973.04</v>
      </c>
      <c r="G41" s="319">
        <v>4829.8500000000004</v>
      </c>
      <c r="H41" s="319">
        <v>4029.83</v>
      </c>
      <c r="I41" s="319">
        <v>3983.57</v>
      </c>
      <c r="J41" s="319">
        <v>3983.57</v>
      </c>
      <c r="K41" s="319">
        <v>3983.57</v>
      </c>
      <c r="L41" s="319">
        <v>3898.99</v>
      </c>
      <c r="M41" s="319">
        <v>4035.05</v>
      </c>
      <c r="N41" s="334">
        <v>4260.9049559999994</v>
      </c>
      <c r="O41" s="344">
        <f t="shared" si="4"/>
        <v>48103.354956000003</v>
      </c>
    </row>
    <row r="42" spans="1:15" s="309" customFormat="1" ht="13.5" hidden="1" customHeight="1" x14ac:dyDescent="0.2">
      <c r="A42" s="316" t="s">
        <v>285</v>
      </c>
      <c r="B42" s="317" t="s">
        <v>286</v>
      </c>
      <c r="C42" s="318">
        <v>1611.67</v>
      </c>
      <c r="D42" s="318">
        <v>1964.3</v>
      </c>
      <c r="E42" s="319">
        <v>1986.52</v>
      </c>
      <c r="F42" s="319">
        <v>1986.52</v>
      </c>
      <c r="G42" s="319">
        <v>2414.9299999999998</v>
      </c>
      <c r="H42" s="319">
        <v>2014.92</v>
      </c>
      <c r="I42" s="319">
        <v>1991.78</v>
      </c>
      <c r="J42" s="319">
        <v>1991.78</v>
      </c>
      <c r="K42" s="319">
        <v>1991.78</v>
      </c>
      <c r="L42" s="319">
        <v>1949.5</v>
      </c>
      <c r="M42" s="319">
        <v>2017.52</v>
      </c>
      <c r="N42" s="334">
        <v>2130.4524779999997</v>
      </c>
      <c r="O42" s="344">
        <f t="shared" si="4"/>
        <v>24051.672478</v>
      </c>
    </row>
    <row r="43" spans="1:15" s="309" customFormat="1" ht="13.5" customHeight="1" x14ac:dyDescent="0.2">
      <c r="A43" s="305" t="s">
        <v>287</v>
      </c>
      <c r="B43" s="306" t="s">
        <v>288</v>
      </c>
      <c r="C43" s="312">
        <v>0</v>
      </c>
      <c r="D43" s="312">
        <v>0</v>
      </c>
      <c r="E43" s="315">
        <v>0</v>
      </c>
      <c r="F43" s="315">
        <v>0</v>
      </c>
      <c r="G43" s="315">
        <v>0</v>
      </c>
      <c r="H43" s="315">
        <v>0</v>
      </c>
      <c r="I43" s="315">
        <v>0</v>
      </c>
      <c r="J43" s="315">
        <v>0</v>
      </c>
      <c r="K43" s="315">
        <v>0</v>
      </c>
      <c r="L43" s="315">
        <v>0</v>
      </c>
      <c r="M43" s="315">
        <v>0</v>
      </c>
      <c r="N43" s="333">
        <v>0</v>
      </c>
      <c r="O43" s="343">
        <f t="shared" si="4"/>
        <v>0</v>
      </c>
    </row>
    <row r="44" spans="1:15" s="309" customFormat="1" ht="13.5" customHeight="1" x14ac:dyDescent="0.2">
      <c r="A44" s="305" t="s">
        <v>289</v>
      </c>
      <c r="B44" s="306" t="s">
        <v>290</v>
      </c>
      <c r="C44" s="312">
        <v>0</v>
      </c>
      <c r="D44" s="312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33">
        <v>0</v>
      </c>
      <c r="O44" s="343">
        <f t="shared" si="4"/>
        <v>0</v>
      </c>
    </row>
    <row r="45" spans="1:15" s="309" customFormat="1" ht="13.5" hidden="1" customHeight="1" x14ac:dyDescent="0.2">
      <c r="A45" s="305" t="s">
        <v>291</v>
      </c>
      <c r="B45" s="306" t="s">
        <v>292</v>
      </c>
      <c r="C45" s="312">
        <v>1034.49</v>
      </c>
      <c r="D45" s="312">
        <v>1655.17</v>
      </c>
      <c r="E45" s="315">
        <v>1531.03</v>
      </c>
      <c r="F45" s="315">
        <v>1634.48</v>
      </c>
      <c r="G45" s="315">
        <v>1344.83</v>
      </c>
      <c r="H45" s="315">
        <v>1675.86</v>
      </c>
      <c r="I45" s="315">
        <v>1572.41</v>
      </c>
      <c r="J45" s="315">
        <v>1593.1</v>
      </c>
      <c r="K45" s="315">
        <v>1779.31</v>
      </c>
      <c r="L45" s="315">
        <v>1427.59</v>
      </c>
      <c r="M45" s="315">
        <v>2172.41</v>
      </c>
      <c r="N45" s="333">
        <v>2230.3820000000001</v>
      </c>
      <c r="O45" s="343">
        <f t="shared" si="4"/>
        <v>19651.062000000002</v>
      </c>
    </row>
    <row r="46" spans="1:15" s="309" customFormat="1" ht="13.5" hidden="1" customHeight="1" x14ac:dyDescent="0.2">
      <c r="A46" s="300" t="s">
        <v>293</v>
      </c>
      <c r="B46" s="301" t="s">
        <v>294</v>
      </c>
      <c r="C46" s="302">
        <f t="shared" ref="C46:M46" si="28">C47+C48+C49</f>
        <v>10740.24</v>
      </c>
      <c r="D46" s="302">
        <f t="shared" si="28"/>
        <v>24278.400000000001</v>
      </c>
      <c r="E46" s="303">
        <f t="shared" si="28"/>
        <v>43956.4</v>
      </c>
      <c r="F46" s="303">
        <f t="shared" si="28"/>
        <v>65215.12</v>
      </c>
      <c r="G46" s="303">
        <f t="shared" si="28"/>
        <v>54044</v>
      </c>
      <c r="H46" s="303">
        <f t="shared" si="28"/>
        <v>23889.599999999999</v>
      </c>
      <c r="I46" s="303">
        <f t="shared" si="28"/>
        <v>31811.599999999999</v>
      </c>
      <c r="J46" s="303">
        <f t="shared" si="28"/>
        <v>35181.72</v>
      </c>
      <c r="K46" s="303">
        <f t="shared" si="28"/>
        <v>41091.9</v>
      </c>
      <c r="L46" s="303">
        <f t="shared" si="28"/>
        <v>52038.12</v>
      </c>
      <c r="M46" s="303">
        <f t="shared" si="28"/>
        <v>56375.28</v>
      </c>
      <c r="N46" s="328">
        <f t="shared" ref="N46" si="29">N47+N48+N49</f>
        <v>40320</v>
      </c>
      <c r="O46" s="338">
        <f t="shared" si="4"/>
        <v>478942.38</v>
      </c>
    </row>
    <row r="47" spans="1:15" s="309" customFormat="1" ht="13.5" customHeight="1" x14ac:dyDescent="0.2">
      <c r="A47" s="305" t="s">
        <v>295</v>
      </c>
      <c r="B47" s="306" t="s">
        <v>296</v>
      </c>
      <c r="C47" s="312">
        <v>0</v>
      </c>
      <c r="D47" s="312">
        <v>0</v>
      </c>
      <c r="E47" s="315">
        <v>0</v>
      </c>
      <c r="F47" s="315">
        <v>0</v>
      </c>
      <c r="G47" s="315">
        <v>0</v>
      </c>
      <c r="H47" s="315">
        <v>0</v>
      </c>
      <c r="I47" s="315">
        <v>0</v>
      </c>
      <c r="J47" s="315">
        <v>0</v>
      </c>
      <c r="K47" s="315">
        <v>0</v>
      </c>
      <c r="L47" s="315">
        <v>0</v>
      </c>
      <c r="M47" s="315">
        <v>0</v>
      </c>
      <c r="N47" s="333">
        <v>0</v>
      </c>
      <c r="O47" s="343">
        <f t="shared" si="4"/>
        <v>0</v>
      </c>
    </row>
    <row r="48" spans="1:15" s="309" customFormat="1" ht="13.5" hidden="1" customHeight="1" x14ac:dyDescent="0.2">
      <c r="A48" s="305" t="s">
        <v>297</v>
      </c>
      <c r="B48" s="306" t="s">
        <v>298</v>
      </c>
      <c r="C48" s="312">
        <v>10740.24</v>
      </c>
      <c r="D48" s="312">
        <v>24278.400000000001</v>
      </c>
      <c r="E48" s="315">
        <v>43956.4</v>
      </c>
      <c r="F48" s="315">
        <v>65215.12</v>
      </c>
      <c r="G48" s="315">
        <v>54044</v>
      </c>
      <c r="H48" s="315">
        <v>23889.599999999999</v>
      </c>
      <c r="I48" s="315">
        <v>31811.599999999999</v>
      </c>
      <c r="J48" s="315">
        <v>35181.72</v>
      </c>
      <c r="K48" s="315">
        <f>40874.4+217.5</f>
        <v>41091.9</v>
      </c>
      <c r="L48" s="315">
        <v>52038.12</v>
      </c>
      <c r="M48" s="315">
        <v>56375.28</v>
      </c>
      <c r="N48" s="333">
        <v>40320</v>
      </c>
      <c r="O48" s="343">
        <f t="shared" si="4"/>
        <v>478942.38</v>
      </c>
    </row>
    <row r="49" spans="1:15" s="309" customFormat="1" ht="13.5" customHeight="1" x14ac:dyDescent="0.2">
      <c r="A49" s="305" t="s">
        <v>299</v>
      </c>
      <c r="B49" s="306" t="s">
        <v>300</v>
      </c>
      <c r="C49" s="312">
        <v>0</v>
      </c>
      <c r="D49" s="312">
        <v>0</v>
      </c>
      <c r="E49" s="315">
        <v>0</v>
      </c>
      <c r="F49" s="315">
        <v>0</v>
      </c>
      <c r="G49" s="315">
        <v>0</v>
      </c>
      <c r="H49" s="315">
        <v>0</v>
      </c>
      <c r="I49" s="315">
        <v>0</v>
      </c>
      <c r="J49" s="315">
        <v>0</v>
      </c>
      <c r="K49" s="315">
        <v>0</v>
      </c>
      <c r="L49" s="315">
        <v>0</v>
      </c>
      <c r="M49" s="315">
        <v>0</v>
      </c>
      <c r="N49" s="333">
        <v>0</v>
      </c>
      <c r="O49" s="343">
        <f t="shared" si="4"/>
        <v>0</v>
      </c>
    </row>
    <row r="50" spans="1:15" s="294" customFormat="1" ht="13.5" hidden="1" customHeight="1" x14ac:dyDescent="0.2">
      <c r="A50" s="320" t="s">
        <v>301</v>
      </c>
      <c r="B50" s="296" t="s">
        <v>302</v>
      </c>
      <c r="C50" s="297">
        <f t="shared" ref="C50:M50" si="30">C51</f>
        <v>40245.146435430695</v>
      </c>
      <c r="D50" s="297">
        <f t="shared" si="30"/>
        <v>94295.789655172412</v>
      </c>
      <c r="E50" s="298">
        <f t="shared" si="30"/>
        <v>142810.44</v>
      </c>
      <c r="F50" s="298">
        <f t="shared" si="30"/>
        <v>117628.59960336782</v>
      </c>
      <c r="G50" s="298">
        <f t="shared" si="30"/>
        <v>134957.029160001</v>
      </c>
      <c r="H50" s="298">
        <f t="shared" si="30"/>
        <v>170275.44131424726</v>
      </c>
      <c r="I50" s="298">
        <f t="shared" si="30"/>
        <v>106589.98964937688</v>
      </c>
      <c r="J50" s="298">
        <f t="shared" si="30"/>
        <v>139403.79864477838</v>
      </c>
      <c r="K50" s="298">
        <f t="shared" si="30"/>
        <v>155569.97321582524</v>
      </c>
      <c r="L50" s="298">
        <f t="shared" si="30"/>
        <v>124121.83439999999</v>
      </c>
      <c r="M50" s="298">
        <f t="shared" si="30"/>
        <v>65480.772068965518</v>
      </c>
      <c r="N50" s="327">
        <f t="shared" ref="N50" si="31">N51</f>
        <v>174894.51254191971</v>
      </c>
      <c r="O50" s="337">
        <f t="shared" si="4"/>
        <v>1466273.3266890848</v>
      </c>
    </row>
    <row r="51" spans="1:15" s="294" customFormat="1" ht="13.5" hidden="1" customHeight="1" x14ac:dyDescent="0.2">
      <c r="A51" s="321" t="s">
        <v>303</v>
      </c>
      <c r="B51" s="301" t="s">
        <v>304</v>
      </c>
      <c r="C51" s="302">
        <f>SUM(C52:C83)</f>
        <v>40245.146435430695</v>
      </c>
      <c r="D51" s="302">
        <f>SUM(D52:D83)</f>
        <v>94295.789655172412</v>
      </c>
      <c r="E51" s="303">
        <f>SUM(E52:E83)</f>
        <v>142810.44</v>
      </c>
      <c r="F51" s="303">
        <f>SUM(F52:F83)</f>
        <v>117628.59960336782</v>
      </c>
      <c r="G51" s="303">
        <f>SUM(G52:G83)</f>
        <v>134957.029160001</v>
      </c>
      <c r="H51" s="303">
        <f t="shared" ref="H51:N51" si="32">SUM(H52:H83)</f>
        <v>170275.44131424726</v>
      </c>
      <c r="I51" s="303">
        <f t="shared" si="32"/>
        <v>106589.98964937688</v>
      </c>
      <c r="J51" s="303">
        <f t="shared" si="32"/>
        <v>139403.79864477838</v>
      </c>
      <c r="K51" s="303">
        <f t="shared" si="32"/>
        <v>155569.97321582524</v>
      </c>
      <c r="L51" s="303">
        <f>SUM(L52:L83)</f>
        <v>124121.83439999999</v>
      </c>
      <c r="M51" s="303">
        <f>SUM(M52:M83)</f>
        <v>65480.772068965518</v>
      </c>
      <c r="N51" s="328">
        <f t="shared" si="32"/>
        <v>174894.51254191971</v>
      </c>
      <c r="O51" s="338">
        <f t="shared" si="4"/>
        <v>1466273.3266890848</v>
      </c>
    </row>
    <row r="52" spans="1:15" s="309" customFormat="1" ht="13.5" hidden="1" customHeight="1" x14ac:dyDescent="0.2">
      <c r="A52" s="305" t="s">
        <v>305</v>
      </c>
      <c r="B52" s="306" t="s">
        <v>59</v>
      </c>
      <c r="C52" s="312">
        <v>1960.98</v>
      </c>
      <c r="D52" s="312">
        <v>0</v>
      </c>
      <c r="E52" s="315">
        <v>1286.72</v>
      </c>
      <c r="F52" s="315">
        <v>2003.93</v>
      </c>
      <c r="G52" s="315">
        <v>435.24</v>
      </c>
      <c r="H52" s="315">
        <v>1326.23</v>
      </c>
      <c r="I52" s="315">
        <v>1785.7</v>
      </c>
      <c r="J52" s="315">
        <v>2687.86</v>
      </c>
      <c r="K52" s="315">
        <v>1850.76</v>
      </c>
      <c r="L52" s="315">
        <v>1980.12</v>
      </c>
      <c r="M52" s="315">
        <v>1929.48</v>
      </c>
      <c r="N52" s="333">
        <v>2150.7199999999998</v>
      </c>
      <c r="O52" s="343">
        <f t="shared" si="4"/>
        <v>19397.740000000002</v>
      </c>
    </row>
    <row r="53" spans="1:15" s="309" customFormat="1" ht="13.5" hidden="1" customHeight="1" x14ac:dyDescent="0.2">
      <c r="A53" s="305" t="s">
        <v>306</v>
      </c>
      <c r="B53" s="306" t="s">
        <v>61</v>
      </c>
      <c r="C53" s="312">
        <v>0</v>
      </c>
      <c r="D53" s="312">
        <v>0</v>
      </c>
      <c r="E53" s="315">
        <v>0</v>
      </c>
      <c r="F53" s="315">
        <v>435</v>
      </c>
      <c r="G53" s="315">
        <v>0</v>
      </c>
      <c r="H53" s="315">
        <v>0</v>
      </c>
      <c r="I53" s="315">
        <v>0</v>
      </c>
      <c r="J53" s="315">
        <v>31320</v>
      </c>
      <c r="K53" s="315">
        <v>0</v>
      </c>
      <c r="L53" s="315">
        <v>0</v>
      </c>
      <c r="M53" s="315">
        <v>24430.66</v>
      </c>
      <c r="N53" s="333">
        <v>0</v>
      </c>
      <c r="O53" s="343">
        <f t="shared" si="4"/>
        <v>56185.66</v>
      </c>
    </row>
    <row r="54" spans="1:15" s="309" customFormat="1" ht="13.5" hidden="1" customHeight="1" x14ac:dyDescent="0.2">
      <c r="A54" s="305" t="s">
        <v>307</v>
      </c>
      <c r="B54" s="306" t="s">
        <v>62</v>
      </c>
      <c r="C54" s="312">
        <v>0</v>
      </c>
      <c r="D54" s="312">
        <v>0</v>
      </c>
      <c r="E54" s="315">
        <v>6.96</v>
      </c>
      <c r="F54" s="315">
        <v>0</v>
      </c>
      <c r="G54" s="315">
        <v>13.05</v>
      </c>
      <c r="H54" s="315">
        <v>20.010000000000002</v>
      </c>
      <c r="I54" s="315">
        <v>33.93</v>
      </c>
      <c r="J54" s="315">
        <v>115.71</v>
      </c>
      <c r="K54" s="315">
        <v>20.010000000000002</v>
      </c>
      <c r="L54" s="315">
        <v>346.54</v>
      </c>
      <c r="M54" s="315">
        <v>0</v>
      </c>
      <c r="N54" s="333">
        <v>104</v>
      </c>
      <c r="O54" s="343">
        <f t="shared" si="4"/>
        <v>660.21</v>
      </c>
    </row>
    <row r="55" spans="1:15" s="309" customFormat="1" ht="13.5" hidden="1" customHeight="1" x14ac:dyDescent="0.2">
      <c r="A55" s="305" t="s">
        <v>308</v>
      </c>
      <c r="B55" s="306" t="s">
        <v>63</v>
      </c>
      <c r="C55" s="312">
        <v>2136.12</v>
      </c>
      <c r="D55" s="312">
        <v>1863.09</v>
      </c>
      <c r="E55" s="315">
        <v>1963.84</v>
      </c>
      <c r="F55" s="315">
        <v>1916.51</v>
      </c>
      <c r="G55" s="315">
        <v>2562.04</v>
      </c>
      <c r="H55" s="315">
        <v>2455.94</v>
      </c>
      <c r="I55" s="315">
        <v>2515.3200000000002</v>
      </c>
      <c r="J55" s="315">
        <v>2517.73</v>
      </c>
      <c r="K55" s="315">
        <v>2718.5</v>
      </c>
      <c r="L55" s="315">
        <v>2697.02</v>
      </c>
      <c r="M55" s="315">
        <v>2756.24</v>
      </c>
      <c r="N55" s="333">
        <v>2244.86</v>
      </c>
      <c r="O55" s="343">
        <f t="shared" si="4"/>
        <v>28347.21</v>
      </c>
    </row>
    <row r="56" spans="1:15" s="309" customFormat="1" ht="13.5" hidden="1" customHeight="1" x14ac:dyDescent="0.2">
      <c r="A56" s="305" t="s">
        <v>309</v>
      </c>
      <c r="B56" s="306" t="s">
        <v>64</v>
      </c>
      <c r="C56" s="312">
        <v>1273.82</v>
      </c>
      <c r="D56" s="312">
        <v>1273.82</v>
      </c>
      <c r="E56" s="315">
        <v>1273.82</v>
      </c>
      <c r="F56" s="315">
        <v>1273.82</v>
      </c>
      <c r="G56" s="315">
        <v>1295.1099999999999</v>
      </c>
      <c r="H56" s="315">
        <v>1295.1099999999999</v>
      </c>
      <c r="I56" s="315">
        <v>1295.1099999999999</v>
      </c>
      <c r="J56" s="315">
        <v>1295.1099999999999</v>
      </c>
      <c r="K56" s="315">
        <v>1357.75</v>
      </c>
      <c r="L56" s="315">
        <v>1357.75</v>
      </c>
      <c r="M56" s="315">
        <v>1357.75</v>
      </c>
      <c r="N56" s="333">
        <v>1290</v>
      </c>
      <c r="O56" s="343">
        <f t="shared" si="4"/>
        <v>15638.97</v>
      </c>
    </row>
    <row r="57" spans="1:15" s="309" customFormat="1" ht="13.5" hidden="1" customHeight="1" x14ac:dyDescent="0.2">
      <c r="A57" s="305" t="s">
        <v>310</v>
      </c>
      <c r="B57" s="306" t="s">
        <v>311</v>
      </c>
      <c r="C57" s="312">
        <v>921.55</v>
      </c>
      <c r="D57" s="312">
        <v>8162.43</v>
      </c>
      <c r="E57" s="315">
        <v>7881.35</v>
      </c>
      <c r="F57" s="315">
        <v>15391.3</v>
      </c>
      <c r="G57" s="315">
        <f>19154.08-619.63</f>
        <v>18534.45</v>
      </c>
      <c r="H57" s="315">
        <v>5803.38</v>
      </c>
      <c r="I57" s="315">
        <v>6252.6</v>
      </c>
      <c r="J57" s="315">
        <f>12015.35+493.72</f>
        <v>12509.07</v>
      </c>
      <c r="K57" s="315">
        <v>5725.56</v>
      </c>
      <c r="L57" s="315">
        <v>7691.3</v>
      </c>
      <c r="M57" s="315">
        <v>10304.14</v>
      </c>
      <c r="N57" s="333">
        <v>10800</v>
      </c>
      <c r="O57" s="343">
        <f t="shared" si="4"/>
        <v>109977.13</v>
      </c>
    </row>
    <row r="58" spans="1:15" s="309" customFormat="1" ht="13.5" hidden="1" customHeight="1" x14ac:dyDescent="0.2">
      <c r="A58" s="305" t="s">
        <v>312</v>
      </c>
      <c r="B58" s="306" t="s">
        <v>313</v>
      </c>
      <c r="C58" s="312">
        <v>0</v>
      </c>
      <c r="D58" s="312">
        <v>600.29999999999995</v>
      </c>
      <c r="E58" s="315">
        <v>0</v>
      </c>
      <c r="F58" s="315">
        <v>114.84</v>
      </c>
      <c r="G58" s="315">
        <v>0</v>
      </c>
      <c r="H58" s="315">
        <v>0</v>
      </c>
      <c r="I58" s="315">
        <v>0</v>
      </c>
      <c r="J58" s="315">
        <v>0</v>
      </c>
      <c r="K58" s="315">
        <v>130.5</v>
      </c>
      <c r="L58" s="315">
        <v>321.89999999999998</v>
      </c>
      <c r="M58" s="315">
        <v>0</v>
      </c>
      <c r="N58" s="333">
        <v>0</v>
      </c>
      <c r="O58" s="343">
        <f t="shared" si="4"/>
        <v>1167.54</v>
      </c>
    </row>
    <row r="59" spans="1:15" s="309" customFormat="1" ht="13.5" customHeight="1" x14ac:dyDescent="0.2">
      <c r="A59" s="305" t="s">
        <v>314</v>
      </c>
      <c r="B59" s="306" t="s">
        <v>150</v>
      </c>
      <c r="C59" s="312">
        <v>0</v>
      </c>
      <c r="D59" s="312">
        <v>0</v>
      </c>
      <c r="E59" s="315">
        <v>0</v>
      </c>
      <c r="F59" s="315">
        <v>0</v>
      </c>
      <c r="G59" s="315">
        <v>0</v>
      </c>
      <c r="H59" s="315">
        <v>0</v>
      </c>
      <c r="I59" s="315">
        <v>0</v>
      </c>
      <c r="J59" s="315">
        <v>0</v>
      </c>
      <c r="K59" s="315">
        <v>0</v>
      </c>
      <c r="L59" s="315">
        <v>0</v>
      </c>
      <c r="M59" s="315">
        <v>0</v>
      </c>
      <c r="N59" s="333">
        <v>0</v>
      </c>
      <c r="O59" s="343">
        <f t="shared" si="4"/>
        <v>0</v>
      </c>
    </row>
    <row r="60" spans="1:15" s="309" customFormat="1" ht="13.5" customHeight="1" x14ac:dyDescent="0.2">
      <c r="A60" s="305" t="s">
        <v>315</v>
      </c>
      <c r="B60" s="306" t="s">
        <v>65</v>
      </c>
      <c r="C60" s="312">
        <v>0</v>
      </c>
      <c r="D60" s="312">
        <v>0</v>
      </c>
      <c r="E60" s="315">
        <v>0</v>
      </c>
      <c r="F60" s="315">
        <v>0</v>
      </c>
      <c r="G60" s="315">
        <v>0</v>
      </c>
      <c r="H60" s="315">
        <v>0</v>
      </c>
      <c r="I60" s="315">
        <v>0</v>
      </c>
      <c r="J60" s="315">
        <v>0</v>
      </c>
      <c r="K60" s="315">
        <v>0</v>
      </c>
      <c r="L60" s="315">
        <v>0</v>
      </c>
      <c r="M60" s="315">
        <v>0</v>
      </c>
      <c r="N60" s="333">
        <v>0</v>
      </c>
      <c r="O60" s="343">
        <f t="shared" si="4"/>
        <v>0</v>
      </c>
    </row>
    <row r="61" spans="1:15" s="309" customFormat="1" ht="13.5" customHeight="1" x14ac:dyDescent="0.2">
      <c r="A61" s="305" t="s">
        <v>316</v>
      </c>
      <c r="B61" s="306" t="s">
        <v>317</v>
      </c>
      <c r="C61" s="312">
        <v>0</v>
      </c>
      <c r="D61" s="312">
        <v>0</v>
      </c>
      <c r="E61" s="315">
        <v>0</v>
      </c>
      <c r="F61" s="315">
        <v>0</v>
      </c>
      <c r="G61" s="315">
        <v>0</v>
      </c>
      <c r="H61" s="315">
        <v>0</v>
      </c>
      <c r="I61" s="315">
        <v>0</v>
      </c>
      <c r="J61" s="315">
        <v>0</v>
      </c>
      <c r="K61" s="315">
        <v>0</v>
      </c>
      <c r="L61" s="315">
        <v>0</v>
      </c>
      <c r="M61" s="315">
        <v>0</v>
      </c>
      <c r="N61" s="333">
        <v>0</v>
      </c>
      <c r="O61" s="343">
        <f t="shared" si="4"/>
        <v>0</v>
      </c>
    </row>
    <row r="62" spans="1:15" s="309" customFormat="1" ht="13.5" hidden="1" customHeight="1" x14ac:dyDescent="0.2">
      <c r="A62" s="305" t="s">
        <v>318</v>
      </c>
      <c r="B62" s="306" t="s">
        <v>151</v>
      </c>
      <c r="C62" s="312">
        <f>C10*100/87*3%+1157.37</f>
        <v>2485.7579310344827</v>
      </c>
      <c r="D62" s="312">
        <f>D10*100/87*3%+945.08</f>
        <v>6354.7096551724135</v>
      </c>
      <c r="E62" s="315">
        <f>E10*100/87*3%+4533.58</f>
        <v>12409.15</v>
      </c>
      <c r="F62" s="315">
        <f>F10*100/87*3%-2655.11</f>
        <v>7331.35</v>
      </c>
      <c r="G62" s="315">
        <f>G10*100/87*3%-2359.13</f>
        <v>6182.107241379309</v>
      </c>
      <c r="H62" s="315">
        <f>H10*100/87*3%+2315.23</f>
        <v>11251.119999999999</v>
      </c>
      <c r="I62" s="315">
        <f>I10*100/87*3%-3728.01</f>
        <v>5257.4579310344816</v>
      </c>
      <c r="J62" s="315">
        <f>J10*100/87*3%-882.67</f>
        <v>6930.2599999999993</v>
      </c>
      <c r="K62" s="315">
        <f>K10*100/87*3%-69.64</f>
        <v>6331.7296551724139</v>
      </c>
      <c r="L62" s="315">
        <f>9341.06-98.19-19.72</f>
        <v>9223.15</v>
      </c>
      <c r="M62" s="315">
        <f>M10*100/87*3%+240.47</f>
        <v>4549.2820689655173</v>
      </c>
      <c r="N62" s="333">
        <v>9260.9827586206884</v>
      </c>
      <c r="O62" s="343">
        <f t="shared" si="4"/>
        <v>87567.057241379312</v>
      </c>
    </row>
    <row r="63" spans="1:15" s="309" customFormat="1" ht="13.5" customHeight="1" x14ac:dyDescent="0.2">
      <c r="A63" s="305" t="s">
        <v>319</v>
      </c>
      <c r="B63" s="306" t="s">
        <v>320</v>
      </c>
      <c r="C63" s="312">
        <v>0</v>
      </c>
      <c r="D63" s="312">
        <v>0</v>
      </c>
      <c r="E63" s="315">
        <v>0</v>
      </c>
      <c r="F63" s="315">
        <v>0</v>
      </c>
      <c r="G63" s="315">
        <v>0</v>
      </c>
      <c r="H63" s="315">
        <v>0</v>
      </c>
      <c r="I63" s="315">
        <v>0</v>
      </c>
      <c r="J63" s="315">
        <v>0</v>
      </c>
      <c r="K63" s="315">
        <v>0</v>
      </c>
      <c r="L63" s="315">
        <v>0</v>
      </c>
      <c r="M63" s="315">
        <v>0</v>
      </c>
      <c r="N63" s="333">
        <v>0</v>
      </c>
      <c r="O63" s="343">
        <f t="shared" si="4"/>
        <v>0</v>
      </c>
    </row>
    <row r="64" spans="1:15" s="309" customFormat="1" ht="13.5" customHeight="1" x14ac:dyDescent="0.2">
      <c r="A64" s="305" t="s">
        <v>321</v>
      </c>
      <c r="B64" s="306" t="s">
        <v>322</v>
      </c>
      <c r="C64" s="312">
        <v>0</v>
      </c>
      <c r="D64" s="312">
        <v>0</v>
      </c>
      <c r="E64" s="315">
        <v>0</v>
      </c>
      <c r="F64" s="315">
        <v>0</v>
      </c>
      <c r="G64" s="315">
        <v>0</v>
      </c>
      <c r="H64" s="315">
        <v>0</v>
      </c>
      <c r="I64" s="315">
        <v>0</v>
      </c>
      <c r="J64" s="315">
        <v>0</v>
      </c>
      <c r="K64" s="315">
        <v>0</v>
      </c>
      <c r="L64" s="315">
        <v>0</v>
      </c>
      <c r="M64" s="315">
        <v>0</v>
      </c>
      <c r="N64" s="333">
        <v>0</v>
      </c>
      <c r="O64" s="343">
        <f t="shared" si="4"/>
        <v>0</v>
      </c>
    </row>
    <row r="65" spans="1:15" s="309" customFormat="1" ht="13.5" hidden="1" customHeight="1" x14ac:dyDescent="0.2">
      <c r="A65" s="305" t="s">
        <v>323</v>
      </c>
      <c r="B65" s="306" t="s">
        <v>324</v>
      </c>
      <c r="C65" s="312">
        <v>1058.44</v>
      </c>
      <c r="D65" s="312">
        <v>2278.5300000000002</v>
      </c>
      <c r="E65" s="315">
        <v>5025.29</v>
      </c>
      <c r="F65" s="315">
        <v>6317.94</v>
      </c>
      <c r="G65" s="315">
        <v>6034.32</v>
      </c>
      <c r="H65" s="315">
        <v>3673.84</v>
      </c>
      <c r="I65" s="315">
        <v>1441.33</v>
      </c>
      <c r="J65" s="315">
        <v>3821.04</v>
      </c>
      <c r="K65" s="315">
        <v>3469.82</v>
      </c>
      <c r="L65" s="315">
        <v>5272.37</v>
      </c>
      <c r="M65" s="315">
        <v>4661.55</v>
      </c>
      <c r="N65" s="333">
        <v>4000</v>
      </c>
      <c r="O65" s="343">
        <f t="shared" si="4"/>
        <v>47054.470000000008</v>
      </c>
    </row>
    <row r="66" spans="1:15" s="322" customFormat="1" ht="13.5" hidden="1" customHeight="1" x14ac:dyDescent="0.2">
      <c r="A66" s="305" t="s">
        <v>325</v>
      </c>
      <c r="B66" s="306" t="s">
        <v>326</v>
      </c>
      <c r="C66" s="312">
        <v>868.96</v>
      </c>
      <c r="D66" s="312">
        <v>372.41</v>
      </c>
      <c r="E66" s="315">
        <v>1008.62</v>
      </c>
      <c r="F66" s="315">
        <v>275.86</v>
      </c>
      <c r="G66" s="315">
        <v>321.83999999999997</v>
      </c>
      <c r="H66" s="315">
        <v>413.79</v>
      </c>
      <c r="I66" s="315">
        <v>372.41</v>
      </c>
      <c r="J66" s="315">
        <v>4936.45</v>
      </c>
      <c r="K66" s="315">
        <v>4733.2700000000004</v>
      </c>
      <c r="L66" s="315">
        <v>668.96</v>
      </c>
      <c r="M66" s="315">
        <v>331.03</v>
      </c>
      <c r="N66" s="333">
        <v>0</v>
      </c>
      <c r="O66" s="343">
        <f t="shared" si="4"/>
        <v>14303.6</v>
      </c>
    </row>
    <row r="67" spans="1:15" s="309" customFormat="1" ht="13.5" hidden="1" customHeight="1" x14ac:dyDescent="0.2">
      <c r="A67" s="305" t="s">
        <v>327</v>
      </c>
      <c r="B67" s="306" t="s">
        <v>328</v>
      </c>
      <c r="C67" s="312">
        <v>0</v>
      </c>
      <c r="D67" s="312">
        <v>265.93</v>
      </c>
      <c r="E67" s="315">
        <v>121.8</v>
      </c>
      <c r="F67" s="315">
        <v>121.8</v>
      </c>
      <c r="G67" s="315">
        <v>0</v>
      </c>
      <c r="H67" s="315">
        <v>0</v>
      </c>
      <c r="I67" s="315">
        <v>0</v>
      </c>
      <c r="J67" s="315">
        <v>87</v>
      </c>
      <c r="K67" s="315">
        <v>898.09</v>
      </c>
      <c r="L67" s="315">
        <v>0</v>
      </c>
      <c r="M67" s="315">
        <v>614.15</v>
      </c>
      <c r="N67" s="333">
        <v>0</v>
      </c>
      <c r="O67" s="343">
        <f t="shared" si="4"/>
        <v>2108.77</v>
      </c>
    </row>
    <row r="68" spans="1:15" s="309" customFormat="1" ht="13.5" hidden="1" customHeight="1" x14ac:dyDescent="0.2">
      <c r="A68" s="305" t="s">
        <v>329</v>
      </c>
      <c r="B68" s="306" t="s">
        <v>330</v>
      </c>
      <c r="C68" s="312">
        <v>0</v>
      </c>
      <c r="D68" s="312">
        <v>0</v>
      </c>
      <c r="E68" s="315">
        <v>0</v>
      </c>
      <c r="F68" s="315">
        <v>73.959999999999994</v>
      </c>
      <c r="G68" s="315">
        <v>0</v>
      </c>
      <c r="H68" s="315">
        <v>0</v>
      </c>
      <c r="I68" s="315">
        <v>1004.85</v>
      </c>
      <c r="J68" s="315">
        <v>0</v>
      </c>
      <c r="K68" s="315">
        <v>0</v>
      </c>
      <c r="L68" s="315">
        <v>0</v>
      </c>
      <c r="M68" s="315">
        <v>0</v>
      </c>
      <c r="N68" s="333">
        <v>1000</v>
      </c>
      <c r="O68" s="343">
        <f t="shared" si="4"/>
        <v>2078.81</v>
      </c>
    </row>
    <row r="69" spans="1:15" s="309" customFormat="1" ht="13.5" hidden="1" customHeight="1" x14ac:dyDescent="0.2">
      <c r="A69" s="305" t="s">
        <v>331</v>
      </c>
      <c r="B69" s="306" t="s">
        <v>70</v>
      </c>
      <c r="C69" s="312">
        <v>1851.59</v>
      </c>
      <c r="D69" s="312">
        <v>1151.23</v>
      </c>
      <c r="E69" s="315">
        <v>1410.17</v>
      </c>
      <c r="F69" s="315">
        <v>979.62</v>
      </c>
      <c r="G69" s="315">
        <v>866.35</v>
      </c>
      <c r="H69" s="315">
        <v>1347.5</v>
      </c>
      <c r="I69" s="315">
        <v>1353.38</v>
      </c>
      <c r="J69" s="315">
        <v>1581.65</v>
      </c>
      <c r="K69" s="315">
        <v>1536.12</v>
      </c>
      <c r="L69" s="315">
        <v>1414.47</v>
      </c>
      <c r="M69" s="315">
        <v>1798.95</v>
      </c>
      <c r="N69" s="333">
        <v>1432</v>
      </c>
      <c r="O69" s="343">
        <f t="shared" si="4"/>
        <v>16723.03</v>
      </c>
    </row>
    <row r="70" spans="1:15" s="309" customFormat="1" ht="13.5" hidden="1" customHeight="1" x14ac:dyDescent="0.2">
      <c r="A70" s="305" t="s">
        <v>332</v>
      </c>
      <c r="B70" s="306" t="s">
        <v>71</v>
      </c>
      <c r="C70" s="312">
        <v>1310.29</v>
      </c>
      <c r="D70" s="312">
        <v>1467.28</v>
      </c>
      <c r="E70" s="315">
        <v>1406.62</v>
      </c>
      <c r="F70" s="315">
        <v>1614.94</v>
      </c>
      <c r="G70" s="315">
        <v>1442.11</v>
      </c>
      <c r="H70" s="315">
        <v>1441.26</v>
      </c>
      <c r="I70" s="315">
        <v>1769.43</v>
      </c>
      <c r="J70" s="315">
        <v>2116.5700000000002</v>
      </c>
      <c r="K70" s="315">
        <v>1554.9</v>
      </c>
      <c r="L70" s="315">
        <v>1502.68</v>
      </c>
      <c r="M70" s="315">
        <v>1919.43</v>
      </c>
      <c r="N70" s="333">
        <v>1267.8</v>
      </c>
      <c r="O70" s="343">
        <f t="shared" si="4"/>
        <v>18813.309999999998</v>
      </c>
    </row>
    <row r="71" spans="1:15" s="309" customFormat="1" ht="13.5" customHeight="1" x14ac:dyDescent="0.2">
      <c r="A71" s="305" t="s">
        <v>333</v>
      </c>
      <c r="B71" s="306" t="s">
        <v>334</v>
      </c>
      <c r="C71" s="312">
        <v>0</v>
      </c>
      <c r="D71" s="312">
        <v>0</v>
      </c>
      <c r="E71" s="315">
        <v>0</v>
      </c>
      <c r="F71" s="315">
        <v>0</v>
      </c>
      <c r="G71" s="315">
        <v>0</v>
      </c>
      <c r="H71" s="315">
        <v>0</v>
      </c>
      <c r="I71" s="315">
        <v>0</v>
      </c>
      <c r="J71" s="315">
        <v>0</v>
      </c>
      <c r="K71" s="315">
        <v>0</v>
      </c>
      <c r="L71" s="315">
        <v>0</v>
      </c>
      <c r="M71" s="315">
        <v>0</v>
      </c>
      <c r="N71" s="333">
        <v>0</v>
      </c>
      <c r="O71" s="343">
        <f t="shared" si="4"/>
        <v>0</v>
      </c>
    </row>
    <row r="72" spans="1:15" s="309" customFormat="1" ht="13.5" hidden="1" customHeight="1" x14ac:dyDescent="0.2">
      <c r="A72" s="305" t="s">
        <v>335</v>
      </c>
      <c r="B72" s="306" t="s">
        <v>73</v>
      </c>
      <c r="C72" s="312">
        <v>0</v>
      </c>
      <c r="D72" s="312">
        <v>0</v>
      </c>
      <c r="E72" s="315">
        <v>0</v>
      </c>
      <c r="F72" s="315">
        <v>350.88</v>
      </c>
      <c r="G72" s="315">
        <v>350.88</v>
      </c>
      <c r="H72" s="315">
        <v>350.88</v>
      </c>
      <c r="I72" s="315">
        <v>350.88</v>
      </c>
      <c r="J72" s="315">
        <v>350.88</v>
      </c>
      <c r="K72" s="315">
        <v>350.88</v>
      </c>
      <c r="L72" s="315">
        <v>350.88</v>
      </c>
      <c r="M72" s="315">
        <v>350.88</v>
      </c>
      <c r="N72" s="333">
        <v>575</v>
      </c>
      <c r="O72" s="343">
        <f t="shared" si="4"/>
        <v>3382.0400000000004</v>
      </c>
    </row>
    <row r="73" spans="1:15" s="309" customFormat="1" ht="13.5" customHeight="1" x14ac:dyDescent="0.2">
      <c r="A73" s="305" t="s">
        <v>336</v>
      </c>
      <c r="B73" s="306" t="s">
        <v>337</v>
      </c>
      <c r="C73" s="312">
        <v>0</v>
      </c>
      <c r="D73" s="312">
        <v>0</v>
      </c>
      <c r="E73" s="315">
        <v>0</v>
      </c>
      <c r="F73" s="315">
        <v>0</v>
      </c>
      <c r="G73" s="315">
        <v>0</v>
      </c>
      <c r="H73" s="315">
        <v>0</v>
      </c>
      <c r="I73" s="315">
        <v>0</v>
      </c>
      <c r="J73" s="315">
        <v>0</v>
      </c>
      <c r="K73" s="315">
        <v>0</v>
      </c>
      <c r="L73" s="315">
        <v>0</v>
      </c>
      <c r="M73" s="315">
        <v>0</v>
      </c>
      <c r="N73" s="333">
        <v>0</v>
      </c>
      <c r="O73" s="343">
        <f t="shared" si="4"/>
        <v>0</v>
      </c>
    </row>
    <row r="74" spans="1:15" s="309" customFormat="1" ht="13.5" customHeight="1" x14ac:dyDescent="0.2">
      <c r="A74" s="305" t="s">
        <v>338</v>
      </c>
      <c r="B74" s="306" t="s">
        <v>339</v>
      </c>
      <c r="C74" s="312">
        <v>0</v>
      </c>
      <c r="D74" s="312">
        <v>0</v>
      </c>
      <c r="E74" s="315">
        <v>0</v>
      </c>
      <c r="F74" s="315">
        <v>0</v>
      </c>
      <c r="G74" s="315">
        <v>0</v>
      </c>
      <c r="H74" s="315">
        <v>0</v>
      </c>
      <c r="I74" s="315">
        <v>0</v>
      </c>
      <c r="J74" s="315">
        <v>0</v>
      </c>
      <c r="K74" s="315">
        <v>0</v>
      </c>
      <c r="L74" s="315">
        <v>0</v>
      </c>
      <c r="M74" s="315">
        <v>0</v>
      </c>
      <c r="N74" s="333">
        <v>0</v>
      </c>
      <c r="O74" s="343">
        <f t="shared" si="4"/>
        <v>0</v>
      </c>
    </row>
    <row r="75" spans="1:15" s="309" customFormat="1" ht="13.5" customHeight="1" x14ac:dyDescent="0.2">
      <c r="A75" s="305" t="s">
        <v>340</v>
      </c>
      <c r="B75" s="306" t="s">
        <v>341</v>
      </c>
      <c r="C75" s="312">
        <v>0</v>
      </c>
      <c r="D75" s="312">
        <v>0</v>
      </c>
      <c r="E75" s="315">
        <v>0</v>
      </c>
      <c r="F75" s="315">
        <v>0</v>
      </c>
      <c r="G75" s="315">
        <v>0</v>
      </c>
      <c r="H75" s="315">
        <v>0</v>
      </c>
      <c r="I75" s="315">
        <v>0</v>
      </c>
      <c r="J75" s="315">
        <v>0</v>
      </c>
      <c r="K75" s="315">
        <v>0</v>
      </c>
      <c r="L75" s="315">
        <v>0</v>
      </c>
      <c r="M75" s="315">
        <v>0</v>
      </c>
      <c r="N75" s="333">
        <v>0</v>
      </c>
      <c r="O75" s="343">
        <f t="shared" ref="O75:O95" si="33">SUM(C75:N75)</f>
        <v>0</v>
      </c>
    </row>
    <row r="76" spans="1:15" s="309" customFormat="1" ht="13.5" hidden="1" customHeight="1" x14ac:dyDescent="0.2">
      <c r="A76" s="305" t="s">
        <v>342</v>
      </c>
      <c r="B76" s="306" t="s">
        <v>74</v>
      </c>
      <c r="C76" s="312">
        <v>0</v>
      </c>
      <c r="D76" s="312">
        <v>0</v>
      </c>
      <c r="E76" s="315">
        <v>0</v>
      </c>
      <c r="F76" s="315">
        <v>0</v>
      </c>
      <c r="G76" s="315">
        <v>0</v>
      </c>
      <c r="H76" s="315">
        <v>0</v>
      </c>
      <c r="I76" s="315">
        <v>6612</v>
      </c>
      <c r="J76" s="315">
        <v>0</v>
      </c>
      <c r="K76" s="315">
        <v>234.9</v>
      </c>
      <c r="L76" s="315">
        <v>0</v>
      </c>
      <c r="M76" s="315">
        <v>0</v>
      </c>
      <c r="N76" s="333">
        <v>500</v>
      </c>
      <c r="O76" s="343">
        <f t="shared" si="33"/>
        <v>7346.9</v>
      </c>
    </row>
    <row r="77" spans="1:15" s="309" customFormat="1" ht="13.5" hidden="1" customHeight="1" x14ac:dyDescent="0.2">
      <c r="A77" s="305" t="s">
        <v>343</v>
      </c>
      <c r="B77" s="306" t="s">
        <v>75</v>
      </c>
      <c r="C77" s="312">
        <v>768.33</v>
      </c>
      <c r="D77" s="312">
        <v>1281.5899999999999</v>
      </c>
      <c r="E77" s="315">
        <v>2843.49</v>
      </c>
      <c r="F77" s="315">
        <v>1366.01</v>
      </c>
      <c r="G77" s="315">
        <v>1597.6</v>
      </c>
      <c r="H77" s="315">
        <v>2807.19</v>
      </c>
      <c r="I77" s="315">
        <v>2626.64</v>
      </c>
      <c r="J77" s="315">
        <v>1910.08</v>
      </c>
      <c r="K77" s="315">
        <v>1346.76</v>
      </c>
      <c r="L77" s="315">
        <v>3182.49</v>
      </c>
      <c r="M77" s="315">
        <v>1964.58</v>
      </c>
      <c r="N77" s="333">
        <v>4320</v>
      </c>
      <c r="O77" s="343">
        <f t="shared" si="33"/>
        <v>26014.760000000002</v>
      </c>
    </row>
    <row r="78" spans="1:15" s="309" customFormat="1" ht="13.5" customHeight="1" x14ac:dyDescent="0.2">
      <c r="A78" s="305" t="s">
        <v>344</v>
      </c>
      <c r="B78" s="306" t="s">
        <v>345</v>
      </c>
      <c r="C78" s="312">
        <v>0</v>
      </c>
      <c r="D78" s="312">
        <v>0</v>
      </c>
      <c r="E78" s="315">
        <v>0</v>
      </c>
      <c r="F78" s="315">
        <v>0</v>
      </c>
      <c r="G78" s="315">
        <v>0</v>
      </c>
      <c r="H78" s="315">
        <v>0</v>
      </c>
      <c r="I78" s="315">
        <v>0</v>
      </c>
      <c r="J78" s="315">
        <v>0</v>
      </c>
      <c r="K78" s="315">
        <v>0</v>
      </c>
      <c r="L78" s="315">
        <v>0</v>
      </c>
      <c r="M78" s="315">
        <v>0</v>
      </c>
      <c r="N78" s="333">
        <v>0</v>
      </c>
      <c r="O78" s="343">
        <f t="shared" si="33"/>
        <v>0</v>
      </c>
    </row>
    <row r="79" spans="1:15" s="309" customFormat="1" ht="13.5" customHeight="1" x14ac:dyDescent="0.2">
      <c r="A79" s="305" t="s">
        <v>346</v>
      </c>
      <c r="B79" s="306" t="s">
        <v>347</v>
      </c>
      <c r="C79" s="312">
        <v>0</v>
      </c>
      <c r="D79" s="312">
        <v>0</v>
      </c>
      <c r="E79" s="315">
        <v>0</v>
      </c>
      <c r="F79" s="315">
        <v>0</v>
      </c>
      <c r="G79" s="315">
        <v>0</v>
      </c>
      <c r="H79" s="315">
        <v>0</v>
      </c>
      <c r="I79" s="315">
        <v>0</v>
      </c>
      <c r="J79" s="315">
        <v>0</v>
      </c>
      <c r="K79" s="315">
        <v>0</v>
      </c>
      <c r="L79" s="315">
        <v>0</v>
      </c>
      <c r="M79" s="315">
        <v>0</v>
      </c>
      <c r="N79" s="333">
        <v>0</v>
      </c>
      <c r="O79" s="343">
        <f t="shared" si="33"/>
        <v>0</v>
      </c>
    </row>
    <row r="80" spans="1:15" s="309" customFormat="1" ht="13.5" customHeight="1" x14ac:dyDescent="0.2">
      <c r="A80" s="305" t="s">
        <v>348</v>
      </c>
      <c r="B80" s="306" t="s">
        <v>242</v>
      </c>
      <c r="C80" s="312">
        <v>0</v>
      </c>
      <c r="D80" s="312">
        <v>0</v>
      </c>
      <c r="E80" s="315">
        <v>0</v>
      </c>
      <c r="F80" s="315">
        <v>0</v>
      </c>
      <c r="G80" s="315">
        <v>0</v>
      </c>
      <c r="H80" s="315">
        <v>0</v>
      </c>
      <c r="I80" s="315">
        <v>0</v>
      </c>
      <c r="J80" s="315">
        <v>0</v>
      </c>
      <c r="K80" s="315">
        <v>0</v>
      </c>
      <c r="L80" s="315">
        <v>0</v>
      </c>
      <c r="M80" s="315">
        <v>0</v>
      </c>
      <c r="N80" s="333">
        <v>0</v>
      </c>
      <c r="O80" s="343">
        <f t="shared" si="33"/>
        <v>0</v>
      </c>
    </row>
    <row r="81" spans="1:15" s="309" customFormat="1" ht="13.5" hidden="1" customHeight="1" x14ac:dyDescent="0.2">
      <c r="A81" s="305" t="s">
        <v>349</v>
      </c>
      <c r="B81" s="306" t="s">
        <v>69</v>
      </c>
      <c r="C81" s="312">
        <v>52.06</v>
      </c>
      <c r="D81" s="312">
        <v>791.35</v>
      </c>
      <c r="E81" s="315">
        <v>723.92</v>
      </c>
      <c r="F81" s="315">
        <v>172</v>
      </c>
      <c r="G81" s="315">
        <v>529.89</v>
      </c>
      <c r="H81" s="315">
        <v>34.799999999999997</v>
      </c>
      <c r="I81" s="315">
        <v>198.92</v>
      </c>
      <c r="J81" s="315">
        <v>1914.23</v>
      </c>
      <c r="K81" s="315">
        <v>3915</v>
      </c>
      <c r="L81" s="315">
        <v>688.78</v>
      </c>
      <c r="M81" s="315">
        <v>8512.65</v>
      </c>
      <c r="N81" s="333">
        <v>1000</v>
      </c>
      <c r="O81" s="343">
        <f t="shared" si="33"/>
        <v>18533.599999999999</v>
      </c>
    </row>
    <row r="82" spans="1:15" s="309" customFormat="1" ht="13.5" customHeight="1" x14ac:dyDescent="0.2">
      <c r="A82" s="305" t="s">
        <v>350</v>
      </c>
      <c r="B82" s="306" t="s">
        <v>351</v>
      </c>
      <c r="C82" s="312">
        <v>0</v>
      </c>
      <c r="D82" s="312">
        <v>0</v>
      </c>
      <c r="E82" s="315">
        <v>0</v>
      </c>
      <c r="F82" s="315">
        <v>0</v>
      </c>
      <c r="G82" s="315">
        <v>0</v>
      </c>
      <c r="H82" s="315">
        <v>0</v>
      </c>
      <c r="I82" s="315">
        <v>0</v>
      </c>
      <c r="J82" s="315">
        <v>0</v>
      </c>
      <c r="K82" s="315">
        <v>0</v>
      </c>
      <c r="L82" s="315">
        <v>0</v>
      </c>
      <c r="M82" s="315">
        <v>0</v>
      </c>
      <c r="N82" s="333">
        <v>0</v>
      </c>
      <c r="O82" s="343">
        <f t="shared" si="33"/>
        <v>0</v>
      </c>
    </row>
    <row r="83" spans="1:15" s="294" customFormat="1" ht="13.5" hidden="1" customHeight="1" x14ac:dyDescent="0.2">
      <c r="A83" s="305" t="s">
        <v>352</v>
      </c>
      <c r="B83" s="306" t="s">
        <v>353</v>
      </c>
      <c r="C83" s="312">
        <v>25557.248504396212</v>
      </c>
      <c r="D83" s="312">
        <v>68433.119999999995</v>
      </c>
      <c r="E83" s="315">
        <v>105448.69</v>
      </c>
      <c r="F83" s="315">
        <v>77888.839603367815</v>
      </c>
      <c r="G83" s="315">
        <v>94792.04191862169</v>
      </c>
      <c r="H83" s="315">
        <v>138054.39131424727</v>
      </c>
      <c r="I83" s="315">
        <v>73720.03171834239</v>
      </c>
      <c r="J83" s="315">
        <v>65310.158644778377</v>
      </c>
      <c r="K83" s="315">
        <v>119395.42356065282</v>
      </c>
      <c r="L83" s="315">
        <v>87423.424399999989</v>
      </c>
      <c r="M83" s="315">
        <v>0</v>
      </c>
      <c r="N83" s="333">
        <v>134949.14978329901</v>
      </c>
      <c r="O83" s="343">
        <f t="shared" si="33"/>
        <v>990972.51944770571</v>
      </c>
    </row>
    <row r="84" spans="1:15" s="294" customFormat="1" ht="13.5" customHeight="1" x14ac:dyDescent="0.2">
      <c r="A84" s="295" t="s">
        <v>354</v>
      </c>
      <c r="B84" s="296" t="s">
        <v>355</v>
      </c>
      <c r="C84" s="297">
        <f t="shared" ref="C84:M84" si="34">C85+C87+C89+C91+C93</f>
        <v>0</v>
      </c>
      <c r="D84" s="297">
        <f t="shared" si="34"/>
        <v>0</v>
      </c>
      <c r="E84" s="298">
        <f t="shared" si="34"/>
        <v>0</v>
      </c>
      <c r="F84" s="298">
        <f t="shared" si="34"/>
        <v>0</v>
      </c>
      <c r="G84" s="298">
        <f t="shared" si="34"/>
        <v>0</v>
      </c>
      <c r="H84" s="298">
        <f t="shared" si="34"/>
        <v>0</v>
      </c>
      <c r="I84" s="298">
        <f t="shared" si="34"/>
        <v>0</v>
      </c>
      <c r="J84" s="298">
        <f t="shared" si="34"/>
        <v>0</v>
      </c>
      <c r="K84" s="298">
        <f t="shared" si="34"/>
        <v>0</v>
      </c>
      <c r="L84" s="298">
        <f t="shared" si="34"/>
        <v>0</v>
      </c>
      <c r="M84" s="298">
        <f t="shared" si="34"/>
        <v>0</v>
      </c>
      <c r="N84" s="327">
        <f t="shared" ref="N84" si="35">N85+N87+N89+N91+N93</f>
        <v>0</v>
      </c>
      <c r="O84" s="337">
        <f t="shared" si="33"/>
        <v>0</v>
      </c>
    </row>
    <row r="85" spans="1:15" s="309" customFormat="1" ht="13.5" customHeight="1" x14ac:dyDescent="0.2">
      <c r="A85" s="321" t="s">
        <v>356</v>
      </c>
      <c r="B85" s="301" t="s">
        <v>357</v>
      </c>
      <c r="C85" s="302">
        <f t="shared" ref="C85:M85" si="36">C86</f>
        <v>0</v>
      </c>
      <c r="D85" s="302">
        <f t="shared" si="36"/>
        <v>0</v>
      </c>
      <c r="E85" s="303">
        <f t="shared" si="36"/>
        <v>0</v>
      </c>
      <c r="F85" s="303">
        <f t="shared" si="36"/>
        <v>0</v>
      </c>
      <c r="G85" s="303">
        <f t="shared" si="36"/>
        <v>0</v>
      </c>
      <c r="H85" s="303">
        <f t="shared" si="36"/>
        <v>0</v>
      </c>
      <c r="I85" s="303">
        <f t="shared" si="36"/>
        <v>0</v>
      </c>
      <c r="J85" s="303">
        <f t="shared" si="36"/>
        <v>0</v>
      </c>
      <c r="K85" s="303">
        <f t="shared" si="36"/>
        <v>0</v>
      </c>
      <c r="L85" s="303">
        <f t="shared" si="36"/>
        <v>0</v>
      </c>
      <c r="M85" s="303">
        <f t="shared" si="36"/>
        <v>0</v>
      </c>
      <c r="N85" s="328">
        <f t="shared" ref="N85" si="37">N86</f>
        <v>0</v>
      </c>
      <c r="O85" s="338">
        <f t="shared" si="33"/>
        <v>0</v>
      </c>
    </row>
    <row r="86" spans="1:15" s="309" customFormat="1" ht="13.5" customHeight="1" x14ac:dyDescent="0.2">
      <c r="A86" s="305" t="s">
        <v>358</v>
      </c>
      <c r="B86" s="306" t="s">
        <v>359</v>
      </c>
      <c r="C86" s="323">
        <v>0</v>
      </c>
      <c r="D86" s="323">
        <v>0</v>
      </c>
      <c r="E86" s="324">
        <v>0</v>
      </c>
      <c r="F86" s="324">
        <v>0</v>
      </c>
      <c r="G86" s="324">
        <v>0</v>
      </c>
      <c r="H86" s="324">
        <v>0</v>
      </c>
      <c r="I86" s="324">
        <v>0</v>
      </c>
      <c r="J86" s="324">
        <v>0</v>
      </c>
      <c r="K86" s="324">
        <v>0</v>
      </c>
      <c r="L86" s="324">
        <v>0</v>
      </c>
      <c r="M86" s="324">
        <v>0</v>
      </c>
      <c r="N86" s="335">
        <v>0</v>
      </c>
      <c r="O86" s="345">
        <f t="shared" si="33"/>
        <v>0</v>
      </c>
    </row>
    <row r="87" spans="1:15" s="309" customFormat="1" ht="13.5" customHeight="1" x14ac:dyDescent="0.2">
      <c r="A87" s="321" t="s">
        <v>360</v>
      </c>
      <c r="B87" s="301" t="s">
        <v>361</v>
      </c>
      <c r="C87" s="302">
        <f t="shared" ref="C87:M87" si="38">C88</f>
        <v>0</v>
      </c>
      <c r="D87" s="302">
        <f t="shared" si="38"/>
        <v>0</v>
      </c>
      <c r="E87" s="303">
        <f t="shared" si="38"/>
        <v>0</v>
      </c>
      <c r="F87" s="303">
        <f t="shared" si="38"/>
        <v>0</v>
      </c>
      <c r="G87" s="303">
        <f t="shared" si="38"/>
        <v>0</v>
      </c>
      <c r="H87" s="303">
        <f t="shared" si="38"/>
        <v>0</v>
      </c>
      <c r="I87" s="303">
        <f t="shared" si="38"/>
        <v>0</v>
      </c>
      <c r="J87" s="303">
        <f t="shared" si="38"/>
        <v>0</v>
      </c>
      <c r="K87" s="303">
        <f t="shared" si="38"/>
        <v>0</v>
      </c>
      <c r="L87" s="303">
        <f t="shared" si="38"/>
        <v>0</v>
      </c>
      <c r="M87" s="303">
        <f t="shared" si="38"/>
        <v>0</v>
      </c>
      <c r="N87" s="328">
        <f t="shared" ref="N87" si="39">N88</f>
        <v>0</v>
      </c>
      <c r="O87" s="338">
        <f t="shared" si="33"/>
        <v>0</v>
      </c>
    </row>
    <row r="88" spans="1:15" s="309" customFormat="1" ht="13.5" customHeight="1" x14ac:dyDescent="0.2">
      <c r="A88" s="305" t="s">
        <v>362</v>
      </c>
      <c r="B88" s="306" t="s">
        <v>363</v>
      </c>
      <c r="C88" s="323">
        <v>0</v>
      </c>
      <c r="D88" s="323">
        <v>0</v>
      </c>
      <c r="E88" s="324">
        <v>0</v>
      </c>
      <c r="F88" s="324">
        <v>0</v>
      </c>
      <c r="G88" s="324">
        <v>0</v>
      </c>
      <c r="H88" s="324">
        <v>0</v>
      </c>
      <c r="I88" s="324">
        <v>0</v>
      </c>
      <c r="J88" s="324">
        <v>0</v>
      </c>
      <c r="K88" s="324">
        <v>0</v>
      </c>
      <c r="L88" s="324">
        <v>0</v>
      </c>
      <c r="M88" s="324">
        <v>0</v>
      </c>
      <c r="N88" s="335">
        <v>0</v>
      </c>
      <c r="O88" s="345">
        <f t="shared" si="33"/>
        <v>0</v>
      </c>
    </row>
    <row r="89" spans="1:15" s="294" customFormat="1" ht="13.5" customHeight="1" x14ac:dyDescent="0.2">
      <c r="A89" s="321" t="s">
        <v>364</v>
      </c>
      <c r="B89" s="301" t="s">
        <v>365</v>
      </c>
      <c r="C89" s="302">
        <f t="shared" ref="C89:M89" si="40">C90</f>
        <v>0</v>
      </c>
      <c r="D89" s="302">
        <f t="shared" si="40"/>
        <v>0</v>
      </c>
      <c r="E89" s="303">
        <f t="shared" si="40"/>
        <v>0</v>
      </c>
      <c r="F89" s="303">
        <f t="shared" si="40"/>
        <v>0</v>
      </c>
      <c r="G89" s="303">
        <f t="shared" si="40"/>
        <v>0</v>
      </c>
      <c r="H89" s="303">
        <f t="shared" si="40"/>
        <v>0</v>
      </c>
      <c r="I89" s="303">
        <f t="shared" si="40"/>
        <v>0</v>
      </c>
      <c r="J89" s="303">
        <f t="shared" si="40"/>
        <v>0</v>
      </c>
      <c r="K89" s="303">
        <f t="shared" si="40"/>
        <v>0</v>
      </c>
      <c r="L89" s="303">
        <f t="shared" si="40"/>
        <v>0</v>
      </c>
      <c r="M89" s="303">
        <f t="shared" si="40"/>
        <v>0</v>
      </c>
      <c r="N89" s="328">
        <f t="shared" ref="N89" si="41">N90</f>
        <v>0</v>
      </c>
      <c r="O89" s="338">
        <f t="shared" si="33"/>
        <v>0</v>
      </c>
    </row>
    <row r="90" spans="1:15" s="309" customFormat="1" ht="13.5" customHeight="1" x14ac:dyDescent="0.2">
      <c r="A90" s="305" t="s">
        <v>366</v>
      </c>
      <c r="B90" s="306" t="s">
        <v>367</v>
      </c>
      <c r="C90" s="323">
        <v>0</v>
      </c>
      <c r="D90" s="323">
        <v>0</v>
      </c>
      <c r="E90" s="324">
        <v>0</v>
      </c>
      <c r="F90" s="324">
        <v>0</v>
      </c>
      <c r="G90" s="324">
        <v>0</v>
      </c>
      <c r="H90" s="324">
        <v>0</v>
      </c>
      <c r="I90" s="324">
        <v>0</v>
      </c>
      <c r="J90" s="324">
        <v>0</v>
      </c>
      <c r="K90" s="324">
        <v>0</v>
      </c>
      <c r="L90" s="324">
        <v>0</v>
      </c>
      <c r="M90" s="324">
        <v>0</v>
      </c>
      <c r="N90" s="335">
        <v>0</v>
      </c>
      <c r="O90" s="345">
        <f t="shared" si="33"/>
        <v>0</v>
      </c>
    </row>
    <row r="91" spans="1:15" s="294" customFormat="1" ht="13.5" customHeight="1" x14ac:dyDescent="0.2">
      <c r="A91" s="321" t="s">
        <v>368</v>
      </c>
      <c r="B91" s="301" t="s">
        <v>369</v>
      </c>
      <c r="C91" s="302">
        <f t="shared" ref="C91:M91" si="42">C92</f>
        <v>0</v>
      </c>
      <c r="D91" s="302">
        <f t="shared" si="42"/>
        <v>0</v>
      </c>
      <c r="E91" s="303">
        <f t="shared" si="42"/>
        <v>0</v>
      </c>
      <c r="F91" s="303">
        <f t="shared" si="42"/>
        <v>0</v>
      </c>
      <c r="G91" s="303">
        <f t="shared" si="42"/>
        <v>0</v>
      </c>
      <c r="H91" s="303">
        <f t="shared" si="42"/>
        <v>0</v>
      </c>
      <c r="I91" s="303">
        <f t="shared" si="42"/>
        <v>0</v>
      </c>
      <c r="J91" s="303">
        <f t="shared" si="42"/>
        <v>0</v>
      </c>
      <c r="K91" s="303">
        <f t="shared" si="42"/>
        <v>0</v>
      </c>
      <c r="L91" s="303">
        <f t="shared" si="42"/>
        <v>0</v>
      </c>
      <c r="M91" s="303">
        <f t="shared" si="42"/>
        <v>0</v>
      </c>
      <c r="N91" s="328">
        <f t="shared" ref="N91" si="43">N92</f>
        <v>0</v>
      </c>
      <c r="O91" s="338">
        <f t="shared" si="33"/>
        <v>0</v>
      </c>
    </row>
    <row r="92" spans="1:15" s="309" customFormat="1" ht="13.5" customHeight="1" x14ac:dyDescent="0.2">
      <c r="A92" s="305" t="s">
        <v>370</v>
      </c>
      <c r="B92" s="306" t="s">
        <v>371</v>
      </c>
      <c r="C92" s="323">
        <v>0</v>
      </c>
      <c r="D92" s="323">
        <v>0</v>
      </c>
      <c r="E92" s="324">
        <v>0</v>
      </c>
      <c r="F92" s="324">
        <v>0</v>
      </c>
      <c r="G92" s="324">
        <v>0</v>
      </c>
      <c r="H92" s="324">
        <v>0</v>
      </c>
      <c r="I92" s="324">
        <v>0</v>
      </c>
      <c r="J92" s="324">
        <v>0</v>
      </c>
      <c r="K92" s="324">
        <v>0</v>
      </c>
      <c r="L92" s="324">
        <v>0</v>
      </c>
      <c r="M92" s="324">
        <v>0</v>
      </c>
      <c r="N92" s="335">
        <v>0</v>
      </c>
      <c r="O92" s="345">
        <f t="shared" si="33"/>
        <v>0</v>
      </c>
    </row>
    <row r="93" spans="1:15" s="294" customFormat="1" ht="13.5" customHeight="1" x14ac:dyDescent="0.2">
      <c r="A93" s="321" t="s">
        <v>372</v>
      </c>
      <c r="B93" s="301" t="s">
        <v>373</v>
      </c>
      <c r="C93" s="302">
        <f t="shared" ref="C93:M93" si="44">C94</f>
        <v>0</v>
      </c>
      <c r="D93" s="302">
        <f t="shared" si="44"/>
        <v>0</v>
      </c>
      <c r="E93" s="303">
        <f t="shared" si="44"/>
        <v>0</v>
      </c>
      <c r="F93" s="303">
        <f t="shared" si="44"/>
        <v>0</v>
      </c>
      <c r="G93" s="303">
        <f t="shared" si="44"/>
        <v>0</v>
      </c>
      <c r="H93" s="303">
        <f t="shared" si="44"/>
        <v>0</v>
      </c>
      <c r="I93" s="303">
        <f t="shared" si="44"/>
        <v>0</v>
      </c>
      <c r="J93" s="303">
        <f t="shared" si="44"/>
        <v>0</v>
      </c>
      <c r="K93" s="303">
        <f t="shared" si="44"/>
        <v>0</v>
      </c>
      <c r="L93" s="303">
        <f t="shared" si="44"/>
        <v>0</v>
      </c>
      <c r="M93" s="303">
        <f t="shared" si="44"/>
        <v>0</v>
      </c>
      <c r="N93" s="328">
        <f t="shared" ref="N93" si="45">N94</f>
        <v>0</v>
      </c>
      <c r="O93" s="338">
        <f t="shared" si="33"/>
        <v>0</v>
      </c>
    </row>
    <row r="94" spans="1:15" s="294" customFormat="1" ht="13.5" customHeight="1" x14ac:dyDescent="0.2">
      <c r="A94" s="305" t="s">
        <v>374</v>
      </c>
      <c r="B94" s="306" t="s">
        <v>375</v>
      </c>
      <c r="C94" s="323">
        <v>0</v>
      </c>
      <c r="D94" s="323">
        <v>0</v>
      </c>
      <c r="E94" s="324">
        <v>0</v>
      </c>
      <c r="F94" s="324">
        <v>0</v>
      </c>
      <c r="G94" s="324">
        <v>0</v>
      </c>
      <c r="H94" s="324">
        <v>0</v>
      </c>
      <c r="I94" s="324">
        <v>0</v>
      </c>
      <c r="J94" s="324">
        <v>0</v>
      </c>
      <c r="K94" s="324">
        <v>0</v>
      </c>
      <c r="L94" s="324">
        <v>0</v>
      </c>
      <c r="M94" s="324">
        <v>0</v>
      </c>
      <c r="N94" s="335">
        <v>0</v>
      </c>
      <c r="O94" s="345">
        <f t="shared" si="33"/>
        <v>0</v>
      </c>
    </row>
    <row r="95" spans="1:15" ht="13.5" hidden="1" customHeight="1" thickBot="1" x14ac:dyDescent="0.3">
      <c r="A95" s="325"/>
      <c r="B95" s="291" t="s">
        <v>376</v>
      </c>
      <c r="C95" s="292">
        <f t="shared" ref="C95:N95" si="46">C10-C33</f>
        <v>-40912.456435430708</v>
      </c>
      <c r="D95" s="292">
        <f t="shared" si="46"/>
        <v>3235.5403448276047</v>
      </c>
      <c r="E95" s="293">
        <f t="shared" si="46"/>
        <v>6301.3299999999872</v>
      </c>
      <c r="F95" s="293">
        <f t="shared" si="46"/>
        <v>71336.81039663218</v>
      </c>
      <c r="G95" s="293">
        <f t="shared" si="46"/>
        <v>16270.220839999005</v>
      </c>
      <c r="H95" s="293">
        <f t="shared" si="46"/>
        <v>29024.548685752728</v>
      </c>
      <c r="I95" s="293">
        <f t="shared" si="46"/>
        <v>86722.720350623131</v>
      </c>
      <c r="J95" s="293">
        <f t="shared" si="46"/>
        <v>16514.501355221641</v>
      </c>
      <c r="K95" s="293">
        <f t="shared" si="46"/>
        <v>-46683.313215825241</v>
      </c>
      <c r="L95" s="293">
        <f t="shared" si="46"/>
        <v>81252.315599999973</v>
      </c>
      <c r="M95" s="293">
        <f t="shared" si="46"/>
        <v>-33392.622068965502</v>
      </c>
      <c r="N95" s="326">
        <f t="shared" si="46"/>
        <v>14882.895238080295</v>
      </c>
      <c r="O95" s="346">
        <f t="shared" si="33"/>
        <v>204552.49109091511</v>
      </c>
    </row>
    <row r="97" spans="8:13" x14ac:dyDescent="0.25">
      <c r="H97" s="286"/>
      <c r="L97" s="286"/>
      <c r="M97" s="286"/>
    </row>
  </sheetData>
  <autoFilter ref="A8:O95" xr:uid="{00000000-0009-0000-0000-000012000000}">
    <filterColumn colId="0" showButton="0"/>
    <filterColumn colId="14">
      <filters>
        <filter val="0.00"/>
      </filters>
    </filterColumn>
  </autoFilter>
  <mergeCells count="15">
    <mergeCell ref="O8:O9"/>
    <mergeCell ref="B1:N2"/>
    <mergeCell ref="A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  <pageSetUpPr fitToPage="1"/>
  </sheetPr>
  <dimension ref="A1:Q84"/>
  <sheetViews>
    <sheetView topLeftCell="A4" zoomScale="115" zoomScaleNormal="115" workbookViewId="0">
      <selection activeCell="D31" sqref="D31"/>
    </sheetView>
  </sheetViews>
  <sheetFormatPr baseColWidth="10" defaultColWidth="11.42578125" defaultRowHeight="12.75" x14ac:dyDescent="0.2"/>
  <cols>
    <col min="1" max="1" width="4.5703125" style="1" bestFit="1" customWidth="1"/>
    <col min="2" max="2" width="31.42578125" style="1" bestFit="1" customWidth="1"/>
    <col min="3" max="3" width="19.140625" style="1" bestFit="1" customWidth="1"/>
    <col min="4" max="4" width="17.5703125" style="1" customWidth="1"/>
    <col min="5" max="5" width="12.85546875" style="1" customWidth="1"/>
    <col min="6" max="6" width="10.85546875" style="1" customWidth="1"/>
    <col min="7" max="7" width="15.5703125" style="1" bestFit="1" customWidth="1"/>
    <col min="8" max="8" width="31.42578125" style="1" bestFit="1" customWidth="1"/>
    <col min="9" max="9" width="15.5703125" style="1" bestFit="1" customWidth="1"/>
    <col min="10" max="10" width="11.28515625" style="1" bestFit="1" customWidth="1"/>
    <col min="11" max="11" width="13.140625" style="1" bestFit="1" customWidth="1"/>
    <col min="12" max="12" width="12.7109375" style="1" bestFit="1" customWidth="1"/>
    <col min="13" max="13" width="11.28515625" style="1" bestFit="1" customWidth="1"/>
    <col min="14" max="14" width="13.140625" style="1" bestFit="1" customWidth="1"/>
    <col min="15" max="15" width="15.7109375" style="1" bestFit="1" customWidth="1"/>
    <col min="16" max="16384" width="11.42578125" style="1"/>
  </cols>
  <sheetData>
    <row r="1" spans="1:17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  <c r="L1" s="1019"/>
      <c r="M1" s="1019"/>
      <c r="N1" s="1019"/>
    </row>
    <row r="2" spans="1:17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  <c r="L2" s="1019"/>
      <c r="M2" s="1019"/>
      <c r="N2" s="1019"/>
    </row>
    <row r="3" spans="1:17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  <c r="L3" s="1020"/>
      <c r="M3" s="1020"/>
      <c r="N3" s="1020"/>
    </row>
    <row r="4" spans="1:17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  <c r="L4" s="1020"/>
      <c r="M4" s="1020"/>
      <c r="N4" s="1020"/>
    </row>
    <row r="5" spans="1:17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  <c r="L5" s="1021"/>
      <c r="M5" s="1021"/>
      <c r="N5" s="1021"/>
    </row>
    <row r="6" spans="1:17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L6" s="1021"/>
      <c r="M6" s="1021"/>
      <c r="N6" s="1021"/>
      <c r="O6" s="2"/>
      <c r="P6" s="2"/>
      <c r="Q6" s="2"/>
    </row>
    <row r="7" spans="1:17" x14ac:dyDescent="0.2">
      <c r="D7" s="375" t="s">
        <v>26</v>
      </c>
      <c r="E7" s="375" t="s">
        <v>27</v>
      </c>
      <c r="F7" s="375" t="s">
        <v>53</v>
      </c>
      <c r="I7" s="820"/>
      <c r="O7" s="16" t="s">
        <v>28</v>
      </c>
      <c r="P7" s="17"/>
      <c r="Q7" s="2"/>
    </row>
    <row r="8" spans="1:17" x14ac:dyDescent="0.2">
      <c r="B8" s="376" t="s">
        <v>29</v>
      </c>
      <c r="C8" s="353" t="s">
        <v>30</v>
      </c>
      <c r="D8" s="371"/>
      <c r="E8" s="371"/>
      <c r="F8" s="371"/>
      <c r="G8" s="508">
        <f>+F8/$F$11</f>
        <v>0</v>
      </c>
      <c r="I8" s="821"/>
      <c r="O8" s="16"/>
      <c r="P8" s="17"/>
      <c r="Q8" s="2"/>
    </row>
    <row r="9" spans="1:17" x14ac:dyDescent="0.2">
      <c r="B9" s="1031" t="s">
        <v>5</v>
      </c>
      <c r="C9" s="354" t="s">
        <v>32</v>
      </c>
      <c r="D9" s="371"/>
      <c r="E9" s="372"/>
      <c r="F9" s="373"/>
      <c r="G9" s="508">
        <f>+F9/$F$11</f>
        <v>0</v>
      </c>
      <c r="I9" s="822"/>
      <c r="O9" s="16" t="s">
        <v>33</v>
      </c>
      <c r="P9" s="17"/>
      <c r="Q9" s="2"/>
    </row>
    <row r="10" spans="1:17" x14ac:dyDescent="0.2">
      <c r="B10" s="1031"/>
      <c r="C10" s="354" t="s">
        <v>34</v>
      </c>
      <c r="D10" s="370"/>
      <c r="E10" s="372"/>
      <c r="F10" s="373"/>
      <c r="G10" s="508">
        <f>+F10/$F$11</f>
        <v>0</v>
      </c>
      <c r="I10" s="822"/>
      <c r="O10" s="16"/>
      <c r="P10" s="17"/>
      <c r="Q10" s="2"/>
    </row>
    <row r="11" spans="1:17" s="30" customFormat="1" ht="13.5" thickBot="1" x14ac:dyDescent="0.25">
      <c r="A11" s="27"/>
      <c r="B11" s="31"/>
      <c r="D11" s="374">
        <v>210</v>
      </c>
      <c r="E11" s="374">
        <f>+D11/12</f>
        <v>17.5</v>
      </c>
      <c r="F11" s="374">
        <f>+E11/4</f>
        <v>4.375</v>
      </c>
      <c r="G11" s="507">
        <f>+F11/$F$11</f>
        <v>1</v>
      </c>
      <c r="I11" s="823"/>
      <c r="O11" s="33"/>
      <c r="P11" s="33"/>
      <c r="Q11" s="33"/>
    </row>
    <row r="12" spans="1:17" s="30" customFormat="1" ht="13.5" thickTop="1" x14ac:dyDescent="0.2">
      <c r="A12" s="27"/>
      <c r="B12" s="28"/>
      <c r="C12" s="29"/>
      <c r="G12" s="31"/>
      <c r="H12" s="31"/>
      <c r="I12" s="31"/>
      <c r="K12" s="366"/>
      <c r="L12" s="366"/>
      <c r="M12" s="366"/>
      <c r="N12" s="367"/>
      <c r="O12" s="33"/>
      <c r="P12" s="33"/>
      <c r="Q12" s="33"/>
    </row>
    <row r="13" spans="1:17" ht="14.25" x14ac:dyDescent="0.2">
      <c r="A13" s="424"/>
      <c r="B13" s="1024" t="s">
        <v>36</v>
      </c>
      <c r="C13" s="1024"/>
      <c r="D13" s="1024"/>
      <c r="E13" s="1024"/>
      <c r="F13" s="1024"/>
      <c r="G13" s="1024"/>
      <c r="H13" s="1024"/>
      <c r="I13" s="1024"/>
      <c r="J13" s="1024"/>
      <c r="K13" s="1024"/>
      <c r="L13" s="1024"/>
      <c r="M13" s="1024"/>
      <c r="N13" s="1024"/>
      <c r="O13" s="2"/>
      <c r="P13" s="2"/>
      <c r="Q13" s="2"/>
    </row>
    <row r="14" spans="1:17" ht="13.5" thickBot="1" x14ac:dyDescent="0.25">
      <c r="B14" s="15"/>
      <c r="M14" s="37"/>
      <c r="O14" s="2"/>
      <c r="P14" s="2"/>
      <c r="Q14" s="2"/>
    </row>
    <row r="15" spans="1:17" s="38" customFormat="1" ht="31.5" x14ac:dyDescent="0.2">
      <c r="B15" s="1032" t="s">
        <v>40</v>
      </c>
      <c r="C15" s="1033"/>
      <c r="D15" s="1036" t="s">
        <v>42</v>
      </c>
      <c r="E15" s="1067" t="s">
        <v>525</v>
      </c>
      <c r="F15" s="1033" t="s">
        <v>43</v>
      </c>
      <c r="G15" s="533" t="s">
        <v>429</v>
      </c>
      <c r="H15" s="1022" t="s">
        <v>430</v>
      </c>
      <c r="I15" s="808" t="str">
        <f>+G15</f>
        <v>COSTO POR CURSO/MODUL0/MES</v>
      </c>
      <c r="J15" s="1038" t="s">
        <v>46</v>
      </c>
      <c r="K15" s="1039"/>
      <c r="L15" s="40" t="str">
        <f>+E15</f>
        <v>EJECUTADO</v>
      </c>
      <c r="M15" s="1040" t="s">
        <v>47</v>
      </c>
      <c r="N15" s="1041"/>
      <c r="O15" s="812" t="str">
        <f>+L15</f>
        <v>EJECUTADO</v>
      </c>
    </row>
    <row r="16" spans="1:17" x14ac:dyDescent="0.2">
      <c r="B16" s="1034"/>
      <c r="C16" s="1035"/>
      <c r="D16" s="1037"/>
      <c r="E16" s="1068"/>
      <c r="F16" s="1035"/>
      <c r="G16" s="534" t="s">
        <v>48</v>
      </c>
      <c r="H16" s="1023"/>
      <c r="I16" s="43"/>
      <c r="J16" s="530" t="s">
        <v>49</v>
      </c>
      <c r="K16" s="531" t="s">
        <v>48</v>
      </c>
      <c r="L16" s="806"/>
      <c r="M16" s="530" t="s">
        <v>49</v>
      </c>
      <c r="N16" s="529" t="s">
        <v>48</v>
      </c>
      <c r="O16" s="804"/>
    </row>
    <row r="17" spans="2:15" ht="13.5" thickBot="1" x14ac:dyDescent="0.25">
      <c r="B17" s="1069" t="s">
        <v>50</v>
      </c>
      <c r="C17" s="1070"/>
      <c r="D17" s="1070"/>
      <c r="E17" s="1070"/>
      <c r="F17" s="1070"/>
      <c r="G17" s="1070"/>
      <c r="H17" s="1070"/>
      <c r="I17" s="1070"/>
      <c r="J17" s="1070"/>
      <c r="K17" s="1070"/>
      <c r="L17" s="1070"/>
      <c r="M17" s="1070"/>
      <c r="N17" s="1070"/>
      <c r="O17" s="1071"/>
    </row>
    <row r="18" spans="2:15" s="31" customFormat="1" ht="13.5" thickBot="1" x14ac:dyDescent="0.25">
      <c r="B18" s="1027" t="s">
        <v>51</v>
      </c>
      <c r="C18" s="1028"/>
      <c r="D18" s="546">
        <f>SUM(D19:D20)</f>
        <v>42498.157777777786</v>
      </c>
      <c r="E18" s="546">
        <f>SUM(E19:E20)</f>
        <v>42498.157777777786</v>
      </c>
      <c r="F18" s="416"/>
      <c r="G18" s="536">
        <f>+G19+G20</f>
        <v>4818.6090158730167</v>
      </c>
      <c r="H18" s="416"/>
      <c r="I18" s="809">
        <f>+I19+I20</f>
        <v>2665.4919437641724</v>
      </c>
      <c r="J18" s="417"/>
      <c r="K18" s="423">
        <f>SUM(K19:K20)</f>
        <v>4818.6090158730167</v>
      </c>
      <c r="L18" s="423"/>
      <c r="M18" s="417"/>
      <c r="N18" s="416">
        <f>SUM(N19:N20)</f>
        <v>4818.6090158730167</v>
      </c>
      <c r="O18" s="416"/>
    </row>
    <row r="19" spans="2:15" x14ac:dyDescent="0.2">
      <c r="B19" s="1029" t="s">
        <v>52</v>
      </c>
      <c r="C19" s="1030"/>
      <c r="D19" s="418">
        <f>+'SEC -RLP1 '!P38</f>
        <v>39963.157777777786</v>
      </c>
      <c r="E19" s="824">
        <f>+D19</f>
        <v>39963.157777777786</v>
      </c>
      <c r="F19" s="350" t="s">
        <v>27</v>
      </c>
      <c r="G19" s="537">
        <f>+(D19/$E$11)</f>
        <v>2283.6090158730162</v>
      </c>
      <c r="H19" s="351" t="s">
        <v>378</v>
      </c>
      <c r="I19" s="418">
        <f>+(G19/$E$11)</f>
        <v>130.49194376417236</v>
      </c>
      <c r="J19" s="59" t="s">
        <v>54</v>
      </c>
      <c r="K19" s="60">
        <f>IF($J19="S",G19,0)</f>
        <v>2283.6090158730162</v>
      </c>
      <c r="L19" s="60"/>
      <c r="M19" s="59" t="s">
        <v>54</v>
      </c>
      <c r="N19" s="62">
        <f>IF($M19="S",G19,0)</f>
        <v>2283.6090158730162</v>
      </c>
      <c r="O19" s="62"/>
    </row>
    <row r="20" spans="2:15" ht="13.5" thickBot="1" x14ac:dyDescent="0.25">
      <c r="B20" s="1042" t="s">
        <v>55</v>
      </c>
      <c r="C20" s="1043"/>
      <c r="D20" s="419">
        <v>2535</v>
      </c>
      <c r="E20" s="825">
        <v>2535</v>
      </c>
      <c r="F20" s="351" t="s">
        <v>378</v>
      </c>
      <c r="G20" s="537">
        <f>+D20</f>
        <v>2535</v>
      </c>
      <c r="H20" s="351" t="s">
        <v>378</v>
      </c>
      <c r="I20" s="810">
        <f>+G20</f>
        <v>2535</v>
      </c>
      <c r="J20" s="68" t="s">
        <v>54</v>
      </c>
      <c r="K20" s="60">
        <f>IF($J20="S",G20,0)</f>
        <v>2535</v>
      </c>
      <c r="L20" s="816"/>
      <c r="M20" s="355" t="s">
        <v>54</v>
      </c>
      <c r="N20" s="70">
        <f>IF($M20="S",G20,0)</f>
        <v>2535</v>
      </c>
      <c r="O20" s="70"/>
    </row>
    <row r="21" spans="2:15" s="31" customFormat="1" ht="13.5" thickBot="1" x14ac:dyDescent="0.25">
      <c r="B21" s="1044" t="s">
        <v>58</v>
      </c>
      <c r="C21" s="1045"/>
      <c r="D21" s="546">
        <f>SUM(D22:D42)</f>
        <v>23822.508340996174</v>
      </c>
      <c r="E21" s="546">
        <f>SUM(E22:E42)</f>
        <v>23822.508340996174</v>
      </c>
      <c r="F21" s="416"/>
      <c r="G21" s="536">
        <f>SUM(G22:G45)</f>
        <v>3628.826190914067</v>
      </c>
      <c r="H21" s="416"/>
      <c r="I21" s="809">
        <f>SUM(I22:I45)</f>
        <v>3628.826190914067</v>
      </c>
      <c r="J21" s="417"/>
      <c r="K21" s="423">
        <f>SUM(K22:K45)</f>
        <v>1117.1743682539682</v>
      </c>
      <c r="L21" s="423"/>
      <c r="M21" s="417"/>
      <c r="N21" s="416">
        <f>SUM(N22:N45)</f>
        <v>3384.7143682539681</v>
      </c>
      <c r="O21" s="416"/>
    </row>
    <row r="22" spans="2:15" s="31" customFormat="1" x14ac:dyDescent="0.2">
      <c r="B22" s="1060" t="str">
        <f>+'SEC -RLP1 '!B52</f>
        <v xml:space="preserve">         MATERIAL DE ESCRITORIO</v>
      </c>
      <c r="C22" s="1061"/>
      <c r="D22" s="418">
        <f>+'SEC -RLP1 '!P52</f>
        <v>2114.8566666666666</v>
      </c>
      <c r="E22" s="824">
        <f>+D22</f>
        <v>2114.8566666666666</v>
      </c>
      <c r="F22" s="350" t="s">
        <v>27</v>
      </c>
      <c r="G22" s="537">
        <f t="shared" ref="G22:G42" si="0">+(D22/$E$11)</f>
        <v>120.84895238095237</v>
      </c>
      <c r="H22" s="351" t="s">
        <v>378</v>
      </c>
      <c r="I22" s="418">
        <f>+G22</f>
        <v>120.84895238095237</v>
      </c>
      <c r="J22" s="59" t="s">
        <v>54</v>
      </c>
      <c r="K22" s="60">
        <f t="shared" ref="K22:K35" si="1">IF($J22="S",G22,0)</f>
        <v>120.84895238095237</v>
      </c>
      <c r="L22" s="60"/>
      <c r="M22" s="78" t="s">
        <v>54</v>
      </c>
      <c r="N22" s="62">
        <f t="shared" ref="N22:N35" si="2">IF($M22="S",G22,0)</f>
        <v>120.84895238095237</v>
      </c>
      <c r="O22" s="62"/>
    </row>
    <row r="23" spans="2:15" s="31" customFormat="1" x14ac:dyDescent="0.2">
      <c r="B23" s="1060" t="str">
        <f>+'SEC -RLP1 '!B53</f>
        <v xml:space="preserve">         SERVICIOS EXTERNOS  </v>
      </c>
      <c r="C23" s="1061"/>
      <c r="D23" s="418">
        <f>+'SEC -RLP1 '!P53</f>
        <v>4680.3933333333334</v>
      </c>
      <c r="E23" s="824">
        <f t="shared" ref="E23:E42" si="3">+D23</f>
        <v>4680.3933333333334</v>
      </c>
      <c r="F23" s="350" t="s">
        <v>27</v>
      </c>
      <c r="G23" s="537">
        <f t="shared" si="0"/>
        <v>267.45104761904764</v>
      </c>
      <c r="H23" s="351" t="s">
        <v>378</v>
      </c>
      <c r="I23" s="418">
        <f t="shared" ref="I23:I44" si="4">+G23</f>
        <v>267.45104761904764</v>
      </c>
      <c r="J23" s="59" t="s">
        <v>54</v>
      </c>
      <c r="K23" s="60">
        <f t="shared" si="1"/>
        <v>267.45104761904764</v>
      </c>
      <c r="L23" s="60"/>
      <c r="M23" s="78" t="s">
        <v>54</v>
      </c>
      <c r="N23" s="62">
        <f t="shared" si="2"/>
        <v>267.45104761904764</v>
      </c>
      <c r="O23" s="62"/>
    </row>
    <row r="24" spans="2:15" s="31" customFormat="1" x14ac:dyDescent="0.2">
      <c r="B24" s="1060" t="str">
        <f>+'SEC -RLP1 '!B54</f>
        <v xml:space="preserve">         SERVICIO DE COURIER</v>
      </c>
      <c r="C24" s="1061"/>
      <c r="D24" s="418">
        <f>+'SEC -RLP1 '!P54</f>
        <v>53.456666666666671</v>
      </c>
      <c r="E24" s="824">
        <f t="shared" si="3"/>
        <v>53.456666666666671</v>
      </c>
      <c r="F24" s="350" t="s">
        <v>27</v>
      </c>
      <c r="G24" s="537">
        <f t="shared" si="0"/>
        <v>3.0546666666666669</v>
      </c>
      <c r="H24" s="351" t="s">
        <v>378</v>
      </c>
      <c r="I24" s="418">
        <f>+G24</f>
        <v>3.0546666666666669</v>
      </c>
      <c r="J24" s="59" t="s">
        <v>54</v>
      </c>
      <c r="K24" s="60">
        <f t="shared" si="1"/>
        <v>3.0546666666666669</v>
      </c>
      <c r="L24" s="60"/>
      <c r="M24" s="78" t="s">
        <v>54</v>
      </c>
      <c r="N24" s="62">
        <f t="shared" si="2"/>
        <v>3.0546666666666669</v>
      </c>
      <c r="O24" s="62"/>
    </row>
    <row r="25" spans="2:15" s="31" customFormat="1" x14ac:dyDescent="0.2">
      <c r="B25" s="1060" t="str">
        <f>+'SEC -RLP1 '!B55</f>
        <v xml:space="preserve">         SERVICIOS Y COMUNICACIONES</v>
      </c>
      <c r="C25" s="1061"/>
      <c r="D25" s="418">
        <f>+'SEC -RLP1 '!P55</f>
        <v>2260.4166666666665</v>
      </c>
      <c r="E25" s="824">
        <f t="shared" si="3"/>
        <v>2260.4166666666665</v>
      </c>
      <c r="F25" s="350" t="s">
        <v>27</v>
      </c>
      <c r="G25" s="537">
        <f t="shared" si="0"/>
        <v>129.16666666666666</v>
      </c>
      <c r="H25" s="351" t="s">
        <v>378</v>
      </c>
      <c r="I25" s="418">
        <f t="shared" si="4"/>
        <v>129.16666666666666</v>
      </c>
      <c r="J25" s="59" t="s">
        <v>54</v>
      </c>
      <c r="K25" s="60">
        <f t="shared" si="1"/>
        <v>129.16666666666666</v>
      </c>
      <c r="L25" s="60"/>
      <c r="M25" s="78" t="s">
        <v>54</v>
      </c>
      <c r="N25" s="62">
        <f t="shared" si="2"/>
        <v>129.16666666666666</v>
      </c>
      <c r="O25" s="62"/>
    </row>
    <row r="26" spans="2:15" s="31" customFormat="1" x14ac:dyDescent="0.2">
      <c r="B26" s="1060" t="str">
        <f>+'SEC -RLP1 '!B56</f>
        <v xml:space="preserve">         SERVICIO DE SEGURIDAD</v>
      </c>
      <c r="C26" s="1061"/>
      <c r="D26" s="418">
        <f>+'SEC -RLP1 '!P56</f>
        <v>870.18333333333305</v>
      </c>
      <c r="E26" s="824">
        <f t="shared" si="3"/>
        <v>870.18333333333305</v>
      </c>
      <c r="F26" s="350" t="s">
        <v>27</v>
      </c>
      <c r="G26" s="537">
        <f t="shared" si="0"/>
        <v>49.724761904761891</v>
      </c>
      <c r="H26" s="351" t="s">
        <v>378</v>
      </c>
      <c r="I26" s="418">
        <f t="shared" si="4"/>
        <v>49.724761904761891</v>
      </c>
      <c r="J26" s="59" t="s">
        <v>54</v>
      </c>
      <c r="K26" s="60">
        <f t="shared" si="1"/>
        <v>49.724761904761891</v>
      </c>
      <c r="L26" s="60"/>
      <c r="M26" s="78" t="s">
        <v>54</v>
      </c>
      <c r="N26" s="62">
        <f t="shared" si="2"/>
        <v>49.724761904761891</v>
      </c>
      <c r="O26" s="62"/>
    </row>
    <row r="27" spans="2:15" s="31" customFormat="1" x14ac:dyDescent="0.2">
      <c r="B27" s="1060" t="str">
        <f>+'SEC -RLP1 '!B58</f>
        <v xml:space="preserve">         REPARACION Y MANTENIMIENTO</v>
      </c>
      <c r="C27" s="1061"/>
      <c r="D27" s="418">
        <f>+'SEC -RLP1 '!P58</f>
        <v>27.066666666666666</v>
      </c>
      <c r="E27" s="824">
        <f t="shared" si="3"/>
        <v>27.066666666666666</v>
      </c>
      <c r="F27" s="350" t="s">
        <v>27</v>
      </c>
      <c r="G27" s="537">
        <f t="shared" si="0"/>
        <v>1.5466666666666666</v>
      </c>
      <c r="H27" s="351" t="s">
        <v>378</v>
      </c>
      <c r="I27" s="418">
        <f t="shared" si="4"/>
        <v>1.5466666666666666</v>
      </c>
      <c r="J27" s="59" t="s">
        <v>54</v>
      </c>
      <c r="K27" s="60">
        <f t="shared" si="1"/>
        <v>1.5466666666666666</v>
      </c>
      <c r="L27" s="60"/>
      <c r="M27" s="78" t="s">
        <v>54</v>
      </c>
      <c r="N27" s="62">
        <f t="shared" si="2"/>
        <v>1.5466666666666666</v>
      </c>
      <c r="O27" s="62"/>
    </row>
    <row r="28" spans="2:15" s="31" customFormat="1" hidden="1" x14ac:dyDescent="0.2">
      <c r="B28" s="1060" t="str">
        <f>+'SEC -RLP1 '!B60</f>
        <v xml:space="preserve">         ALQUILER OTROS</v>
      </c>
      <c r="C28" s="1061"/>
      <c r="D28" s="418">
        <f>+'SEC -RLP1 '!P60</f>
        <v>62.833333333333336</v>
      </c>
      <c r="E28" s="824">
        <f t="shared" si="3"/>
        <v>62.833333333333336</v>
      </c>
      <c r="F28" s="350" t="s">
        <v>27</v>
      </c>
      <c r="G28" s="537">
        <f t="shared" si="0"/>
        <v>3.5904761904761906</v>
      </c>
      <c r="H28" s="351" t="s">
        <v>378</v>
      </c>
      <c r="I28" s="418">
        <f t="shared" si="4"/>
        <v>3.5904761904761906</v>
      </c>
      <c r="J28" s="59" t="s">
        <v>54</v>
      </c>
      <c r="K28" s="60">
        <f t="shared" si="1"/>
        <v>3.5904761904761906</v>
      </c>
      <c r="L28" s="60"/>
      <c r="M28" s="78" t="s">
        <v>54</v>
      </c>
      <c r="N28" s="62">
        <f t="shared" si="2"/>
        <v>3.5904761904761906</v>
      </c>
      <c r="O28" s="62"/>
    </row>
    <row r="29" spans="2:15" s="31" customFormat="1" hidden="1" x14ac:dyDescent="0.2">
      <c r="B29" s="1060" t="str">
        <f>+'SEC -RLP1 '!B61</f>
        <v xml:space="preserve">         SEGUROS</v>
      </c>
      <c r="C29" s="1061"/>
      <c r="D29" s="418">
        <f>+'SEC -RLP1 '!P61</f>
        <v>0</v>
      </c>
      <c r="E29" s="824">
        <f t="shared" si="3"/>
        <v>0</v>
      </c>
      <c r="F29" s="350" t="s">
        <v>27</v>
      </c>
      <c r="G29" s="537">
        <f t="shared" si="0"/>
        <v>0</v>
      </c>
      <c r="H29" s="351" t="s">
        <v>378</v>
      </c>
      <c r="I29" s="418">
        <f t="shared" si="4"/>
        <v>0</v>
      </c>
      <c r="J29" s="59" t="s">
        <v>54</v>
      </c>
      <c r="K29" s="60">
        <f t="shared" si="1"/>
        <v>0</v>
      </c>
      <c r="L29" s="60"/>
      <c r="M29" s="78" t="s">
        <v>54</v>
      </c>
      <c r="N29" s="62">
        <f t="shared" si="2"/>
        <v>0</v>
      </c>
      <c r="O29" s="62"/>
    </row>
    <row r="30" spans="2:15" s="31" customFormat="1" hidden="1" x14ac:dyDescent="0.2">
      <c r="B30" s="1060" t="str">
        <f>+'SEC -RLP1 '!B62</f>
        <v xml:space="preserve">         IMPUESTO A LAS TRANSACCIONES</v>
      </c>
      <c r="C30" s="1061"/>
      <c r="D30" s="418">
        <f>+'SEC -RLP1 '!P62</f>
        <v>6386.8135632183903</v>
      </c>
      <c r="E30" s="824">
        <f t="shared" si="3"/>
        <v>6386.8135632183903</v>
      </c>
      <c r="F30" s="350" t="s">
        <v>27</v>
      </c>
      <c r="G30" s="537">
        <f t="shared" si="0"/>
        <v>364.96077504105085</v>
      </c>
      <c r="H30" s="351" t="s">
        <v>378</v>
      </c>
      <c r="I30" s="418">
        <f t="shared" si="4"/>
        <v>364.96077504105085</v>
      </c>
      <c r="J30" s="870" t="s">
        <v>57</v>
      </c>
      <c r="K30" s="60">
        <f t="shared" si="1"/>
        <v>0</v>
      </c>
      <c r="L30" s="60"/>
      <c r="M30" s="112" t="s">
        <v>57</v>
      </c>
      <c r="N30" s="62">
        <f t="shared" si="2"/>
        <v>0</v>
      </c>
      <c r="O30" s="62"/>
    </row>
    <row r="31" spans="2:15" s="31" customFormat="1" x14ac:dyDescent="0.2">
      <c r="B31" s="1060" t="str">
        <f>+'SEC -RLP1 '!B67</f>
        <v xml:space="preserve">         GASTOS BANCARIOS</v>
      </c>
      <c r="C31" s="1061"/>
      <c r="D31" s="418">
        <f>+'SEC -RLP1 '!P67</f>
        <v>52.841111111111111</v>
      </c>
      <c r="E31" s="824">
        <f t="shared" si="3"/>
        <v>52.841111111111111</v>
      </c>
      <c r="F31" s="350" t="s">
        <v>27</v>
      </c>
      <c r="G31" s="537">
        <f t="shared" si="0"/>
        <v>3.0194920634920637</v>
      </c>
      <c r="H31" s="351" t="s">
        <v>378</v>
      </c>
      <c r="I31" s="418">
        <f t="shared" si="4"/>
        <v>3.0194920634920637</v>
      </c>
      <c r="J31" s="59" t="s">
        <v>54</v>
      </c>
      <c r="K31" s="60">
        <f t="shared" si="1"/>
        <v>3.0194920634920637</v>
      </c>
      <c r="L31" s="60"/>
      <c r="M31" s="78" t="s">
        <v>54</v>
      </c>
      <c r="N31" s="62">
        <f t="shared" si="2"/>
        <v>3.0194920634920637</v>
      </c>
      <c r="O31" s="62"/>
    </row>
    <row r="32" spans="2:15" s="31" customFormat="1" x14ac:dyDescent="0.2">
      <c r="B32" s="1060" t="str">
        <f>+'SEC -RLP1 '!B69</f>
        <v xml:space="preserve">         GASTOS MOVILIDAD</v>
      </c>
      <c r="C32" s="1061"/>
      <c r="D32" s="418">
        <f>+'SEC -RLP1 '!P69</f>
        <v>1043.1388888888889</v>
      </c>
      <c r="E32" s="824">
        <f t="shared" si="3"/>
        <v>1043.1388888888889</v>
      </c>
      <c r="F32" s="350" t="s">
        <v>27</v>
      </c>
      <c r="G32" s="537">
        <f t="shared" si="0"/>
        <v>59.607936507936508</v>
      </c>
      <c r="H32" s="351" t="s">
        <v>378</v>
      </c>
      <c r="I32" s="418">
        <f t="shared" si="4"/>
        <v>59.607936507936508</v>
      </c>
      <c r="J32" s="59" t="s">
        <v>54</v>
      </c>
      <c r="K32" s="60">
        <f t="shared" si="1"/>
        <v>59.607936507936508</v>
      </c>
      <c r="L32" s="60"/>
      <c r="M32" s="78" t="s">
        <v>54</v>
      </c>
      <c r="N32" s="62">
        <f t="shared" si="2"/>
        <v>59.607936507936508</v>
      </c>
      <c r="O32" s="62"/>
    </row>
    <row r="33" spans="2:15" s="31" customFormat="1" x14ac:dyDescent="0.2">
      <c r="B33" s="1060" t="str">
        <f>+'SEC -RLP1 '!B70</f>
        <v xml:space="preserve">         SERVICIOS Y MATERIAL DE LIMPIEZA</v>
      </c>
      <c r="C33" s="1061"/>
      <c r="D33" s="418">
        <f>+'SEC -RLP1 '!P70</f>
        <v>1311.9777777777776</v>
      </c>
      <c r="E33" s="824">
        <f t="shared" si="3"/>
        <v>1311.9777777777776</v>
      </c>
      <c r="F33" s="350" t="s">
        <v>27</v>
      </c>
      <c r="G33" s="537">
        <f t="shared" si="0"/>
        <v>74.97015873015873</v>
      </c>
      <c r="H33" s="351" t="s">
        <v>378</v>
      </c>
      <c r="I33" s="418">
        <f t="shared" si="4"/>
        <v>74.97015873015873</v>
      </c>
      <c r="J33" s="59" t="s">
        <v>54</v>
      </c>
      <c r="K33" s="60">
        <f t="shared" si="1"/>
        <v>74.97015873015873</v>
      </c>
      <c r="L33" s="60"/>
      <c r="M33" s="78" t="s">
        <v>54</v>
      </c>
      <c r="N33" s="62">
        <f t="shared" si="2"/>
        <v>74.97015873015873</v>
      </c>
      <c r="O33" s="62"/>
    </row>
    <row r="34" spans="2:15" s="31" customFormat="1" hidden="1" x14ac:dyDescent="0.2">
      <c r="B34" s="1060" t="str">
        <f>+'SEC -RLP1 '!B71</f>
        <v xml:space="preserve">         GASTOS DE REPRESENTACION</v>
      </c>
      <c r="C34" s="1061"/>
      <c r="D34" s="418">
        <f>+'SEC -RLP1 '!P71</f>
        <v>0</v>
      </c>
      <c r="E34" s="824">
        <f t="shared" si="3"/>
        <v>0</v>
      </c>
      <c r="F34" s="350" t="s">
        <v>27</v>
      </c>
      <c r="G34" s="537">
        <f t="shared" si="0"/>
        <v>0</v>
      </c>
      <c r="H34" s="351" t="s">
        <v>378</v>
      </c>
      <c r="I34" s="418">
        <f t="shared" si="4"/>
        <v>0</v>
      </c>
      <c r="J34" s="59" t="s">
        <v>54</v>
      </c>
      <c r="K34" s="60">
        <f t="shared" si="1"/>
        <v>0</v>
      </c>
      <c r="L34" s="60"/>
      <c r="M34" s="78" t="s">
        <v>54</v>
      </c>
      <c r="N34" s="62">
        <f t="shared" si="2"/>
        <v>0</v>
      </c>
      <c r="O34" s="62"/>
    </row>
    <row r="35" spans="2:15" s="31" customFormat="1" x14ac:dyDescent="0.2">
      <c r="B35" s="1060" t="str">
        <f>+'SEC -RLP1 '!B72</f>
        <v xml:space="preserve">         SUSCRIPCIONES Y CUOTAS</v>
      </c>
      <c r="C35" s="1061"/>
      <c r="D35" s="418">
        <f>+'SEC -RLP1 '!P72</f>
        <v>448.75</v>
      </c>
      <c r="E35" s="824">
        <f t="shared" si="3"/>
        <v>448.75</v>
      </c>
      <c r="F35" s="350" t="s">
        <v>27</v>
      </c>
      <c r="G35" s="537">
        <f t="shared" si="0"/>
        <v>25.642857142857142</v>
      </c>
      <c r="H35" s="351" t="s">
        <v>378</v>
      </c>
      <c r="I35" s="418">
        <f t="shared" si="4"/>
        <v>25.642857142857142</v>
      </c>
      <c r="J35" s="59" t="s">
        <v>54</v>
      </c>
      <c r="K35" s="60">
        <f t="shared" si="1"/>
        <v>25.642857142857142</v>
      </c>
      <c r="L35" s="60"/>
      <c r="M35" s="78" t="s">
        <v>54</v>
      </c>
      <c r="N35" s="62">
        <f t="shared" si="2"/>
        <v>25.642857142857142</v>
      </c>
      <c r="O35" s="62"/>
    </row>
    <row r="36" spans="2:15" hidden="1" x14ac:dyDescent="0.2">
      <c r="B36" s="1060" t="str">
        <f>+'SEC -RLP1 '!B73</f>
        <v xml:space="preserve">         INTERESES Y MULTAS</v>
      </c>
      <c r="C36" s="1061"/>
      <c r="D36" s="418">
        <f>+'SEC -RLP1 '!P73</f>
        <v>0</v>
      </c>
      <c r="E36" s="824">
        <f t="shared" si="3"/>
        <v>0</v>
      </c>
      <c r="F36" s="350" t="s">
        <v>27</v>
      </c>
      <c r="G36" s="537">
        <f t="shared" si="0"/>
        <v>0</v>
      </c>
      <c r="H36" s="351" t="s">
        <v>378</v>
      </c>
      <c r="I36" s="418">
        <f t="shared" si="4"/>
        <v>0</v>
      </c>
      <c r="J36" s="59" t="s">
        <v>54</v>
      </c>
      <c r="K36" s="60">
        <f>IF($J36="S",G22,0)</f>
        <v>120.84895238095237</v>
      </c>
      <c r="L36" s="60"/>
      <c r="M36" s="78" t="s">
        <v>54</v>
      </c>
      <c r="N36" s="62">
        <f>IF($M36="S",G22,0)</f>
        <v>120.84895238095237</v>
      </c>
      <c r="O36" s="62"/>
    </row>
    <row r="37" spans="2:15" hidden="1" x14ac:dyDescent="0.2">
      <c r="B37" s="1060" t="str">
        <f>+'SEC -RLP1 '!B74</f>
        <v xml:space="preserve">         PATENTES MUNICIPALES</v>
      </c>
      <c r="C37" s="1061"/>
      <c r="D37" s="418">
        <f>+'SEC -RLP1 '!P74</f>
        <v>0</v>
      </c>
      <c r="E37" s="824">
        <f t="shared" si="3"/>
        <v>0</v>
      </c>
      <c r="F37" s="350" t="s">
        <v>27</v>
      </c>
      <c r="G37" s="537">
        <f t="shared" si="0"/>
        <v>0</v>
      </c>
      <c r="H37" s="351" t="s">
        <v>378</v>
      </c>
      <c r="I37" s="418">
        <f t="shared" si="4"/>
        <v>0</v>
      </c>
      <c r="J37" s="358" t="s">
        <v>54</v>
      </c>
      <c r="K37" s="60">
        <f t="shared" ref="K37:K45" si="5">IF($J37="S",G37,0)</f>
        <v>0</v>
      </c>
      <c r="L37" s="60"/>
      <c r="M37" s="78" t="s">
        <v>54</v>
      </c>
      <c r="N37" s="79">
        <f t="shared" ref="N37:N45" si="6">IF($M37="S",G37,0)</f>
        <v>0</v>
      </c>
      <c r="O37" s="79"/>
    </row>
    <row r="38" spans="2:15" hidden="1" x14ac:dyDescent="0.2">
      <c r="B38" s="1060" t="str">
        <f>+'SEC -RLP1 '!B75</f>
        <v xml:space="preserve">         CAPACITACION PERSONAL</v>
      </c>
      <c r="C38" s="1061"/>
      <c r="D38" s="418">
        <f>+'SEC -RLP1 '!P75</f>
        <v>0</v>
      </c>
      <c r="E38" s="824">
        <f t="shared" si="3"/>
        <v>0</v>
      </c>
      <c r="F38" s="350" t="s">
        <v>27</v>
      </c>
      <c r="G38" s="537">
        <f t="shared" si="0"/>
        <v>0</v>
      </c>
      <c r="H38" s="351" t="s">
        <v>378</v>
      </c>
      <c r="I38" s="418">
        <f t="shared" si="4"/>
        <v>0</v>
      </c>
      <c r="J38" s="78" t="s">
        <v>54</v>
      </c>
      <c r="K38" s="60">
        <f t="shared" si="5"/>
        <v>0</v>
      </c>
      <c r="L38" s="60"/>
      <c r="M38" s="78" t="s">
        <v>54</v>
      </c>
      <c r="N38" s="82">
        <f t="shared" si="6"/>
        <v>0</v>
      </c>
      <c r="O38" s="82"/>
    </row>
    <row r="39" spans="2:15" hidden="1" x14ac:dyDescent="0.2">
      <c r="B39" s="1060" t="str">
        <f>+'SEC -RLP1 '!B76</f>
        <v xml:space="preserve">         MEJORAS Y ARREGLOS A LAS INSTALACIONES</v>
      </c>
      <c r="C39" s="1061"/>
      <c r="D39" s="418">
        <f>+'SEC -RLP1 '!P76</f>
        <v>0</v>
      </c>
      <c r="E39" s="824">
        <f t="shared" si="3"/>
        <v>0</v>
      </c>
      <c r="F39" s="350" t="s">
        <v>27</v>
      </c>
      <c r="G39" s="537">
        <f t="shared" si="0"/>
        <v>0</v>
      </c>
      <c r="H39" s="351" t="s">
        <v>378</v>
      </c>
      <c r="I39" s="418">
        <f t="shared" si="4"/>
        <v>0</v>
      </c>
      <c r="J39" s="78" t="s">
        <v>54</v>
      </c>
      <c r="K39" s="60">
        <f t="shared" si="5"/>
        <v>0</v>
      </c>
      <c r="L39" s="60"/>
      <c r="M39" s="78" t="s">
        <v>54</v>
      </c>
      <c r="N39" s="82">
        <f t="shared" si="6"/>
        <v>0</v>
      </c>
      <c r="O39" s="82"/>
    </row>
    <row r="40" spans="2:15" x14ac:dyDescent="0.2">
      <c r="B40" s="1060" t="str">
        <f>+'SEC -RLP1 '!B77</f>
        <v xml:space="preserve">         SERVICIOS PUBLICITARIOS</v>
      </c>
      <c r="C40" s="1061"/>
      <c r="D40" s="418">
        <f>+'SEC -RLP1 '!P77</f>
        <v>2973.7255555555562</v>
      </c>
      <c r="E40" s="824">
        <f t="shared" si="3"/>
        <v>2973.7255555555562</v>
      </c>
      <c r="F40" s="350" t="s">
        <v>27</v>
      </c>
      <c r="G40" s="537">
        <f t="shared" si="0"/>
        <v>169.92717460317465</v>
      </c>
      <c r="H40" s="351" t="s">
        <v>378</v>
      </c>
      <c r="I40" s="418">
        <f t="shared" si="4"/>
        <v>169.92717460317465</v>
      </c>
      <c r="J40" s="78" t="s">
        <v>54</v>
      </c>
      <c r="K40" s="60">
        <f t="shared" si="5"/>
        <v>169.92717460317465</v>
      </c>
      <c r="L40" s="60"/>
      <c r="M40" s="78" t="s">
        <v>54</v>
      </c>
      <c r="N40" s="82">
        <f t="shared" si="6"/>
        <v>169.92717460317465</v>
      </c>
      <c r="O40" s="82"/>
    </row>
    <row r="41" spans="2:15" hidden="1" x14ac:dyDescent="0.2">
      <c r="B41" s="1060" t="str">
        <f>+'SEC -RLP1 '!B80</f>
        <v xml:space="preserve">         AUSPICIOS Y EVENTOS</v>
      </c>
      <c r="C41" s="1061"/>
      <c r="D41" s="418">
        <f>+'SEC -RLP1 '!P80</f>
        <v>0</v>
      </c>
      <c r="E41" s="824">
        <f t="shared" si="3"/>
        <v>0</v>
      </c>
      <c r="F41" s="350" t="s">
        <v>27</v>
      </c>
      <c r="G41" s="537">
        <f t="shared" si="0"/>
        <v>0</v>
      </c>
      <c r="H41" s="351" t="s">
        <v>378</v>
      </c>
      <c r="I41" s="418">
        <f t="shared" si="4"/>
        <v>0</v>
      </c>
      <c r="J41" s="78" t="s">
        <v>54</v>
      </c>
      <c r="K41" s="60">
        <f t="shared" si="5"/>
        <v>0</v>
      </c>
      <c r="L41" s="60"/>
      <c r="M41" s="78" t="s">
        <v>54</v>
      </c>
      <c r="N41" s="82">
        <f t="shared" si="6"/>
        <v>0</v>
      </c>
      <c r="O41" s="82"/>
    </row>
    <row r="42" spans="2:15" x14ac:dyDescent="0.2">
      <c r="B42" s="1060" t="str">
        <f>+'SEC -RLP1 '!B81</f>
        <v xml:space="preserve">         GASTOS VARIOS</v>
      </c>
      <c r="C42" s="1061"/>
      <c r="D42" s="418">
        <f>+'SEC -RLP1 '!P81</f>
        <v>1536.0547777777774</v>
      </c>
      <c r="E42" s="824">
        <f t="shared" si="3"/>
        <v>1536.0547777777774</v>
      </c>
      <c r="F42" s="350" t="s">
        <v>27</v>
      </c>
      <c r="G42" s="537">
        <f t="shared" si="0"/>
        <v>87.774558730158716</v>
      </c>
      <c r="H42" s="351" t="s">
        <v>378</v>
      </c>
      <c r="I42" s="418">
        <f t="shared" si="4"/>
        <v>87.774558730158716</v>
      </c>
      <c r="J42" s="78" t="s">
        <v>54</v>
      </c>
      <c r="K42" s="60">
        <f t="shared" si="5"/>
        <v>87.774558730158716</v>
      </c>
      <c r="L42" s="60"/>
      <c r="M42" s="78" t="s">
        <v>54</v>
      </c>
      <c r="N42" s="82">
        <f t="shared" si="6"/>
        <v>87.774558730158716</v>
      </c>
      <c r="O42" s="82"/>
    </row>
    <row r="43" spans="2:15" x14ac:dyDescent="0.2">
      <c r="B43" s="1054" t="s">
        <v>65</v>
      </c>
      <c r="C43" s="1055"/>
      <c r="D43" s="418">
        <v>1500</v>
      </c>
      <c r="E43" s="824"/>
      <c r="F43" s="350" t="s">
        <v>53</v>
      </c>
      <c r="G43" s="537">
        <f>+D43</f>
        <v>1500</v>
      </c>
      <c r="H43" s="351" t="s">
        <v>378</v>
      </c>
      <c r="I43" s="418">
        <f t="shared" si="4"/>
        <v>1500</v>
      </c>
      <c r="J43" s="512" t="s">
        <v>57</v>
      </c>
      <c r="K43" s="513">
        <f t="shared" si="5"/>
        <v>0</v>
      </c>
      <c r="L43" s="513"/>
      <c r="M43" s="78" t="s">
        <v>54</v>
      </c>
      <c r="N43" s="82">
        <f t="shared" si="6"/>
        <v>1500</v>
      </c>
      <c r="O43" s="82"/>
    </row>
    <row r="44" spans="2:15" x14ac:dyDescent="0.2">
      <c r="B44" s="1006" t="s">
        <v>67</v>
      </c>
      <c r="C44" s="1007"/>
      <c r="D44" s="418">
        <f>143.68+275.86</f>
        <v>419.54</v>
      </c>
      <c r="E44" s="824"/>
      <c r="F44" s="350" t="s">
        <v>379</v>
      </c>
      <c r="G44" s="537">
        <f>+D44</f>
        <v>419.54</v>
      </c>
      <c r="H44" s="351" t="s">
        <v>378</v>
      </c>
      <c r="I44" s="418">
        <f t="shared" si="4"/>
        <v>419.54</v>
      </c>
      <c r="J44" s="512" t="s">
        <v>57</v>
      </c>
      <c r="K44" s="513">
        <f t="shared" si="5"/>
        <v>0</v>
      </c>
      <c r="L44" s="513"/>
      <c r="M44" s="78" t="s">
        <v>54</v>
      </c>
      <c r="N44" s="82">
        <f t="shared" si="6"/>
        <v>419.54</v>
      </c>
      <c r="O44" s="82"/>
    </row>
    <row r="45" spans="2:15" ht="13.5" thickBot="1" x14ac:dyDescent="0.25">
      <c r="B45" s="1057" t="s">
        <v>68</v>
      </c>
      <c r="C45" s="1058"/>
      <c r="D45" s="418">
        <f>50*6.96</f>
        <v>348</v>
      </c>
      <c r="E45" s="824"/>
      <c r="F45" s="350" t="s">
        <v>53</v>
      </c>
      <c r="G45" s="537">
        <f>+D45</f>
        <v>348</v>
      </c>
      <c r="H45" s="351" t="s">
        <v>378</v>
      </c>
      <c r="I45" s="418">
        <f>+G45</f>
        <v>348</v>
      </c>
      <c r="J45" s="512" t="s">
        <v>57</v>
      </c>
      <c r="K45" s="513">
        <f t="shared" si="5"/>
        <v>0</v>
      </c>
      <c r="L45" s="513"/>
      <c r="M45" s="78" t="s">
        <v>54</v>
      </c>
      <c r="N45" s="82">
        <f t="shared" si="6"/>
        <v>348</v>
      </c>
      <c r="O45" s="82"/>
    </row>
    <row r="46" spans="2:15" ht="13.5" thickBot="1" x14ac:dyDescent="0.25">
      <c r="B46" s="1004" t="s">
        <v>527</v>
      </c>
      <c r="C46" s="1059"/>
      <c r="D46" s="99">
        <f>+D21+D18</f>
        <v>66320.666118773952</v>
      </c>
      <c r="E46" s="99"/>
      <c r="F46" s="88"/>
      <c r="G46" s="99">
        <f>+G18+G21</f>
        <v>8447.4352067870841</v>
      </c>
      <c r="H46" s="88"/>
      <c r="I46" s="99">
        <f>+I18+I21</f>
        <v>6294.3181346782394</v>
      </c>
      <c r="J46" s="87"/>
      <c r="K46" s="87">
        <f>+K18+K21</f>
        <v>5935.7833841269849</v>
      </c>
      <c r="L46" s="817"/>
      <c r="M46" s="87"/>
      <c r="N46" s="89">
        <f>+N18+N21</f>
        <v>8203.3233841269848</v>
      </c>
      <c r="O46" s="89"/>
    </row>
    <row r="47" spans="2:15" x14ac:dyDescent="0.2">
      <c r="B47" s="1060" t="str">
        <f>+'SEC -RLP1 '!B82</f>
        <v xml:space="preserve">         GASTOS SA</v>
      </c>
      <c r="C47" s="1061"/>
      <c r="D47" s="537">
        <f>+'SEC -RLP1 '!P82</f>
        <v>28789.953377777783</v>
      </c>
      <c r="E47" s="418"/>
      <c r="F47" s="398"/>
      <c r="G47" s="537">
        <f>+(D47/$E$11)</f>
        <v>1645.1401930158734</v>
      </c>
      <c r="H47" s="351" t="s">
        <v>378</v>
      </c>
      <c r="I47" s="537">
        <f>+(G47/$E$11)</f>
        <v>94.008011029478482</v>
      </c>
      <c r="J47" s="59" t="s">
        <v>54</v>
      </c>
      <c r="K47" s="813">
        <f>+G47</f>
        <v>1645.1401930158734</v>
      </c>
      <c r="L47" s="567"/>
      <c r="M47" s="59" t="s">
        <v>54</v>
      </c>
      <c r="N47" s="568">
        <f>+G47</f>
        <v>1645.1401930158734</v>
      </c>
      <c r="O47" s="568"/>
    </row>
    <row r="48" spans="2:15" ht="13.5" thickBot="1" x14ac:dyDescent="0.25">
      <c r="B48" s="1062" t="str">
        <f>+'SEC -RLP1 '!B83</f>
        <v xml:space="preserve">         GASTOS DN</v>
      </c>
      <c r="C48" s="1063"/>
      <c r="D48" s="538">
        <f>+'SEC -RLP1 '!P83</f>
        <v>41638.142111111112</v>
      </c>
      <c r="E48" s="845"/>
      <c r="F48" s="95"/>
      <c r="G48" s="537">
        <f>+(D48/$E$11)</f>
        <v>2379.3224063492066</v>
      </c>
      <c r="H48" s="351" t="s">
        <v>378</v>
      </c>
      <c r="I48" s="811">
        <f>+(G48/$E$11)</f>
        <v>135.96128036281181</v>
      </c>
      <c r="J48" s="68" t="s">
        <v>54</v>
      </c>
      <c r="K48" s="814">
        <f>+G48</f>
        <v>2379.3224063492066</v>
      </c>
      <c r="L48" s="141"/>
      <c r="M48" s="68" t="s">
        <v>54</v>
      </c>
      <c r="N48" s="564">
        <f>+G48</f>
        <v>2379.3224063492066</v>
      </c>
      <c r="O48" s="564"/>
    </row>
    <row r="49" spans="1:15" ht="13.5" thickBot="1" x14ac:dyDescent="0.25">
      <c r="B49" s="1004" t="s">
        <v>528</v>
      </c>
      <c r="C49" s="1059"/>
      <c r="D49" s="569">
        <f>SUM(D46:D48)</f>
        <v>136748.76160766283</v>
      </c>
      <c r="E49" s="97"/>
      <c r="F49" s="570"/>
      <c r="G49" s="569">
        <f>+G46+G47+G48</f>
        <v>12471.897806152165</v>
      </c>
      <c r="H49" s="88"/>
      <c r="I49" s="97">
        <f>+I46+I47+I48</f>
        <v>6524.2874260705294</v>
      </c>
      <c r="J49" s="87"/>
      <c r="K49" s="99">
        <f>SUM(K47:K48)</f>
        <v>4024.4625993650798</v>
      </c>
      <c r="L49" s="817"/>
      <c r="M49" s="98"/>
      <c r="N49" s="88">
        <f>SUM(N47:N48)</f>
        <v>4024.4625993650798</v>
      </c>
      <c r="O49" s="88"/>
    </row>
    <row r="50" spans="1:15" x14ac:dyDescent="0.2">
      <c r="B50" s="1064" t="s">
        <v>526</v>
      </c>
      <c r="C50" s="1065"/>
      <c r="D50" s="832"/>
      <c r="E50" s="832"/>
      <c r="F50" s="833"/>
      <c r="G50" s="836">
        <f>+G49+G46</f>
        <v>20919.333012939249</v>
      </c>
      <c r="H50" s="834"/>
      <c r="I50" s="836">
        <f>+I49+I46</f>
        <v>12818.605560748769</v>
      </c>
      <c r="J50" s="835"/>
      <c r="K50" s="836">
        <f>+K49+K46</f>
        <v>9960.2459834920646</v>
      </c>
      <c r="L50" s="837"/>
      <c r="M50" s="835"/>
      <c r="N50" s="836">
        <f>+N49+N46</f>
        <v>12227.785983492064</v>
      </c>
      <c r="O50" s="834"/>
    </row>
    <row r="51" spans="1:15" x14ac:dyDescent="0.2">
      <c r="B51" s="830" t="s">
        <v>81</v>
      </c>
      <c r="C51" s="831"/>
      <c r="D51" s="826"/>
      <c r="E51" s="826"/>
      <c r="F51" s="827"/>
      <c r="G51" s="826"/>
      <c r="H51" s="827"/>
      <c r="I51" s="826"/>
      <c r="J51" s="828"/>
      <c r="K51" s="826"/>
      <c r="L51" s="829"/>
      <c r="M51" s="828"/>
      <c r="N51" s="827"/>
      <c r="O51" s="827"/>
    </row>
    <row r="52" spans="1:15" s="31" customFormat="1" hidden="1" x14ac:dyDescent="0.2">
      <c r="B52" s="1017" t="s">
        <v>324</v>
      </c>
      <c r="C52" s="1018"/>
      <c r="D52" s="418">
        <f>+'SEC -RLP1 '!P65</f>
        <v>2466.9833333333331</v>
      </c>
      <c r="E52" s="418"/>
      <c r="F52" s="350"/>
      <c r="G52" s="856"/>
      <c r="H52" s="772"/>
      <c r="I52" s="847"/>
      <c r="J52" s="772"/>
      <c r="K52" s="772"/>
      <c r="L52" s="818"/>
      <c r="M52" s="772"/>
      <c r="N52" s="773"/>
      <c r="O52" s="773"/>
    </row>
    <row r="53" spans="1:15" x14ac:dyDescent="0.2">
      <c r="B53" s="1066" t="s">
        <v>84</v>
      </c>
      <c r="C53" s="1012"/>
      <c r="D53" s="862">
        <v>10</v>
      </c>
      <c r="E53" s="350" t="s">
        <v>43</v>
      </c>
      <c r="F53" s="863">
        <v>15</v>
      </c>
      <c r="G53" s="860">
        <f>+D53*F53</f>
        <v>150</v>
      </c>
      <c r="H53" s="350" t="s">
        <v>529</v>
      </c>
      <c r="I53" s="848"/>
      <c r="J53" s="846" t="s">
        <v>57</v>
      </c>
      <c r="K53" s="81">
        <f>IF($J53="S",G53,0)</f>
        <v>0</v>
      </c>
      <c r="L53" s="81"/>
      <c r="M53" s="78" t="s">
        <v>54</v>
      </c>
      <c r="N53" s="62">
        <f>IF($M53="S",G53,0)</f>
        <v>150</v>
      </c>
      <c r="O53" s="82"/>
    </row>
    <row r="54" spans="1:15" s="31" customFormat="1" hidden="1" x14ac:dyDescent="0.2">
      <c r="B54" s="1017" t="str">
        <f>+'SEC -RLP1 '!B68</f>
        <v xml:space="preserve">         GASTOS DE IMPRENTA</v>
      </c>
      <c r="C54" s="1018"/>
      <c r="D54" s="418"/>
      <c r="E54" s="350"/>
      <c r="F54" s="866"/>
      <c r="G54" s="857"/>
      <c r="H54" s="770"/>
      <c r="I54" s="849"/>
      <c r="J54" s="770"/>
      <c r="K54" s="770"/>
      <c r="L54" s="819"/>
      <c r="M54" s="770"/>
      <c r="N54" s="771"/>
      <c r="O54" s="771"/>
    </row>
    <row r="55" spans="1:15" x14ac:dyDescent="0.2">
      <c r="B55" s="1010" t="s">
        <v>83</v>
      </c>
      <c r="C55" s="1011"/>
      <c r="D55" s="864">
        <v>2</v>
      </c>
      <c r="E55" s="350" t="s">
        <v>43</v>
      </c>
      <c r="F55" s="865">
        <v>15</v>
      </c>
      <c r="G55" s="861">
        <f>+D55*F55</f>
        <v>30</v>
      </c>
      <c r="H55" s="350" t="s">
        <v>529</v>
      </c>
      <c r="I55" s="850"/>
      <c r="J55" s="427" t="s">
        <v>54</v>
      </c>
      <c r="K55" s="60">
        <f>IF($J55="S",G55,0)</f>
        <v>30</v>
      </c>
      <c r="L55" s="60"/>
      <c r="M55" s="59" t="s">
        <v>54</v>
      </c>
      <c r="N55" s="62">
        <f t="shared" ref="N55:N59" si="7">IF($M55="S",G55,0)</f>
        <v>30</v>
      </c>
      <c r="O55" s="62"/>
    </row>
    <row r="56" spans="1:15" x14ac:dyDescent="0.2">
      <c r="B56" s="1010" t="s">
        <v>88</v>
      </c>
      <c r="C56" s="1011"/>
      <c r="D56" s="864">
        <v>2</v>
      </c>
      <c r="E56" s="350" t="s">
        <v>43</v>
      </c>
      <c r="F56" s="865">
        <v>15</v>
      </c>
      <c r="G56" s="861">
        <f>+D56*F56</f>
        <v>30</v>
      </c>
      <c r="H56" s="350" t="s">
        <v>529</v>
      </c>
      <c r="I56" s="850"/>
      <c r="J56" s="427" t="s">
        <v>54</v>
      </c>
      <c r="K56" s="60">
        <f>IF($J56="S",G56,0)</f>
        <v>30</v>
      </c>
      <c r="L56" s="60"/>
      <c r="M56" s="59" t="s">
        <v>54</v>
      </c>
      <c r="N56" s="62">
        <f t="shared" ref="N56" si="8">IF($M56="S",G56,0)</f>
        <v>30</v>
      </c>
      <c r="O56" s="62"/>
    </row>
    <row r="57" spans="1:15" x14ac:dyDescent="0.2">
      <c r="B57" s="1006" t="s">
        <v>86</v>
      </c>
      <c r="C57" s="1012"/>
      <c r="D57" s="862">
        <v>2</v>
      </c>
      <c r="E57" s="350" t="s">
        <v>43</v>
      </c>
      <c r="F57" s="863">
        <v>15</v>
      </c>
      <c r="G57" s="861">
        <f>+D57*F57</f>
        <v>30</v>
      </c>
      <c r="H57" s="350" t="s">
        <v>529</v>
      </c>
      <c r="I57" s="848"/>
      <c r="J57" s="846" t="s">
        <v>54</v>
      </c>
      <c r="K57" s="81">
        <f t="shared" ref="K57:K59" si="9">IF($J57="S",G57,0)</f>
        <v>30</v>
      </c>
      <c r="L57" s="81"/>
      <c r="M57" s="78" t="s">
        <v>54</v>
      </c>
      <c r="N57" s="82">
        <f t="shared" si="7"/>
        <v>30</v>
      </c>
      <c r="O57" s="82"/>
    </row>
    <row r="58" spans="1:15" s="31" customFormat="1" x14ac:dyDescent="0.2">
      <c r="B58" s="1060" t="str">
        <f>+'SEC -RLP1 '!B57</f>
        <v xml:space="preserve">         REFRIGERIOS CURSOS-COMITÉS-OTROS</v>
      </c>
      <c r="C58" s="1061"/>
      <c r="D58" s="418">
        <v>25</v>
      </c>
      <c r="E58" s="350" t="s">
        <v>43</v>
      </c>
      <c r="F58" s="866">
        <v>15</v>
      </c>
      <c r="G58" s="861">
        <f>+D58*F58</f>
        <v>375</v>
      </c>
      <c r="H58" s="350" t="s">
        <v>529</v>
      </c>
      <c r="I58" s="851"/>
      <c r="J58" s="427" t="s">
        <v>54</v>
      </c>
      <c r="K58" s="60">
        <f>IF($J58="S",G58,0)</f>
        <v>375</v>
      </c>
      <c r="L58" s="60"/>
      <c r="M58" s="78" t="s">
        <v>54</v>
      </c>
      <c r="N58" s="62">
        <f t="shared" si="7"/>
        <v>375</v>
      </c>
      <c r="O58" s="62"/>
    </row>
    <row r="59" spans="1:15" ht="13.5" thickBot="1" x14ac:dyDescent="0.25">
      <c r="B59" s="1072" t="s">
        <v>521</v>
      </c>
      <c r="C59" s="1073"/>
      <c r="D59" s="862">
        <v>10</v>
      </c>
      <c r="E59" s="350" t="s">
        <v>43</v>
      </c>
      <c r="F59" s="863">
        <v>15</v>
      </c>
      <c r="G59" s="861">
        <f>+D59*F59</f>
        <v>150</v>
      </c>
      <c r="H59" s="350" t="s">
        <v>529</v>
      </c>
      <c r="I59" s="852"/>
      <c r="J59" s="426" t="s">
        <v>54</v>
      </c>
      <c r="K59" s="81">
        <f t="shared" si="9"/>
        <v>150</v>
      </c>
      <c r="L59" s="81"/>
      <c r="M59" s="78" t="s">
        <v>54</v>
      </c>
      <c r="N59" s="82">
        <f t="shared" si="7"/>
        <v>150</v>
      </c>
      <c r="O59" s="82"/>
    </row>
    <row r="60" spans="1:15" s="27" customFormat="1" x14ac:dyDescent="0.2">
      <c r="B60" s="1064" t="s">
        <v>526</v>
      </c>
      <c r="C60" s="1065"/>
      <c r="D60" s="838"/>
      <c r="E60" s="839"/>
      <c r="F60" s="840"/>
      <c r="G60" s="858"/>
      <c r="H60" s="855"/>
      <c r="I60" s="853"/>
      <c r="J60" s="841"/>
      <c r="K60" s="842">
        <f>SUM(K52:K59)</f>
        <v>615</v>
      </c>
      <c r="L60" s="842"/>
      <c r="M60" s="843"/>
      <c r="N60" s="842">
        <f>SUM(N52:N59)</f>
        <v>765</v>
      </c>
      <c r="O60" s="844"/>
    </row>
    <row r="61" spans="1:15" s="27" customFormat="1" ht="13.5" thickBot="1" x14ac:dyDescent="0.25">
      <c r="B61" s="992" t="s">
        <v>45</v>
      </c>
      <c r="C61" s="993"/>
      <c r="D61" s="545"/>
      <c r="E61" s="807"/>
      <c r="F61" s="455"/>
      <c r="G61" s="859"/>
      <c r="H61" s="807"/>
      <c r="I61" s="854"/>
      <c r="J61" s="545"/>
      <c r="K61" s="815">
        <f>+K60+K50</f>
        <v>10575.245983492065</v>
      </c>
      <c r="L61" s="454"/>
      <c r="M61" s="454"/>
      <c r="N61" s="815">
        <f>+N60+N50</f>
        <v>12992.785983492064</v>
      </c>
      <c r="O61" s="455"/>
    </row>
    <row r="62" spans="1:15" s="37" customFormat="1" ht="13.5" thickBot="1" x14ac:dyDescent="0.25">
      <c r="A62" s="128"/>
      <c r="D62" s="83"/>
      <c r="E62" s="83"/>
      <c r="F62" s="83"/>
      <c r="H62" s="83"/>
      <c r="J62" s="134"/>
      <c r="K62" s="135"/>
      <c r="L62" s="135"/>
      <c r="M62" s="136"/>
    </row>
    <row r="63" spans="1:15" s="37" customFormat="1" ht="23.25" thickBot="1" x14ac:dyDescent="0.25">
      <c r="A63" s="128"/>
      <c r="D63" s="532" t="s">
        <v>382</v>
      </c>
      <c r="E63" s="805"/>
      <c r="F63" s="532" t="s">
        <v>47</v>
      </c>
      <c r="J63" s="805" t="s">
        <v>382</v>
      </c>
      <c r="K63" s="805"/>
      <c r="L63" s="805" t="s">
        <v>47</v>
      </c>
      <c r="M63" s="1"/>
      <c r="N63" s="1"/>
    </row>
    <row r="64" spans="1:15" s="37" customFormat="1" ht="13.5" thickBot="1" x14ac:dyDescent="0.25">
      <c r="A64" s="128"/>
      <c r="B64" s="1004" t="s">
        <v>80</v>
      </c>
      <c r="C64" s="1005"/>
      <c r="D64" s="24">
        <f>+(K50)</f>
        <v>9960.2459834920646</v>
      </c>
      <c r="E64" s="24"/>
      <c r="F64" s="24">
        <f>+N50</f>
        <v>12227.785983492064</v>
      </c>
      <c r="H64" s="1004" t="s">
        <v>80</v>
      </c>
      <c r="I64" s="1005"/>
      <c r="J64" s="24">
        <f>+(Q50)</f>
        <v>0</v>
      </c>
      <c r="K64" s="24"/>
      <c r="L64" s="24">
        <f>+T50</f>
        <v>0</v>
      </c>
      <c r="M64" s="148"/>
      <c r="N64" s="1"/>
    </row>
    <row r="65" spans="1:16" s="144" customFormat="1" ht="13.5" thickBot="1" x14ac:dyDescent="0.25">
      <c r="A65" s="140"/>
      <c r="B65" s="996" t="s">
        <v>81</v>
      </c>
      <c r="C65" s="997"/>
      <c r="D65" s="141">
        <f>+K60</f>
        <v>615</v>
      </c>
      <c r="E65" s="141"/>
      <c r="F65" s="141">
        <f>+N60</f>
        <v>765</v>
      </c>
      <c r="H65" s="996" t="s">
        <v>81</v>
      </c>
      <c r="I65" s="997"/>
      <c r="J65" s="141"/>
      <c r="K65" s="141"/>
      <c r="L65" s="141">
        <f>+T60</f>
        <v>0</v>
      </c>
      <c r="M65" s="148"/>
      <c r="N65" s="1"/>
    </row>
    <row r="66" spans="1:16" ht="13.5" thickBot="1" x14ac:dyDescent="0.25">
      <c r="B66" s="998" t="s">
        <v>45</v>
      </c>
      <c r="C66" s="999"/>
      <c r="D66" s="145">
        <f>+D64+D65</f>
        <v>10575.245983492065</v>
      </c>
      <c r="E66" s="145"/>
      <c r="F66" s="145">
        <f>+F64+F65</f>
        <v>12992.785983492064</v>
      </c>
      <c r="H66" s="998" t="s">
        <v>45</v>
      </c>
      <c r="I66" s="999"/>
      <c r="J66" s="145">
        <f>+J64+J65</f>
        <v>0</v>
      </c>
      <c r="K66" s="145"/>
      <c r="L66" s="145">
        <f>+L64+L65</f>
        <v>0</v>
      </c>
      <c r="M66" s="148"/>
    </row>
    <row r="67" spans="1:16" x14ac:dyDescent="0.2">
      <c r="B67" s="1000" t="s">
        <v>103</v>
      </c>
      <c r="C67" s="1001"/>
      <c r="D67" s="148"/>
      <c r="E67" s="148"/>
      <c r="F67" s="148"/>
      <c r="H67" s="1000" t="s">
        <v>103</v>
      </c>
      <c r="I67" s="1001"/>
      <c r="J67" s="148"/>
      <c r="K67" s="148"/>
      <c r="L67" s="148"/>
      <c r="M67" s="356"/>
    </row>
    <row r="68" spans="1:16" ht="13.5" thickBot="1" x14ac:dyDescent="0.25">
      <c r="B68" s="1002" t="s">
        <v>106</v>
      </c>
      <c r="C68" s="151" t="s">
        <v>108</v>
      </c>
      <c r="D68" s="152">
        <v>580</v>
      </c>
      <c r="E68" s="152"/>
      <c r="F68" s="152">
        <v>580</v>
      </c>
      <c r="H68" s="1002" t="s">
        <v>106</v>
      </c>
      <c r="I68" s="151" t="s">
        <v>108</v>
      </c>
      <c r="J68" s="152">
        <v>580</v>
      </c>
      <c r="K68" s="152"/>
      <c r="L68" s="152">
        <v>580</v>
      </c>
    </row>
    <row r="69" spans="1:16" ht="13.5" hidden="1" thickBot="1" x14ac:dyDescent="0.25">
      <c r="B69" s="1003"/>
      <c r="C69" s="151" t="s">
        <v>108</v>
      </c>
      <c r="D69" s="556">
        <v>600</v>
      </c>
      <c r="E69" s="556"/>
      <c r="F69" s="556">
        <v>600</v>
      </c>
      <c r="H69" s="1003"/>
      <c r="I69" s="151" t="s">
        <v>108</v>
      </c>
      <c r="J69" s="556">
        <v>600</v>
      </c>
      <c r="K69" s="556"/>
      <c r="L69" s="556">
        <v>600</v>
      </c>
    </row>
    <row r="70" spans="1:16" ht="13.5" thickBot="1" x14ac:dyDescent="0.25">
      <c r="B70" s="559" t="s">
        <v>110</v>
      </c>
      <c r="C70" s="558" t="s">
        <v>111</v>
      </c>
      <c r="D70" s="557">
        <v>20</v>
      </c>
      <c r="E70" s="557"/>
      <c r="F70" s="557">
        <v>25</v>
      </c>
      <c r="H70" s="559" t="s">
        <v>110</v>
      </c>
      <c r="I70" s="558" t="s">
        <v>111</v>
      </c>
      <c r="J70" s="557">
        <v>20</v>
      </c>
      <c r="K70" s="557"/>
      <c r="L70" s="557">
        <v>25</v>
      </c>
    </row>
    <row r="71" spans="1:16" x14ac:dyDescent="0.2">
      <c r="D71" s="571">
        <f>+D66/D68</f>
        <v>18.233182730158731</v>
      </c>
      <c r="E71" s="571"/>
      <c r="F71" s="572">
        <f>+F66/F68</f>
        <v>22.401355143951832</v>
      </c>
      <c r="J71" s="571">
        <f>+J66/J68</f>
        <v>0</v>
      </c>
      <c r="K71" s="571"/>
      <c r="L71" s="572">
        <f>+L66/L68</f>
        <v>0</v>
      </c>
    </row>
    <row r="72" spans="1:16" ht="13.5" thickBot="1" x14ac:dyDescent="0.25">
      <c r="F72" s="356"/>
      <c r="G72" s="360"/>
      <c r="I72" s="360"/>
      <c r="J72" s="356"/>
    </row>
    <row r="73" spans="1:16" ht="14.25" thickTop="1" thickBot="1" x14ac:dyDescent="0.25">
      <c r="A73" s="37"/>
      <c r="B73" s="523"/>
      <c r="C73" s="1052" t="s">
        <v>100</v>
      </c>
      <c r="D73" s="1053"/>
      <c r="E73" s="1046" t="s">
        <v>47</v>
      </c>
      <c r="F73" s="1047"/>
      <c r="H73" s="523"/>
      <c r="I73" s="1052" t="s">
        <v>100</v>
      </c>
      <c r="J73" s="1053"/>
      <c r="K73" s="1046" t="s">
        <v>47</v>
      </c>
      <c r="L73" s="1047"/>
      <c r="N73" s="1">
        <f>10575</f>
        <v>10575</v>
      </c>
      <c r="O73" s="148">
        <f>10575*0.1</f>
        <v>1057.5</v>
      </c>
      <c r="P73" s="356">
        <f>+N73+O73</f>
        <v>11632.5</v>
      </c>
    </row>
    <row r="74" spans="1:16" ht="13.5" thickTop="1" x14ac:dyDescent="0.2">
      <c r="A74" s="37"/>
      <c r="B74" s="553" t="s">
        <v>424</v>
      </c>
      <c r="C74" s="524">
        <f>+D70*D68</f>
        <v>11600</v>
      </c>
      <c r="D74" s="525">
        <v>1</v>
      </c>
      <c r="E74" s="524">
        <f>+F70*F68</f>
        <v>14500</v>
      </c>
      <c r="F74" s="525">
        <v>1</v>
      </c>
      <c r="H74" s="553" t="s">
        <v>424</v>
      </c>
      <c r="I74" s="524">
        <f>+J70*J68</f>
        <v>11600</v>
      </c>
      <c r="J74" s="525">
        <v>1</v>
      </c>
      <c r="K74" s="524">
        <f>+L70*L68</f>
        <v>14500</v>
      </c>
      <c r="L74" s="525">
        <v>1</v>
      </c>
      <c r="N74" s="1">
        <f>5*5*15</f>
        <v>375</v>
      </c>
      <c r="P74" s="148">
        <f>+P73/0.84</f>
        <v>13848.214285714286</v>
      </c>
    </row>
    <row r="75" spans="1:16" x14ac:dyDescent="0.2">
      <c r="A75" s="37"/>
      <c r="B75" s="554" t="s">
        <v>421</v>
      </c>
      <c r="C75" s="524">
        <f>+D65</f>
        <v>615</v>
      </c>
      <c r="D75" s="525">
        <f>+C75/$C$74</f>
        <v>5.3017241379310347E-2</v>
      </c>
      <c r="E75" s="524">
        <f>+F65</f>
        <v>765</v>
      </c>
      <c r="F75" s="525">
        <f>+E75/$E$74</f>
        <v>5.2758620689655172E-2</v>
      </c>
      <c r="H75" s="554" t="s">
        <v>421</v>
      </c>
      <c r="I75" s="524">
        <f>+J65</f>
        <v>0</v>
      </c>
      <c r="J75" s="525">
        <f>+I75/$C$74</f>
        <v>0</v>
      </c>
      <c r="K75" s="524">
        <f>+L65</f>
        <v>0</v>
      </c>
      <c r="L75" s="525">
        <f>+K75/$E$74</f>
        <v>0</v>
      </c>
      <c r="N75" s="1">
        <f>25*4</f>
        <v>100</v>
      </c>
      <c r="P75" s="148">
        <f>+P74/650</f>
        <v>21.304945054945055</v>
      </c>
    </row>
    <row r="76" spans="1:16" x14ac:dyDescent="0.2">
      <c r="A76" s="37"/>
      <c r="B76" s="554" t="s">
        <v>422</v>
      </c>
      <c r="C76" s="524">
        <f>+D64*0.87</f>
        <v>8665.4140056380966</v>
      </c>
      <c r="D76" s="525">
        <f>+C76/$C$74</f>
        <v>0.74701844876190493</v>
      </c>
      <c r="E76" s="524">
        <f>+F64*0.87</f>
        <v>10638.173805638095</v>
      </c>
      <c r="F76" s="525">
        <f>+E76/$E$74</f>
        <v>0.73366715900952373</v>
      </c>
      <c r="H76" s="554" t="s">
        <v>422</v>
      </c>
      <c r="I76" s="524">
        <f>+J64*0.87</f>
        <v>0</v>
      </c>
      <c r="J76" s="525">
        <f>+I76/$C$74</f>
        <v>0</v>
      </c>
      <c r="K76" s="524">
        <f>+L64*0.87</f>
        <v>0</v>
      </c>
      <c r="L76" s="525">
        <f>+K76/$E$74</f>
        <v>0</v>
      </c>
      <c r="N76" s="1">
        <f>15*15</f>
        <v>225</v>
      </c>
      <c r="P76" s="1">
        <f>600*28</f>
        <v>16800</v>
      </c>
    </row>
    <row r="77" spans="1:16" x14ac:dyDescent="0.2">
      <c r="A77" s="37"/>
      <c r="B77" s="554" t="s">
        <v>423</v>
      </c>
      <c r="C77" s="524">
        <f>+C74-C75-C76</f>
        <v>2319.5859943619034</v>
      </c>
      <c r="D77" s="525"/>
      <c r="E77" s="524">
        <f>+E74-E75-E76</f>
        <v>3096.8261943619054</v>
      </c>
      <c r="F77" s="525"/>
      <c r="H77" s="554" t="s">
        <v>423</v>
      </c>
      <c r="I77" s="524">
        <f>+I74-I75-I76</f>
        <v>11600</v>
      </c>
      <c r="J77" s="525"/>
      <c r="K77" s="524">
        <f>+K74-K75-K76</f>
        <v>14500</v>
      </c>
      <c r="L77" s="525"/>
      <c r="N77" s="1">
        <f>25*15</f>
        <v>375</v>
      </c>
    </row>
    <row r="78" spans="1:16" x14ac:dyDescent="0.2">
      <c r="A78" s="37"/>
      <c r="B78" s="554" t="s">
        <v>419</v>
      </c>
      <c r="C78" s="524">
        <f>+D64*13%</f>
        <v>1294.8319778539685</v>
      </c>
      <c r="D78" s="525">
        <f>+C78/$C$74</f>
        <v>0.11162344636672142</v>
      </c>
      <c r="E78" s="524">
        <f>+F64*13%</f>
        <v>1589.6121778539684</v>
      </c>
      <c r="F78" s="525">
        <f>+E78/$E$74</f>
        <v>0.10962842605889438</v>
      </c>
      <c r="H78" s="554" t="s">
        <v>419</v>
      </c>
      <c r="I78" s="524">
        <f>+J66*13%</f>
        <v>0</v>
      </c>
      <c r="J78" s="525">
        <f>+I78/$C$74</f>
        <v>0</v>
      </c>
      <c r="K78" s="524">
        <f>+L66*13%</f>
        <v>0</v>
      </c>
      <c r="L78" s="525">
        <f>+K78/$E$74</f>
        <v>0</v>
      </c>
    </row>
    <row r="79" spans="1:16" x14ac:dyDescent="0.2">
      <c r="A79" s="37"/>
      <c r="B79" s="554" t="s">
        <v>420</v>
      </c>
      <c r="C79" s="552">
        <f>+(C74/0.87)*0.03</f>
        <v>400</v>
      </c>
      <c r="D79" s="525">
        <f>+C79/$C$74</f>
        <v>3.4482758620689655E-2</v>
      </c>
      <c r="E79" s="552">
        <f>+(E74/0.87)*0.03</f>
        <v>500</v>
      </c>
      <c r="F79" s="525">
        <f>+E79/$E$74</f>
        <v>3.4482758620689655E-2</v>
      </c>
      <c r="H79" s="554" t="s">
        <v>420</v>
      </c>
      <c r="I79" s="552">
        <f>+(I74/0.87)*0.03</f>
        <v>400</v>
      </c>
      <c r="J79" s="525">
        <f>+I79/$C$74</f>
        <v>3.4482758620689655E-2</v>
      </c>
      <c r="K79" s="552">
        <f>+(K74/0.87)*0.03</f>
        <v>500</v>
      </c>
      <c r="L79" s="525">
        <f>+K79/$E$74</f>
        <v>3.4482758620689655E-2</v>
      </c>
    </row>
    <row r="80" spans="1:16" x14ac:dyDescent="0.2">
      <c r="A80" s="37"/>
      <c r="B80" s="554" t="s">
        <v>193</v>
      </c>
      <c r="C80" s="524">
        <f>+C77-C78-C79</f>
        <v>624.75401650793492</v>
      </c>
      <c r="D80" s="525">
        <f>+C80/$C$74</f>
        <v>5.3858104871373699E-2</v>
      </c>
      <c r="E80" s="524">
        <f>+E77-E78-E79</f>
        <v>1007.214016507937</v>
      </c>
      <c r="F80" s="525">
        <f>+E80/$E$74</f>
        <v>6.946303562123704E-2</v>
      </c>
      <c r="H80" s="554" t="s">
        <v>193</v>
      </c>
      <c r="I80" s="524">
        <f>+I77-I78-I79</f>
        <v>11200</v>
      </c>
      <c r="J80" s="525">
        <f>+I80/$C$74</f>
        <v>0.96551724137931039</v>
      </c>
      <c r="K80" s="524">
        <f>+K77-K78-K79</f>
        <v>14000</v>
      </c>
      <c r="L80" s="525">
        <f>+K80/$E$74</f>
        <v>0.96551724137931039</v>
      </c>
      <c r="N80" s="1">
        <f>25*600</f>
        <v>15000</v>
      </c>
    </row>
    <row r="81" spans="1:14" ht="13.5" thickBot="1" x14ac:dyDescent="0.25">
      <c r="A81" s="37"/>
      <c r="B81" s="555"/>
      <c r="C81" s="526"/>
      <c r="D81" s="527"/>
      <c r="E81" s="526"/>
      <c r="F81" s="527"/>
      <c r="H81" s="555"/>
      <c r="I81" s="526"/>
      <c r="J81" s="527"/>
      <c r="K81" s="526"/>
      <c r="L81" s="527"/>
    </row>
    <row r="82" spans="1:14" ht="13.5" thickTop="1" x14ac:dyDescent="0.2">
      <c r="F82" s="356"/>
      <c r="G82" s="360"/>
      <c r="I82" s="360"/>
      <c r="J82" s="356"/>
      <c r="N82" s="148">
        <f>9000/0.87</f>
        <v>10344.827586206897</v>
      </c>
    </row>
    <row r="83" spans="1:14" x14ac:dyDescent="0.2">
      <c r="F83" s="356"/>
      <c r="G83" s="360"/>
      <c r="I83" s="360"/>
      <c r="J83" s="356"/>
      <c r="N83" s="148">
        <f>+N82*0.16</f>
        <v>1655.1724137931035</v>
      </c>
    </row>
    <row r="84" spans="1:14" x14ac:dyDescent="0.2">
      <c r="F84" s="356"/>
      <c r="G84" s="360"/>
      <c r="I84" s="360"/>
      <c r="J84" s="356"/>
      <c r="N84" s="1">
        <f>248.97*(1+0.16)</f>
        <v>288.80519999999996</v>
      </c>
    </row>
  </sheetData>
  <sheetProtection selectLockedCells="1"/>
  <mergeCells count="70">
    <mergeCell ref="K73:L73"/>
    <mergeCell ref="I73:J73"/>
    <mergeCell ref="B17:O17"/>
    <mergeCell ref="H64:I64"/>
    <mergeCell ref="H65:I65"/>
    <mergeCell ref="H66:I66"/>
    <mergeCell ref="H67:I67"/>
    <mergeCell ref="H68:H69"/>
    <mergeCell ref="B21:C21"/>
    <mergeCell ref="B59:C59"/>
    <mergeCell ref="B60:C60"/>
    <mergeCell ref="B61:C61"/>
    <mergeCell ref="B64:C64"/>
    <mergeCell ref="B65:C65"/>
    <mergeCell ref="B66:C66"/>
    <mergeCell ref="B67:C67"/>
    <mergeCell ref="B1:N2"/>
    <mergeCell ref="B3:N4"/>
    <mergeCell ref="B5:N6"/>
    <mergeCell ref="B9:B10"/>
    <mergeCell ref="B13:N13"/>
    <mergeCell ref="M15:N15"/>
    <mergeCell ref="B18:C18"/>
    <mergeCell ref="B19:C19"/>
    <mergeCell ref="B20:C20"/>
    <mergeCell ref="J15:K15"/>
    <mergeCell ref="B15:C16"/>
    <mergeCell ref="D15:D16"/>
    <mergeCell ref="F15:F16"/>
    <mergeCell ref="H15:H16"/>
    <mergeCell ref="E15:E16"/>
    <mergeCell ref="B27:C27"/>
    <mergeCell ref="B28:C28"/>
    <mergeCell ref="B29:C29"/>
    <mergeCell ref="B30:C30"/>
    <mergeCell ref="B46:C46"/>
    <mergeCell ref="B31:C31"/>
    <mergeCell ref="B32:C32"/>
    <mergeCell ref="B43:C43"/>
    <mergeCell ref="B44:C44"/>
    <mergeCell ref="B45:C45"/>
    <mergeCell ref="B42:C42"/>
    <mergeCell ref="B36:C36"/>
    <mergeCell ref="B37:C37"/>
    <mergeCell ref="B38:C38"/>
    <mergeCell ref="B39:C39"/>
    <mergeCell ref="B33:C33"/>
    <mergeCell ref="B68:B69"/>
    <mergeCell ref="C73:D73"/>
    <mergeCell ref="E73:F73"/>
    <mergeCell ref="B58:C58"/>
    <mergeCell ref="B47:C47"/>
    <mergeCell ref="B48:C48"/>
    <mergeCell ref="B49:C49"/>
    <mergeCell ref="B50:C50"/>
    <mergeCell ref="B55:C55"/>
    <mergeCell ref="B53:C53"/>
    <mergeCell ref="B57:C57"/>
    <mergeCell ref="B54:C54"/>
    <mergeCell ref="B56:C56"/>
    <mergeCell ref="B22:C22"/>
    <mergeCell ref="B23:C23"/>
    <mergeCell ref="B24:C24"/>
    <mergeCell ref="B25:C25"/>
    <mergeCell ref="B26:C26"/>
    <mergeCell ref="B34:C34"/>
    <mergeCell ref="B35:C35"/>
    <mergeCell ref="B40:C40"/>
    <mergeCell ref="B41:C41"/>
    <mergeCell ref="B52:C52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A198"/>
  <sheetViews>
    <sheetView topLeftCell="A85" zoomScale="85" zoomScaleNormal="85" workbookViewId="0">
      <selection activeCell="H55" sqref="H55"/>
    </sheetView>
  </sheetViews>
  <sheetFormatPr baseColWidth="10" defaultColWidth="11.42578125" defaultRowHeight="12.75" x14ac:dyDescent="0.2"/>
  <cols>
    <col min="1" max="1" width="4.5703125" style="1" bestFit="1" customWidth="1"/>
    <col min="2" max="2" width="30.7109375" style="1" customWidth="1"/>
    <col min="3" max="3" width="10" style="1" customWidth="1"/>
    <col min="4" max="4" width="12.5703125" style="1" customWidth="1"/>
    <col min="5" max="5" width="13.7109375" style="1" customWidth="1"/>
    <col min="6" max="6" width="12.5703125" style="1" customWidth="1"/>
    <col min="7" max="7" width="13.42578125" style="1" customWidth="1"/>
    <col min="8" max="8" width="11.28515625" style="1" customWidth="1"/>
    <col min="9" max="9" width="11.42578125" style="1" customWidth="1"/>
    <col min="10" max="10" width="11.5703125" style="1" customWidth="1"/>
    <col min="11" max="11" width="21" style="1" customWidth="1"/>
    <col min="12" max="12" width="19.85546875" style="1" customWidth="1"/>
    <col min="13" max="13" width="13.28515625" style="1" customWidth="1"/>
    <col min="14" max="14" width="13" style="171" customWidth="1"/>
    <col min="15" max="15" width="8.5703125" style="171" customWidth="1"/>
    <col min="16" max="16" width="21.140625" style="1" customWidth="1"/>
    <col min="17" max="25" width="11.42578125" style="1"/>
    <col min="26" max="26" width="19.28515625" style="1" customWidth="1"/>
    <col min="27" max="16384" width="11.42578125" style="1"/>
  </cols>
  <sheetData>
    <row r="1" spans="1:27" ht="12.75" customHeight="1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  <c r="L1" s="1019"/>
    </row>
    <row r="2" spans="1:27" ht="12.75" customHeight="1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  <c r="L2" s="1019"/>
    </row>
    <row r="3" spans="1:27" ht="12.75" customHeight="1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  <c r="L3" s="1020"/>
    </row>
    <row r="4" spans="1:27" ht="12.75" customHeight="1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  <c r="L4" s="1020"/>
    </row>
    <row r="5" spans="1:27" ht="12.75" customHeight="1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  <c r="L5" s="1021"/>
    </row>
    <row r="6" spans="1:27" ht="12.75" customHeight="1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L6" s="1021"/>
    </row>
    <row r="7" spans="1:27" x14ac:dyDescent="0.2">
      <c r="A7" s="3"/>
      <c r="B7" s="3"/>
      <c r="C7" s="4"/>
      <c r="D7" s="4"/>
      <c r="E7" s="4"/>
      <c r="F7" s="4"/>
      <c r="G7" s="4"/>
    </row>
    <row r="8" spans="1:27" s="5" customFormat="1" ht="23.25" x14ac:dyDescent="0.35">
      <c r="B8" s="6" t="s">
        <v>3</v>
      </c>
      <c r="C8" s="1452" t="s">
        <v>4</v>
      </c>
      <c r="D8" s="1452"/>
      <c r="E8" s="1452"/>
      <c r="F8" s="1452"/>
      <c r="G8" s="1452"/>
      <c r="H8" s="1452"/>
      <c r="Z8" s="5" t="s">
        <v>5</v>
      </c>
    </row>
    <row r="9" spans="1:27" s="5" customFormat="1" ht="23.25" x14ac:dyDescent="0.35">
      <c r="B9" s="6" t="s">
        <v>6</v>
      </c>
      <c r="C9" s="1452"/>
      <c r="D9" s="1452"/>
      <c r="E9" s="1452"/>
      <c r="F9" s="1452"/>
      <c r="G9" s="1452"/>
      <c r="H9" s="1452"/>
      <c r="Z9" s="5" t="s">
        <v>7</v>
      </c>
    </row>
    <row r="10" spans="1:27" s="5" customFormat="1" ht="23.25" x14ac:dyDescent="0.35">
      <c r="B10" s="6" t="s">
        <v>8</v>
      </c>
      <c r="C10" s="1453" t="s">
        <v>5</v>
      </c>
      <c r="D10" s="1453"/>
      <c r="E10" s="1453"/>
      <c r="F10" s="1453"/>
      <c r="L10" s="172">
        <v>300000</v>
      </c>
      <c r="M10" s="173"/>
      <c r="N10" s="173"/>
      <c r="Z10" s="5" t="s">
        <v>9</v>
      </c>
    </row>
    <row r="11" spans="1:27" s="5" customFormat="1" ht="23.25" x14ac:dyDescent="0.35">
      <c r="B11" s="6" t="s">
        <v>10</v>
      </c>
      <c r="C11" s="8" t="s">
        <v>11</v>
      </c>
      <c r="D11" s="9"/>
      <c r="E11" s="10" t="s">
        <v>12</v>
      </c>
      <c r="F11" s="9"/>
      <c r="K11" s="5" t="s">
        <v>13</v>
      </c>
      <c r="L11" s="172">
        <v>37650.352450200007</v>
      </c>
      <c r="M11" s="174">
        <f>L11/L10</f>
        <v>0.12550117483400003</v>
      </c>
      <c r="N11" s="173">
        <f>L11*M11</f>
        <v>4725.1634654142727</v>
      </c>
    </row>
    <row r="12" spans="1:27" s="5" customFormat="1" ht="24" thickBot="1" x14ac:dyDescent="0.4">
      <c r="K12" s="5" t="s">
        <v>14</v>
      </c>
      <c r="L12" s="172">
        <v>25653.67626045</v>
      </c>
      <c r="M12" s="174">
        <f>L12/L10</f>
        <v>8.5512254201499993E-2</v>
      </c>
      <c r="N12" s="173">
        <f>L12*M12</f>
        <v>2193.7036855865863</v>
      </c>
    </row>
    <row r="13" spans="1:27" ht="23.25" x14ac:dyDescent="0.35">
      <c r="A13" s="12" t="s">
        <v>15</v>
      </c>
      <c r="B13" s="1356" t="s">
        <v>16</v>
      </c>
      <c r="C13" s="1357"/>
      <c r="D13" s="13" t="s">
        <v>17</v>
      </c>
      <c r="K13" s="5" t="s">
        <v>18</v>
      </c>
      <c r="L13" s="172">
        <v>12081.752233320001</v>
      </c>
      <c r="M13" s="174">
        <f>L13/L10</f>
        <v>4.0272507444400002E-2</v>
      </c>
      <c r="N13" s="173">
        <f>L13*M13</f>
        <v>486.56245675777609</v>
      </c>
      <c r="Z13" s="15" t="s">
        <v>19</v>
      </c>
    </row>
    <row r="14" spans="1:27" ht="15" x14ac:dyDescent="0.25">
      <c r="B14" s="1358" t="s">
        <v>20</v>
      </c>
      <c r="C14" s="1359"/>
      <c r="D14" s="14">
        <v>20</v>
      </c>
      <c r="L14" s="175"/>
      <c r="Z14" s="15"/>
    </row>
    <row r="15" spans="1:27" ht="15" x14ac:dyDescent="0.25">
      <c r="B15" s="1358" t="s">
        <v>21</v>
      </c>
      <c r="C15" s="1359"/>
      <c r="D15" s="14">
        <v>5</v>
      </c>
      <c r="L15" s="175"/>
      <c r="Z15" s="15" t="s">
        <v>22</v>
      </c>
    </row>
    <row r="16" spans="1:27" ht="15" x14ac:dyDescent="0.25">
      <c r="B16" s="1360" t="s">
        <v>23</v>
      </c>
      <c r="C16" s="1361"/>
      <c r="D16" s="14">
        <v>1</v>
      </c>
      <c r="F16" s="15"/>
      <c r="H16" s="15"/>
      <c r="L16" s="175"/>
      <c r="Z16" s="176" t="s">
        <v>24</v>
      </c>
      <c r="AA16" s="177"/>
    </row>
    <row r="17" spans="1:27" ht="15" x14ac:dyDescent="0.25">
      <c r="B17" s="1360" t="s">
        <v>25</v>
      </c>
      <c r="C17" s="1361"/>
      <c r="D17" s="18">
        <v>1</v>
      </c>
      <c r="L17" s="175"/>
      <c r="Z17" s="176" t="s">
        <v>28</v>
      </c>
      <c r="AA17" s="177"/>
    </row>
    <row r="18" spans="1:27" ht="15.75" thickBot="1" x14ac:dyDescent="0.3">
      <c r="B18" s="1349" t="s">
        <v>31</v>
      </c>
      <c r="C18" s="1350"/>
      <c r="D18" s="23">
        <v>6.96</v>
      </c>
      <c r="L18" s="175"/>
      <c r="Z18" s="176" t="s">
        <v>33</v>
      </c>
      <c r="AA18" s="177"/>
    </row>
    <row r="19" spans="1:27" s="30" customFormat="1" ht="15" x14ac:dyDescent="0.25">
      <c r="A19" s="27"/>
      <c r="B19" s="28"/>
      <c r="C19" s="29"/>
      <c r="L19" s="175"/>
      <c r="N19" s="178"/>
      <c r="O19" s="178"/>
    </row>
    <row r="20" spans="1:27" ht="15" customHeight="1" x14ac:dyDescent="0.2">
      <c r="A20" s="34" t="s">
        <v>35</v>
      </c>
      <c r="B20" s="1024" t="s">
        <v>36</v>
      </c>
      <c r="C20" s="1024"/>
      <c r="D20" s="1024"/>
      <c r="E20" s="1024"/>
      <c r="F20" s="1024"/>
      <c r="G20" s="1024"/>
      <c r="H20" s="1024"/>
      <c r="I20" s="1024"/>
      <c r="J20" s="1024"/>
      <c r="K20" s="1024"/>
      <c r="L20" s="1024"/>
      <c r="M20" s="1024"/>
      <c r="N20" s="1024"/>
      <c r="O20" s="1024"/>
    </row>
    <row r="21" spans="1:27" ht="15" x14ac:dyDescent="0.25">
      <c r="B21" s="15"/>
      <c r="L21" s="175"/>
      <c r="N21" s="1"/>
      <c r="O21" s="1"/>
    </row>
    <row r="22" spans="1:27" ht="15" customHeight="1" x14ac:dyDescent="0.2">
      <c r="A22" s="34" t="s">
        <v>37</v>
      </c>
      <c r="B22" s="1024" t="s">
        <v>113</v>
      </c>
      <c r="C22" s="1024"/>
      <c r="D22" s="1024"/>
      <c r="E22" s="1024"/>
      <c r="F22" s="1024"/>
      <c r="G22" s="1024"/>
      <c r="H22" s="1024"/>
      <c r="I22" s="1024"/>
      <c r="J22" s="1024" t="s">
        <v>39</v>
      </c>
      <c r="K22" s="1024"/>
      <c r="L22" s="1024"/>
      <c r="M22" s="35"/>
      <c r="N22" s="35"/>
      <c r="O22" s="35"/>
    </row>
    <row r="23" spans="1:27" ht="15.75" thickBot="1" x14ac:dyDescent="0.3">
      <c r="B23" s="15"/>
      <c r="H23" s="36"/>
      <c r="J23" s="37"/>
      <c r="L23" s="175"/>
      <c r="N23" s="1"/>
      <c r="O23" s="1"/>
    </row>
    <row r="24" spans="1:27" ht="14.25" x14ac:dyDescent="0.2">
      <c r="B24" s="1032" t="s">
        <v>40</v>
      </c>
      <c r="C24" s="1436"/>
      <c r="D24" s="1436" t="s">
        <v>41</v>
      </c>
      <c r="E24" s="1436" t="s">
        <v>43</v>
      </c>
      <c r="F24" s="1436" t="s">
        <v>44</v>
      </c>
      <c r="G24" s="1436"/>
      <c r="H24" s="1436" t="s">
        <v>45</v>
      </c>
      <c r="I24" s="1033"/>
      <c r="J24" s="1443" t="s">
        <v>47</v>
      </c>
      <c r="K24" s="1444"/>
      <c r="L24" s="1445"/>
      <c r="N24" s="1"/>
      <c r="O24" s="1"/>
    </row>
    <row r="25" spans="1:27" x14ac:dyDescent="0.2">
      <c r="B25" s="1034"/>
      <c r="C25" s="1437"/>
      <c r="D25" s="1437"/>
      <c r="E25" s="1437"/>
      <c r="F25" s="179" t="s">
        <v>48</v>
      </c>
      <c r="G25" s="179" t="s">
        <v>114</v>
      </c>
      <c r="H25" s="179" t="s">
        <v>48</v>
      </c>
      <c r="I25" s="44" t="s">
        <v>114</v>
      </c>
      <c r="J25" s="42" t="s">
        <v>49</v>
      </c>
      <c r="K25" s="179" t="s">
        <v>48</v>
      </c>
      <c r="L25" s="44" t="s">
        <v>114</v>
      </c>
      <c r="N25" s="1"/>
      <c r="O25" s="1"/>
    </row>
    <row r="26" spans="1:27" ht="15" x14ac:dyDescent="0.25">
      <c r="B26" s="1054" t="s">
        <v>115</v>
      </c>
      <c r="C26" s="1440"/>
      <c r="D26" s="180">
        <v>0.25</v>
      </c>
      <c r="E26" s="181" t="s">
        <v>116</v>
      </c>
      <c r="F26" s="182">
        <f>13000/22</f>
        <v>590.90909090909088</v>
      </c>
      <c r="G26" s="183">
        <f t="shared" ref="G26" si="0">F26/$D$18</f>
        <v>84.900731452455588</v>
      </c>
      <c r="H26" s="184">
        <f>D26*F26</f>
        <v>147.72727272727272</v>
      </c>
      <c r="I26" s="185">
        <f t="shared" ref="I26" si="1">D26*G26</f>
        <v>21.225182863113897</v>
      </c>
      <c r="J26" s="186" t="s">
        <v>54</v>
      </c>
      <c r="K26" s="187">
        <f>IF($J26="S",$H26,0)</f>
        <v>147.72727272727272</v>
      </c>
      <c r="L26" s="188">
        <f t="shared" ref="L26" si="2">K26/$D$18</f>
        <v>21.225182863113897</v>
      </c>
      <c r="M26" s="27"/>
      <c r="N26" s="1"/>
      <c r="O26" s="1"/>
    </row>
    <row r="27" spans="1:27" ht="15" x14ac:dyDescent="0.25">
      <c r="B27" s="1054" t="s">
        <v>117</v>
      </c>
      <c r="C27" s="1440"/>
      <c r="D27" s="180">
        <v>0.5</v>
      </c>
      <c r="E27" s="181" t="s">
        <v>118</v>
      </c>
      <c r="F27" s="182">
        <f>7000/22</f>
        <v>318.18181818181819</v>
      </c>
      <c r="G27" s="183">
        <f>F27/$D$18</f>
        <v>45.715778474399166</v>
      </c>
      <c r="H27" s="184">
        <f>D27*F27</f>
        <v>159.09090909090909</v>
      </c>
      <c r="I27" s="185">
        <f>D27*G27</f>
        <v>22.857889237199583</v>
      </c>
      <c r="J27" s="189" t="s">
        <v>54</v>
      </c>
      <c r="K27" s="187">
        <f>IF($J27="S",$H27,0)</f>
        <v>159.09090909090909</v>
      </c>
      <c r="L27" s="188">
        <f>K27/$D$18</f>
        <v>22.857889237199583</v>
      </c>
      <c r="M27" s="28"/>
      <c r="N27" s="1"/>
      <c r="O27" s="1"/>
    </row>
    <row r="28" spans="1:27" ht="15" x14ac:dyDescent="0.25">
      <c r="B28" s="1054" t="s">
        <v>119</v>
      </c>
      <c r="C28" s="1440"/>
      <c r="D28" s="180">
        <v>1</v>
      </c>
      <c r="E28" s="181" t="s">
        <v>116</v>
      </c>
      <c r="F28" s="182">
        <f>3500/22</f>
        <v>159.09090909090909</v>
      </c>
      <c r="G28" s="183">
        <f>F28/$D$18</f>
        <v>22.857889237199583</v>
      </c>
      <c r="H28" s="184">
        <f>D28*F28</f>
        <v>159.09090909090909</v>
      </c>
      <c r="I28" s="185">
        <f>D28*G28</f>
        <v>22.857889237199583</v>
      </c>
      <c r="J28" s="186" t="s">
        <v>54</v>
      </c>
      <c r="K28" s="187">
        <f>IF($J28="S",$H28,0)</f>
        <v>159.09090909090909</v>
      </c>
      <c r="L28" s="188">
        <f>K28/$D$18</f>
        <v>22.857889237199583</v>
      </c>
      <c r="M28" s="28"/>
      <c r="N28" s="1"/>
      <c r="O28" s="1"/>
    </row>
    <row r="29" spans="1:27" ht="15" x14ac:dyDescent="0.25">
      <c r="B29" s="1054" t="s">
        <v>120</v>
      </c>
      <c r="C29" s="1440"/>
      <c r="D29" s="180">
        <v>0</v>
      </c>
      <c r="E29" s="181" t="s">
        <v>116</v>
      </c>
      <c r="F29" s="182">
        <f>3500/22</f>
        <v>159.09090909090909</v>
      </c>
      <c r="G29" s="183">
        <f>F29/$D$18</f>
        <v>22.857889237199583</v>
      </c>
      <c r="H29" s="190">
        <f>D29*F29</f>
        <v>0</v>
      </c>
      <c r="I29" s="185">
        <f>D29*G29</f>
        <v>0</v>
      </c>
      <c r="J29" s="186" t="s">
        <v>57</v>
      </c>
      <c r="K29" s="187">
        <f>IF($J29="S",$H29,0)</f>
        <v>0</v>
      </c>
      <c r="L29" s="188">
        <f>K29/$D$18</f>
        <v>0</v>
      </c>
      <c r="M29" s="27"/>
      <c r="N29" s="1"/>
      <c r="O29" s="1"/>
    </row>
    <row r="30" spans="1:27" ht="15" hidden="1" x14ac:dyDescent="0.25">
      <c r="B30" s="1054" t="s">
        <v>121</v>
      </c>
      <c r="C30" s="1440"/>
      <c r="D30" s="180"/>
      <c r="E30" s="181"/>
      <c r="F30" s="182"/>
      <c r="G30" s="183"/>
      <c r="H30" s="190"/>
      <c r="I30" s="185"/>
      <c r="J30" s="186"/>
      <c r="K30" s="187"/>
      <c r="L30" s="188"/>
      <c r="M30" s="27"/>
      <c r="N30" s="1"/>
      <c r="O30" s="1"/>
    </row>
    <row r="31" spans="1:27" ht="15" x14ac:dyDescent="0.25">
      <c r="B31" s="1054" t="s">
        <v>122</v>
      </c>
      <c r="C31" s="1440"/>
      <c r="D31" s="180">
        <v>1</v>
      </c>
      <c r="E31" s="181" t="s">
        <v>123</v>
      </c>
      <c r="F31" s="180">
        <v>230</v>
      </c>
      <c r="G31" s="183">
        <f>F31/$D$18</f>
        <v>33.045977011494251</v>
      </c>
      <c r="H31" s="190">
        <f t="shared" ref="H31:H47" si="3">D31*F31</f>
        <v>230</v>
      </c>
      <c r="I31" s="185">
        <f>D31*G31</f>
        <v>33.045977011494251</v>
      </c>
      <c r="J31" s="186" t="s">
        <v>57</v>
      </c>
      <c r="K31" s="187">
        <f>IF($J31="S",$H31,0)</f>
        <v>0</v>
      </c>
      <c r="L31" s="188">
        <f>K31/$D$18</f>
        <v>0</v>
      </c>
      <c r="M31" s="27"/>
      <c r="N31" s="1"/>
      <c r="O31" s="1"/>
    </row>
    <row r="32" spans="1:27" ht="15" x14ac:dyDescent="0.25">
      <c r="B32" s="1187" t="s">
        <v>55</v>
      </c>
      <c r="C32" s="1188"/>
      <c r="D32" s="191">
        <f>D14</f>
        <v>20</v>
      </c>
      <c r="E32" s="181" t="s">
        <v>20</v>
      </c>
      <c r="F32" s="180">
        <v>126</v>
      </c>
      <c r="G32" s="183">
        <f>F32/$D$18</f>
        <v>18.103448275862068</v>
      </c>
      <c r="H32" s="190">
        <f t="shared" si="3"/>
        <v>2520</v>
      </c>
      <c r="I32" s="185">
        <f>D32*G32</f>
        <v>362.06896551724134</v>
      </c>
      <c r="J32" s="186" t="s">
        <v>54</v>
      </c>
      <c r="K32" s="187">
        <f>IF($J32="S",$H32,0)</f>
        <v>2520</v>
      </c>
      <c r="L32" s="188">
        <f>K32/$D$18</f>
        <v>362.06896551724139</v>
      </c>
      <c r="N32" s="1"/>
      <c r="O32" s="1"/>
    </row>
    <row r="33" spans="1:15" ht="15" x14ac:dyDescent="0.25">
      <c r="B33" s="1054" t="s">
        <v>124</v>
      </c>
      <c r="C33" s="1440"/>
      <c r="D33" s="180">
        <v>0</v>
      </c>
      <c r="E33" s="181" t="s">
        <v>20</v>
      </c>
      <c r="F33" s="180"/>
      <c r="G33" s="183">
        <f t="shared" ref="G33" si="4">F33/$D$18</f>
        <v>0</v>
      </c>
      <c r="H33" s="190">
        <f t="shared" si="3"/>
        <v>0</v>
      </c>
      <c r="I33" s="185">
        <f t="shared" ref="I33" si="5">D33*G33</f>
        <v>0</v>
      </c>
      <c r="J33" s="186" t="s">
        <v>57</v>
      </c>
      <c r="K33" s="187">
        <f t="shared" ref="K33" si="6">IF($J33="S",$H33,0)</f>
        <v>0</v>
      </c>
      <c r="L33" s="188">
        <f t="shared" ref="L33" si="7">K33/$D$18</f>
        <v>0</v>
      </c>
      <c r="N33" s="1"/>
      <c r="O33" s="1"/>
    </row>
    <row r="34" spans="1:15" ht="15" x14ac:dyDescent="0.25">
      <c r="B34" s="1187" t="s">
        <v>125</v>
      </c>
      <c r="C34" s="1188"/>
      <c r="D34" s="180">
        <v>0</v>
      </c>
      <c r="E34" s="181" t="s">
        <v>126</v>
      </c>
      <c r="F34" s="180">
        <v>100</v>
      </c>
      <c r="G34" s="183">
        <f>F34/$D$18</f>
        <v>14.367816091954023</v>
      </c>
      <c r="H34" s="190">
        <f t="shared" si="3"/>
        <v>0</v>
      </c>
      <c r="I34" s="185">
        <f>D34*G34</f>
        <v>0</v>
      </c>
      <c r="J34" s="186" t="s">
        <v>57</v>
      </c>
      <c r="K34" s="187">
        <f>IF($J34="S",$H34,0)</f>
        <v>0</v>
      </c>
      <c r="L34" s="188">
        <f>K34/$D$18</f>
        <v>0</v>
      </c>
      <c r="M34" s="28"/>
      <c r="N34" s="1"/>
      <c r="O34" s="1"/>
    </row>
    <row r="35" spans="1:15" ht="15" x14ac:dyDescent="0.25">
      <c r="B35" s="1187" t="s">
        <v>127</v>
      </c>
      <c r="C35" s="1188"/>
      <c r="D35" s="180">
        <v>0</v>
      </c>
      <c r="E35" s="181" t="s">
        <v>128</v>
      </c>
      <c r="F35" s="180">
        <v>1400</v>
      </c>
      <c r="G35" s="183">
        <f>F35/$D$18</f>
        <v>201.14942528735634</v>
      </c>
      <c r="H35" s="190">
        <f t="shared" si="3"/>
        <v>0</v>
      </c>
      <c r="I35" s="185">
        <f>D35*G35</f>
        <v>0</v>
      </c>
      <c r="J35" s="186" t="s">
        <v>57</v>
      </c>
      <c r="K35" s="187">
        <f>IF($J35="S",$H35,0)</f>
        <v>0</v>
      </c>
      <c r="L35" s="188">
        <f>K35/$D$18</f>
        <v>0</v>
      </c>
      <c r="M35" s="28"/>
      <c r="N35" s="1"/>
      <c r="O35" s="1"/>
    </row>
    <row r="36" spans="1:15" ht="15" x14ac:dyDescent="0.25">
      <c r="B36" s="1054" t="s">
        <v>68</v>
      </c>
      <c r="C36" s="1440"/>
      <c r="D36" s="180">
        <v>0</v>
      </c>
      <c r="E36" s="181" t="s">
        <v>126</v>
      </c>
      <c r="F36" s="180">
        <v>230</v>
      </c>
      <c r="G36" s="183">
        <f>F36/$D$18</f>
        <v>33.045977011494251</v>
      </c>
      <c r="H36" s="190">
        <f t="shared" si="3"/>
        <v>0</v>
      </c>
      <c r="I36" s="185">
        <f>D36*G36</f>
        <v>0</v>
      </c>
      <c r="J36" s="186" t="s">
        <v>57</v>
      </c>
      <c r="K36" s="187">
        <f>IF($J36="S",$H36,0)</f>
        <v>0</v>
      </c>
      <c r="L36" s="188">
        <f>K36/$D$18</f>
        <v>0</v>
      </c>
      <c r="M36" s="28"/>
      <c r="N36" s="1"/>
      <c r="O36" s="1"/>
    </row>
    <row r="37" spans="1:15" ht="15" x14ac:dyDescent="0.25">
      <c r="B37" s="1187" t="s">
        <v>129</v>
      </c>
      <c r="C37" s="1188"/>
      <c r="D37" s="180">
        <v>0</v>
      </c>
      <c r="E37" s="181"/>
      <c r="F37" s="180">
        <v>242</v>
      </c>
      <c r="G37" s="183">
        <f t="shared" ref="G37:G47" si="8">F37/$D$18</f>
        <v>34.770114942528735</v>
      </c>
      <c r="H37" s="190">
        <f t="shared" si="3"/>
        <v>0</v>
      </c>
      <c r="I37" s="185">
        <f t="shared" ref="I37:I47" si="9">D37*G37</f>
        <v>0</v>
      </c>
      <c r="J37" s="186" t="s">
        <v>57</v>
      </c>
      <c r="K37" s="187">
        <f t="shared" ref="K37:K47" si="10">IF($J37="S",$H37,0)</f>
        <v>0</v>
      </c>
      <c r="L37" s="188">
        <f t="shared" ref="L37:L67" si="11">K37/$D$18</f>
        <v>0</v>
      </c>
      <c r="M37" s="83"/>
      <c r="N37" s="1"/>
      <c r="O37" s="1"/>
    </row>
    <row r="38" spans="1:15" ht="15" x14ac:dyDescent="0.25">
      <c r="B38" s="1448" t="s">
        <v>130</v>
      </c>
      <c r="C38" s="1449"/>
      <c r="D38" s="180">
        <v>1</v>
      </c>
      <c r="E38" s="181" t="s">
        <v>131</v>
      </c>
      <c r="F38" s="180">
        <v>15</v>
      </c>
      <c r="G38" s="183">
        <f t="shared" si="8"/>
        <v>2.1551724137931036</v>
      </c>
      <c r="H38" s="190">
        <f t="shared" si="3"/>
        <v>15</v>
      </c>
      <c r="I38" s="185">
        <f t="shared" si="9"/>
        <v>2.1551724137931036</v>
      </c>
      <c r="J38" s="186" t="s">
        <v>54</v>
      </c>
      <c r="K38" s="187">
        <f t="shared" si="10"/>
        <v>15</v>
      </c>
      <c r="L38" s="188">
        <f t="shared" si="11"/>
        <v>2.1551724137931036</v>
      </c>
      <c r="M38" s="28"/>
      <c r="N38" s="1"/>
      <c r="O38" s="1"/>
    </row>
    <row r="39" spans="1:15" ht="15" hidden="1" x14ac:dyDescent="0.25">
      <c r="B39" s="192" t="s">
        <v>132</v>
      </c>
      <c r="C39" s="193"/>
      <c r="D39" s="180"/>
      <c r="E39" s="181"/>
      <c r="F39" s="180"/>
      <c r="G39" s="183"/>
      <c r="H39" s="190"/>
      <c r="I39" s="185"/>
      <c r="J39" s="186"/>
      <c r="K39" s="187"/>
      <c r="L39" s="188"/>
      <c r="M39" s="28"/>
      <c r="N39" s="1"/>
      <c r="O39" s="1"/>
    </row>
    <row r="40" spans="1:15" ht="15" hidden="1" x14ac:dyDescent="0.25">
      <c r="B40" s="192"/>
      <c r="C40" s="193"/>
      <c r="D40" s="180"/>
      <c r="E40" s="181"/>
      <c r="F40" s="180"/>
      <c r="G40" s="183"/>
      <c r="H40" s="190"/>
      <c r="I40" s="185"/>
      <c r="J40" s="186"/>
      <c r="K40" s="187"/>
      <c r="L40" s="188"/>
      <c r="M40" s="28"/>
      <c r="N40" s="1"/>
      <c r="O40" s="1"/>
    </row>
    <row r="41" spans="1:15" ht="15" hidden="1" x14ac:dyDescent="0.25">
      <c r="B41" s="194" t="s">
        <v>133</v>
      </c>
      <c r="C41" s="195"/>
      <c r="D41" s="180"/>
      <c r="E41" s="181"/>
      <c r="F41" s="180"/>
      <c r="G41" s="183"/>
      <c r="H41" s="190"/>
      <c r="I41" s="185"/>
      <c r="J41" s="186"/>
      <c r="K41" s="187"/>
      <c r="L41" s="188"/>
      <c r="M41" s="27"/>
      <c r="N41" s="1"/>
      <c r="O41" s="1"/>
    </row>
    <row r="42" spans="1:15" ht="15" hidden="1" x14ac:dyDescent="0.25">
      <c r="B42" s="196" t="s">
        <v>134</v>
      </c>
      <c r="C42" s="197"/>
      <c r="D42" s="180"/>
      <c r="E42" s="181"/>
      <c r="F42" s="180"/>
      <c r="G42" s="183"/>
      <c r="H42" s="190"/>
      <c r="I42" s="185"/>
      <c r="J42" s="186"/>
      <c r="K42" s="187"/>
      <c r="L42" s="188"/>
      <c r="M42" s="27"/>
      <c r="N42" s="1"/>
      <c r="O42" s="1"/>
    </row>
    <row r="43" spans="1:15" ht="15" hidden="1" x14ac:dyDescent="0.25">
      <c r="B43" s="194" t="s">
        <v>135</v>
      </c>
      <c r="C43" s="195"/>
      <c r="D43" s="180"/>
      <c r="E43" s="181"/>
      <c r="F43" s="180"/>
      <c r="G43" s="183"/>
      <c r="H43" s="190"/>
      <c r="I43" s="185"/>
      <c r="J43" s="186"/>
      <c r="K43" s="187"/>
      <c r="L43" s="188"/>
      <c r="M43" s="27"/>
      <c r="N43" s="1"/>
      <c r="O43" s="1"/>
    </row>
    <row r="44" spans="1:15" ht="15" x14ac:dyDescent="0.25">
      <c r="B44" s="1450" t="s">
        <v>136</v>
      </c>
      <c r="C44" s="1451"/>
      <c r="D44" s="180">
        <v>5</v>
      </c>
      <c r="E44" s="181" t="s">
        <v>137</v>
      </c>
      <c r="F44" s="180">
        <v>50</v>
      </c>
      <c r="G44" s="183">
        <f>F44/$D$18</f>
        <v>7.1839080459770113</v>
      </c>
      <c r="H44" s="190">
        <f>D44*F44</f>
        <v>250</v>
      </c>
      <c r="I44" s="185">
        <f>D44*G44</f>
        <v>35.919540229885058</v>
      </c>
      <c r="J44" s="186" t="s">
        <v>57</v>
      </c>
      <c r="K44" s="187">
        <f>IF($J44="S",$H44,0)</f>
        <v>0</v>
      </c>
      <c r="L44" s="188">
        <f>K44/$D$18</f>
        <v>0</v>
      </c>
      <c r="M44" s="30"/>
      <c r="N44" s="1"/>
      <c r="O44" s="1"/>
    </row>
    <row r="45" spans="1:15" ht="15" hidden="1" x14ac:dyDescent="0.25">
      <c r="B45" s="194" t="s">
        <v>138</v>
      </c>
      <c r="C45" s="195"/>
      <c r="D45" s="180"/>
      <c r="E45" s="181"/>
      <c r="F45" s="180"/>
      <c r="G45" s="183"/>
      <c r="H45" s="190"/>
      <c r="I45" s="185"/>
      <c r="J45" s="186"/>
      <c r="K45" s="187"/>
      <c r="L45" s="188"/>
      <c r="M45" s="27"/>
      <c r="N45" s="1"/>
      <c r="O45" s="1"/>
    </row>
    <row r="46" spans="1:15" ht="15" x14ac:dyDescent="0.25">
      <c r="A46" s="37"/>
      <c r="B46" s="1450" t="s">
        <v>139</v>
      </c>
      <c r="C46" s="1451"/>
      <c r="D46" s="180">
        <v>1</v>
      </c>
      <c r="E46" s="181" t="s">
        <v>140</v>
      </c>
      <c r="F46" s="180">
        <v>30</v>
      </c>
      <c r="G46" s="183">
        <f>F46/$D$18</f>
        <v>4.3103448275862073</v>
      </c>
      <c r="H46" s="190">
        <f>D46*F46</f>
        <v>30</v>
      </c>
      <c r="I46" s="185">
        <f>D46*G46</f>
        <v>4.3103448275862073</v>
      </c>
      <c r="J46" s="189" t="s">
        <v>54</v>
      </c>
      <c r="K46" s="187">
        <f>IF($J46="S",$H46,0)</f>
        <v>30</v>
      </c>
      <c r="L46" s="188">
        <f>K46/$D$18</f>
        <v>4.3103448275862073</v>
      </c>
      <c r="N46" s="1"/>
      <c r="O46" s="1"/>
    </row>
    <row r="47" spans="1:15" ht="15" x14ac:dyDescent="0.25">
      <c r="B47" s="1054" t="s">
        <v>141</v>
      </c>
      <c r="C47" s="1440"/>
      <c r="D47" s="180">
        <v>0</v>
      </c>
      <c r="E47" s="181" t="s">
        <v>142</v>
      </c>
      <c r="F47" s="180">
        <v>500</v>
      </c>
      <c r="G47" s="183">
        <f t="shared" si="8"/>
        <v>71.839080459770116</v>
      </c>
      <c r="H47" s="190">
        <f t="shared" si="3"/>
        <v>0</v>
      </c>
      <c r="I47" s="185">
        <f t="shared" si="9"/>
        <v>0</v>
      </c>
      <c r="J47" s="186" t="s">
        <v>57</v>
      </c>
      <c r="K47" s="187">
        <f t="shared" si="10"/>
        <v>0</v>
      </c>
      <c r="L47" s="188">
        <f t="shared" si="11"/>
        <v>0</v>
      </c>
      <c r="M47" s="28"/>
      <c r="N47" s="1"/>
      <c r="O47" s="1"/>
    </row>
    <row r="48" spans="1:15" hidden="1" x14ac:dyDescent="0.2"/>
    <row r="49" spans="2:12" hidden="1" x14ac:dyDescent="0.2">
      <c r="B49" s="1" t="s">
        <v>59</v>
      </c>
    </row>
    <row r="50" spans="2:12" hidden="1" x14ac:dyDescent="0.2">
      <c r="B50" s="1" t="s">
        <v>61</v>
      </c>
      <c r="G50" s="15" t="s">
        <v>143</v>
      </c>
      <c r="H50" s="15" t="s">
        <v>144</v>
      </c>
      <c r="I50" s="15" t="s">
        <v>145</v>
      </c>
      <c r="J50" s="15" t="s">
        <v>146</v>
      </c>
      <c r="K50" s="15" t="s">
        <v>147</v>
      </c>
      <c r="L50" s="15" t="s">
        <v>148</v>
      </c>
    </row>
    <row r="51" spans="2:12" hidden="1" x14ac:dyDescent="0.2">
      <c r="B51" s="1" t="s">
        <v>62</v>
      </c>
      <c r="F51" s="1">
        <v>110000</v>
      </c>
      <c r="G51" s="198">
        <v>30</v>
      </c>
      <c r="H51" s="1">
        <v>35</v>
      </c>
      <c r="I51" s="1">
        <v>10</v>
      </c>
      <c r="J51" s="1">
        <v>10</v>
      </c>
      <c r="K51" s="1">
        <v>5</v>
      </c>
      <c r="L51" s="1">
        <v>5</v>
      </c>
    </row>
    <row r="52" spans="2:12" hidden="1" x14ac:dyDescent="0.2">
      <c r="B52" s="1" t="s">
        <v>63</v>
      </c>
      <c r="F52" s="15" t="s">
        <v>149</v>
      </c>
      <c r="G52" s="1">
        <f>F51*30%</f>
        <v>33000</v>
      </c>
      <c r="H52" s="1">
        <f>G52/16</f>
        <v>2062.5</v>
      </c>
    </row>
    <row r="53" spans="2:12" hidden="1" x14ac:dyDescent="0.2">
      <c r="B53" s="1" t="s">
        <v>64</v>
      </c>
      <c r="F53" s="1">
        <v>250000</v>
      </c>
      <c r="G53" s="199">
        <f>G52/F53</f>
        <v>0.13200000000000001</v>
      </c>
    </row>
    <row r="54" spans="2:12" hidden="1" x14ac:dyDescent="0.2">
      <c r="B54" s="1" t="s">
        <v>150</v>
      </c>
      <c r="G54" s="199">
        <f>G52*G53</f>
        <v>4356</v>
      </c>
    </row>
    <row r="55" spans="2:12" hidden="1" x14ac:dyDescent="0.2">
      <c r="B55" s="1" t="s">
        <v>65</v>
      </c>
      <c r="G55" s="1">
        <f>G54/2</f>
        <v>2178</v>
      </c>
    </row>
    <row r="56" spans="2:12" hidden="1" x14ac:dyDescent="0.2">
      <c r="B56" s="1" t="s">
        <v>151</v>
      </c>
    </row>
    <row r="57" spans="2:12" hidden="1" x14ac:dyDescent="0.2">
      <c r="B57" s="1187" t="s">
        <v>125</v>
      </c>
      <c r="C57" s="1188"/>
    </row>
    <row r="58" spans="2:12" hidden="1" x14ac:dyDescent="0.2">
      <c r="B58" s="1187" t="s">
        <v>127</v>
      </c>
      <c r="C58" s="1188"/>
    </row>
    <row r="59" spans="2:12" hidden="1" x14ac:dyDescent="0.2">
      <c r="B59" s="1054" t="s">
        <v>68</v>
      </c>
      <c r="C59" s="1440"/>
    </row>
    <row r="60" spans="2:12" hidden="1" x14ac:dyDescent="0.2">
      <c r="B60" s="1" t="s">
        <v>70</v>
      </c>
    </row>
    <row r="61" spans="2:12" hidden="1" x14ac:dyDescent="0.2">
      <c r="B61" s="1" t="s">
        <v>71</v>
      </c>
    </row>
    <row r="62" spans="2:12" hidden="1" x14ac:dyDescent="0.2">
      <c r="B62" s="1" t="s">
        <v>73</v>
      </c>
    </row>
    <row r="63" spans="2:12" hidden="1" x14ac:dyDescent="0.2">
      <c r="B63" s="1" t="s">
        <v>75</v>
      </c>
    </row>
    <row r="64" spans="2:12" hidden="1" x14ac:dyDescent="0.2">
      <c r="B64" s="200" t="s">
        <v>134</v>
      </c>
    </row>
    <row r="65" spans="1:15" hidden="1" x14ac:dyDescent="0.2"/>
    <row r="66" spans="1:15" hidden="1" x14ac:dyDescent="0.2"/>
    <row r="67" spans="1:15" ht="15.75" thickBot="1" x14ac:dyDescent="0.3">
      <c r="B67" s="15"/>
      <c r="F67" s="1441" t="s">
        <v>152</v>
      </c>
      <c r="G67" s="1442"/>
      <c r="H67" s="184">
        <f>SUM(H32:H49)</f>
        <v>2815</v>
      </c>
      <c r="I67" s="201">
        <f>SUM(I32:I49)</f>
        <v>404.4540229885057</v>
      </c>
      <c r="J67" s="202" t="s">
        <v>152</v>
      </c>
      <c r="K67" s="203">
        <f>SUM(K32:K49)</f>
        <v>2565</v>
      </c>
      <c r="L67" s="204">
        <f t="shared" si="11"/>
        <v>368.5344827586207</v>
      </c>
      <c r="N67" s="1"/>
      <c r="O67" s="1"/>
    </row>
    <row r="68" spans="1:15" ht="15.75" thickBot="1" x14ac:dyDescent="0.3">
      <c r="B68" s="15"/>
      <c r="C68" s="205"/>
      <c r="D68" s="205"/>
      <c r="E68" s="205"/>
      <c r="F68" s="205"/>
      <c r="G68" s="205"/>
      <c r="H68" s="36"/>
      <c r="L68" s="175"/>
      <c r="N68" s="1"/>
      <c r="O68" s="1"/>
    </row>
    <row r="69" spans="1:15" ht="15" x14ac:dyDescent="0.25">
      <c r="B69" s="1443" t="s">
        <v>153</v>
      </c>
      <c r="C69" s="1444"/>
      <c r="D69" s="1444"/>
      <c r="E69" s="1444"/>
      <c r="F69" s="1444"/>
      <c r="G69" s="1445"/>
      <c r="H69" s="36"/>
      <c r="L69" s="175"/>
      <c r="N69" s="1"/>
      <c r="O69" s="1"/>
    </row>
    <row r="70" spans="1:15" ht="15" x14ac:dyDescent="0.25">
      <c r="B70" s="206"/>
      <c r="C70" s="207"/>
      <c r="D70" s="1446" t="s">
        <v>100</v>
      </c>
      <c r="E70" s="1446"/>
      <c r="F70" s="1446" t="s">
        <v>47</v>
      </c>
      <c r="G70" s="1447"/>
      <c r="H70" s="36"/>
      <c r="L70" s="175"/>
      <c r="N70" s="1"/>
      <c r="O70" s="1"/>
    </row>
    <row r="71" spans="1:15" ht="15" x14ac:dyDescent="0.25">
      <c r="B71" s="206"/>
      <c r="C71" s="207"/>
      <c r="D71" s="208" t="s">
        <v>48</v>
      </c>
      <c r="E71" s="208" t="s">
        <v>114</v>
      </c>
      <c r="F71" s="208" t="s">
        <v>48</v>
      </c>
      <c r="G71" s="208" t="s">
        <v>114</v>
      </c>
      <c r="H71" s="36"/>
      <c r="L71" s="175"/>
      <c r="N71" s="1"/>
      <c r="O71" s="1"/>
    </row>
    <row r="72" spans="1:15" ht="15" x14ac:dyDescent="0.25">
      <c r="B72" s="1187" t="s">
        <v>154</v>
      </c>
      <c r="C72" s="1188"/>
      <c r="D72" s="209">
        <f>H67</f>
        <v>2815</v>
      </c>
      <c r="E72" s="210">
        <f>I67</f>
        <v>404.4540229885057</v>
      </c>
      <c r="F72" s="209">
        <f>K67</f>
        <v>2565</v>
      </c>
      <c r="G72" s="211">
        <f>L67</f>
        <v>368.5344827586207</v>
      </c>
      <c r="H72" s="36"/>
      <c r="L72" s="175"/>
      <c r="N72" s="1"/>
      <c r="O72" s="1"/>
    </row>
    <row r="73" spans="1:15" ht="15" x14ac:dyDescent="0.25">
      <c r="B73" s="212" t="s">
        <v>155</v>
      </c>
      <c r="C73" s="213">
        <v>0.15</v>
      </c>
      <c r="D73" s="209">
        <f>$C$73*D72</f>
        <v>422.25</v>
      </c>
      <c r="E73" s="210">
        <f>$C$73*E72</f>
        <v>60.668103448275851</v>
      </c>
      <c r="F73" s="209">
        <f>$C$73*F72</f>
        <v>384.75</v>
      </c>
      <c r="G73" s="209">
        <f>$C$73*G72</f>
        <v>55.280172413793103</v>
      </c>
      <c r="H73" s="36"/>
      <c r="I73" s="15"/>
      <c r="L73" s="175"/>
      <c r="N73" s="1"/>
      <c r="O73" s="1"/>
    </row>
    <row r="74" spans="1:15" ht="15" x14ac:dyDescent="0.25">
      <c r="B74" s="214" t="s">
        <v>156</v>
      </c>
      <c r="C74" s="215">
        <v>0.05</v>
      </c>
      <c r="D74" s="209">
        <f>$C$74*D72</f>
        <v>140.75</v>
      </c>
      <c r="E74" s="209">
        <f>$C$74*E72</f>
        <v>20.222701149425287</v>
      </c>
      <c r="F74" s="209">
        <f>$C$74*F72</f>
        <v>128.25</v>
      </c>
      <c r="G74" s="209">
        <f>$C$74*G72</f>
        <v>18.426724137931036</v>
      </c>
      <c r="H74" s="36"/>
      <c r="I74" s="15"/>
      <c r="L74" s="175"/>
      <c r="N74" s="1"/>
      <c r="O74" s="1"/>
    </row>
    <row r="75" spans="1:15" ht="15.75" thickBot="1" x14ac:dyDescent="0.3">
      <c r="B75" s="988" t="s">
        <v>157</v>
      </c>
      <c r="C75" s="1431"/>
      <c r="D75" s="216">
        <f>SUM(D72:D74)</f>
        <v>3378</v>
      </c>
      <c r="E75" s="217">
        <f>SUM(E72:E74)</f>
        <v>485.34482758620686</v>
      </c>
      <c r="F75" s="216">
        <f>SUM(F72:F74)</f>
        <v>3078</v>
      </c>
      <c r="G75" s="218">
        <f>SUM(G72:G74)</f>
        <v>442.24137931034483</v>
      </c>
      <c r="H75" s="36"/>
      <c r="L75" s="175"/>
      <c r="N75" s="1"/>
      <c r="O75" s="1"/>
    </row>
    <row r="76" spans="1:15" ht="15" x14ac:dyDescent="0.25">
      <c r="B76" s="15"/>
      <c r="C76" s="205"/>
      <c r="D76" s="205"/>
      <c r="E76" s="205"/>
      <c r="F76" s="205"/>
      <c r="G76" s="205"/>
      <c r="H76" s="36"/>
      <c r="L76" s="175"/>
      <c r="N76" s="1"/>
      <c r="O76" s="1"/>
    </row>
    <row r="77" spans="1:15" ht="15" customHeight="1" x14ac:dyDescent="0.2">
      <c r="A77" s="34" t="s">
        <v>158</v>
      </c>
      <c r="B77" s="1024" t="s">
        <v>159</v>
      </c>
      <c r="C77" s="1024"/>
      <c r="D77" s="1024"/>
      <c r="E77" s="1024"/>
      <c r="F77" s="1024"/>
      <c r="G77" s="1024"/>
      <c r="H77" s="1024"/>
      <c r="I77" s="1024"/>
      <c r="J77" s="1024"/>
      <c r="K77" s="1024"/>
      <c r="L77" s="1024"/>
      <c r="M77" s="1024"/>
      <c r="N77" s="1024"/>
      <c r="O77" s="1024"/>
    </row>
    <row r="78" spans="1:15" ht="15.75" thickBot="1" x14ac:dyDescent="0.3">
      <c r="C78" s="205"/>
      <c r="D78" s="205"/>
      <c r="E78" s="205"/>
      <c r="F78" s="205"/>
      <c r="G78" s="205"/>
      <c r="H78" s="36"/>
      <c r="L78" s="175"/>
      <c r="M78" s="177"/>
      <c r="N78" s="177"/>
      <c r="O78" s="1"/>
    </row>
    <row r="79" spans="1:15" ht="15" x14ac:dyDescent="0.25">
      <c r="B79" s="1032" t="s">
        <v>160</v>
      </c>
      <c r="C79" s="1436"/>
      <c r="D79" s="1438" t="s">
        <v>161</v>
      </c>
      <c r="E79" s="1436" t="s">
        <v>44</v>
      </c>
      <c r="F79" s="1436"/>
      <c r="G79" s="1436" t="s">
        <v>45</v>
      </c>
      <c r="H79" s="1033"/>
      <c r="I79" s="219"/>
      <c r="L79" s="175"/>
      <c r="M79" s="177"/>
      <c r="N79" s="177"/>
      <c r="O79" s="1"/>
    </row>
    <row r="80" spans="1:15" ht="15" x14ac:dyDescent="0.25">
      <c r="B80" s="1034"/>
      <c r="C80" s="1437"/>
      <c r="D80" s="1439"/>
      <c r="E80" s="179" t="s">
        <v>48</v>
      </c>
      <c r="F80" s="179" t="s">
        <v>114</v>
      </c>
      <c r="G80" s="179" t="s">
        <v>48</v>
      </c>
      <c r="H80" s="44" t="s">
        <v>114</v>
      </c>
      <c r="I80" s="220"/>
      <c r="L80" s="175"/>
      <c r="N80" s="221"/>
      <c r="O80" s="1"/>
    </row>
    <row r="81" spans="2:15" ht="15" x14ac:dyDescent="0.25">
      <c r="B81" s="1187" t="s">
        <v>83</v>
      </c>
      <c r="C81" s="1435"/>
      <c r="D81" s="222" t="s">
        <v>60</v>
      </c>
      <c r="E81" s="223">
        <v>2.5</v>
      </c>
      <c r="F81" s="224">
        <f>E81/$D$18</f>
        <v>0.35919540229885055</v>
      </c>
      <c r="G81" s="187">
        <f t="shared" ref="G81:G95" si="12">IF($D81="S",$E81,0)</f>
        <v>2.5</v>
      </c>
      <c r="H81" s="211">
        <f>G81/$D$18</f>
        <v>0.35919540229885055</v>
      </c>
      <c r="L81" s="175"/>
      <c r="N81" s="1"/>
      <c r="O81" s="1"/>
    </row>
    <row r="82" spans="2:15" ht="15" x14ac:dyDescent="0.25">
      <c r="B82" s="1187" t="s">
        <v>84</v>
      </c>
      <c r="C82" s="1435"/>
      <c r="D82" s="222" t="s">
        <v>54</v>
      </c>
      <c r="E82" s="223">
        <v>18</v>
      </c>
      <c r="F82" s="224">
        <f t="shared" ref="F82:F95" si="13">E82/$D$18</f>
        <v>2.5862068965517242</v>
      </c>
      <c r="G82" s="187">
        <f t="shared" si="12"/>
        <v>18</v>
      </c>
      <c r="H82" s="211">
        <f t="shared" ref="H82:H95" si="14">G82/$D$18</f>
        <v>2.5862068965517242</v>
      </c>
      <c r="L82" s="175"/>
      <c r="N82" s="1"/>
      <c r="O82" s="1"/>
    </row>
    <row r="83" spans="2:15" ht="15" x14ac:dyDescent="0.25">
      <c r="B83" s="1187" t="s">
        <v>86</v>
      </c>
      <c r="C83" s="1435"/>
      <c r="D83" s="222" t="s">
        <v>54</v>
      </c>
      <c r="E83" s="223">
        <v>9</v>
      </c>
      <c r="F83" s="224">
        <f t="shared" si="13"/>
        <v>1.2931034482758621</v>
      </c>
      <c r="G83" s="187">
        <f t="shared" si="12"/>
        <v>9</v>
      </c>
      <c r="H83" s="211">
        <f t="shared" si="14"/>
        <v>1.2931034482758621</v>
      </c>
      <c r="L83" s="175"/>
      <c r="N83" s="1"/>
      <c r="O83" s="1"/>
    </row>
    <row r="84" spans="2:15" ht="15" x14ac:dyDescent="0.25">
      <c r="B84" s="1187" t="s">
        <v>87</v>
      </c>
      <c r="C84" s="1435"/>
      <c r="D84" s="222" t="s">
        <v>54</v>
      </c>
      <c r="E84" s="223">
        <v>2</v>
      </c>
      <c r="F84" s="224">
        <f t="shared" si="13"/>
        <v>0.28735632183908044</v>
      </c>
      <c r="G84" s="187">
        <f t="shared" si="12"/>
        <v>2</v>
      </c>
      <c r="H84" s="211">
        <f t="shared" si="14"/>
        <v>0.28735632183908044</v>
      </c>
      <c r="L84" s="175"/>
      <c r="N84" s="1"/>
      <c r="O84" s="1"/>
    </row>
    <row r="85" spans="2:15" ht="15" x14ac:dyDescent="0.25">
      <c r="B85" s="1187" t="s">
        <v>162</v>
      </c>
      <c r="C85" s="1435"/>
      <c r="D85" s="222" t="s">
        <v>54</v>
      </c>
      <c r="E85" s="223">
        <v>3</v>
      </c>
      <c r="F85" s="224">
        <f t="shared" si="13"/>
        <v>0.43103448275862072</v>
      </c>
      <c r="G85" s="187">
        <f t="shared" si="12"/>
        <v>3</v>
      </c>
      <c r="H85" s="211">
        <f t="shared" si="14"/>
        <v>0.43103448275862072</v>
      </c>
      <c r="L85" s="175"/>
      <c r="N85" s="1"/>
      <c r="O85" s="1"/>
    </row>
    <row r="86" spans="2:15" ht="15" x14ac:dyDescent="0.25">
      <c r="B86" s="1187" t="s">
        <v>88</v>
      </c>
      <c r="C86" s="1435"/>
      <c r="D86" s="222" t="s">
        <v>54</v>
      </c>
      <c r="E86" s="223">
        <v>8</v>
      </c>
      <c r="F86" s="224">
        <f t="shared" si="13"/>
        <v>1.1494252873563218</v>
      </c>
      <c r="G86" s="187">
        <f t="shared" si="12"/>
        <v>8</v>
      </c>
      <c r="H86" s="211">
        <f t="shared" si="14"/>
        <v>1.1494252873563218</v>
      </c>
      <c r="L86" s="175"/>
      <c r="N86" s="1"/>
      <c r="O86" s="1"/>
    </row>
    <row r="87" spans="2:15" ht="15" x14ac:dyDescent="0.25">
      <c r="B87" s="1187" t="s">
        <v>163</v>
      </c>
      <c r="C87" s="1188"/>
      <c r="D87" s="222" t="s">
        <v>54</v>
      </c>
      <c r="E87" s="223">
        <v>10</v>
      </c>
      <c r="F87" s="224">
        <f t="shared" si="13"/>
        <v>1.4367816091954022</v>
      </c>
      <c r="G87" s="187">
        <f>IF($D87="S",($E87*D15*D16),0)</f>
        <v>50</v>
      </c>
      <c r="H87" s="211">
        <f t="shared" si="14"/>
        <v>7.1839080459770113</v>
      </c>
      <c r="L87" s="175"/>
      <c r="N87" s="1"/>
      <c r="O87" s="1"/>
    </row>
    <row r="88" spans="2:15" ht="15" x14ac:dyDescent="0.25">
      <c r="B88" s="1187" t="s">
        <v>89</v>
      </c>
      <c r="C88" s="1188"/>
      <c r="D88" s="222" t="s">
        <v>54</v>
      </c>
      <c r="E88" s="223">
        <v>3</v>
      </c>
      <c r="F88" s="224">
        <f t="shared" si="13"/>
        <v>0.43103448275862072</v>
      </c>
      <c r="G88" s="187">
        <f t="shared" si="12"/>
        <v>3</v>
      </c>
      <c r="H88" s="211">
        <f t="shared" si="14"/>
        <v>0.43103448275862072</v>
      </c>
      <c r="L88" s="175"/>
      <c r="N88" s="1"/>
      <c r="O88" s="1"/>
    </row>
    <row r="89" spans="2:15" ht="15" x14ac:dyDescent="0.25">
      <c r="B89" s="1187" t="s">
        <v>164</v>
      </c>
      <c r="C89" s="1188"/>
      <c r="D89" s="222" t="s">
        <v>54</v>
      </c>
      <c r="E89" s="223">
        <v>0</v>
      </c>
      <c r="F89" s="224">
        <f t="shared" si="13"/>
        <v>0</v>
      </c>
      <c r="G89" s="187">
        <f t="shared" si="12"/>
        <v>0</v>
      </c>
      <c r="H89" s="211">
        <f t="shared" si="14"/>
        <v>0</v>
      </c>
      <c r="L89" s="175"/>
      <c r="N89" s="1"/>
      <c r="O89" s="1"/>
    </row>
    <row r="90" spans="2:15" ht="15" x14ac:dyDescent="0.25">
      <c r="B90" s="1187" t="s">
        <v>165</v>
      </c>
      <c r="C90" s="1188"/>
      <c r="D90" s="222" t="s">
        <v>66</v>
      </c>
      <c r="E90" s="223">
        <v>0</v>
      </c>
      <c r="F90" s="224">
        <f t="shared" si="13"/>
        <v>0</v>
      </c>
      <c r="G90" s="187">
        <f t="shared" si="12"/>
        <v>0</v>
      </c>
      <c r="H90" s="211">
        <f t="shared" si="14"/>
        <v>0</v>
      </c>
      <c r="L90" s="175"/>
      <c r="N90" s="1"/>
      <c r="O90" s="1"/>
    </row>
    <row r="91" spans="2:15" ht="15" x14ac:dyDescent="0.25">
      <c r="B91" s="1187" t="s">
        <v>166</v>
      </c>
      <c r="C91" s="1188"/>
      <c r="D91" s="222" t="s">
        <v>54</v>
      </c>
      <c r="E91" s="223">
        <v>0</v>
      </c>
      <c r="F91" s="224">
        <f t="shared" si="13"/>
        <v>0</v>
      </c>
      <c r="G91" s="187">
        <f t="shared" si="12"/>
        <v>0</v>
      </c>
      <c r="H91" s="211">
        <f t="shared" si="14"/>
        <v>0</v>
      </c>
      <c r="L91" s="175"/>
      <c r="N91" s="1"/>
      <c r="O91" s="1"/>
    </row>
    <row r="92" spans="2:15" ht="15" x14ac:dyDescent="0.25">
      <c r="B92" s="1429" t="s">
        <v>92</v>
      </c>
      <c r="C92" s="1430"/>
      <c r="D92" s="222" t="s">
        <v>54</v>
      </c>
      <c r="E92" s="223">
        <v>162</v>
      </c>
      <c r="F92" s="224">
        <f t="shared" si="13"/>
        <v>23.275862068965516</v>
      </c>
      <c r="G92" s="187">
        <f t="shared" si="12"/>
        <v>162</v>
      </c>
      <c r="H92" s="211">
        <f t="shared" si="14"/>
        <v>23.275862068965516</v>
      </c>
      <c r="L92" s="175"/>
      <c r="N92" s="1"/>
      <c r="O92" s="1"/>
    </row>
    <row r="93" spans="2:15" ht="15" x14ac:dyDescent="0.25">
      <c r="B93" s="1429" t="s">
        <v>19</v>
      </c>
      <c r="C93" s="1430"/>
      <c r="D93" s="222" t="s">
        <v>54</v>
      </c>
      <c r="E93" s="225">
        <v>0</v>
      </c>
      <c r="F93" s="224">
        <f t="shared" si="13"/>
        <v>0</v>
      </c>
      <c r="G93" s="187">
        <f t="shared" si="12"/>
        <v>0</v>
      </c>
      <c r="H93" s="211">
        <f t="shared" si="14"/>
        <v>0</v>
      </c>
      <c r="L93" s="175"/>
      <c r="N93" s="1"/>
      <c r="O93" s="1"/>
    </row>
    <row r="94" spans="2:15" ht="15" x14ac:dyDescent="0.25">
      <c r="B94" s="1187" t="s">
        <v>93</v>
      </c>
      <c r="C94" s="1188"/>
      <c r="D94" s="222" t="s">
        <v>54</v>
      </c>
      <c r="E94" s="225">
        <v>0</v>
      </c>
      <c r="F94" s="224">
        <f t="shared" si="13"/>
        <v>0</v>
      </c>
      <c r="G94" s="187">
        <f t="shared" si="12"/>
        <v>0</v>
      </c>
      <c r="H94" s="211">
        <f t="shared" si="14"/>
        <v>0</v>
      </c>
      <c r="K94" s="1">
        <f>+D75/11</f>
        <v>307.09090909090907</v>
      </c>
      <c r="L94" s="175"/>
      <c r="N94" s="1"/>
      <c r="O94" s="1"/>
    </row>
    <row r="95" spans="2:15" ht="15.75" thickBot="1" x14ac:dyDescent="0.3">
      <c r="B95" s="988" t="s">
        <v>95</v>
      </c>
      <c r="C95" s="1431"/>
      <c r="D95" s="226" t="s">
        <v>54</v>
      </c>
      <c r="E95" s="227">
        <v>0</v>
      </c>
      <c r="F95" s="228">
        <f t="shared" si="13"/>
        <v>0</v>
      </c>
      <c r="G95" s="229">
        <f t="shared" si="12"/>
        <v>0</v>
      </c>
      <c r="H95" s="218">
        <f t="shared" si="14"/>
        <v>0</v>
      </c>
      <c r="K95" s="1">
        <f>+G96/11</f>
        <v>23.40909090909091</v>
      </c>
      <c r="L95" s="175"/>
      <c r="N95" s="1"/>
      <c r="O95" s="1"/>
    </row>
    <row r="96" spans="2:15" ht="15.75" thickBot="1" x14ac:dyDescent="0.3">
      <c r="E96" s="1432" t="s">
        <v>152</v>
      </c>
      <c r="F96" s="1433"/>
      <c r="G96" s="230">
        <f>SUM(G81:G95)</f>
        <v>257.5</v>
      </c>
      <c r="H96" s="231">
        <f>SUM(H81:H95)</f>
        <v>36.997126436781606</v>
      </c>
      <c r="K96" s="1">
        <f>SUM(K94:K95)</f>
        <v>330.5</v>
      </c>
      <c r="L96" s="232">
        <f>+K96/(1-0.15)</f>
        <v>388.8235294117647</v>
      </c>
      <c r="M96" s="148">
        <f>+L96/(1-16%)</f>
        <v>462.88515406162463</v>
      </c>
      <c r="N96" s="1"/>
      <c r="O96" s="1"/>
    </row>
    <row r="97" spans="1:15" x14ac:dyDescent="0.2">
      <c r="B97" s="15"/>
      <c r="K97" s="233"/>
      <c r="N97" s="1"/>
      <c r="O97" s="1"/>
    </row>
    <row r="98" spans="1:15" ht="14.25" x14ac:dyDescent="0.2">
      <c r="A98" s="234" t="s">
        <v>167</v>
      </c>
      <c r="B98" s="1434" t="s">
        <v>168</v>
      </c>
      <c r="C98" s="1434"/>
      <c r="D98" s="1434"/>
      <c r="E98" s="1434"/>
      <c r="F98" s="1434"/>
      <c r="G98" s="1434"/>
      <c r="H98" s="1434"/>
      <c r="I98" s="1434"/>
      <c r="J98" s="1434"/>
      <c r="K98" s="1434"/>
      <c r="L98" s="1434"/>
      <c r="M98" s="1434"/>
      <c r="N98" s="1434"/>
      <c r="O98" s="1434"/>
    </row>
    <row r="99" spans="1:15" x14ac:dyDescent="0.2">
      <c r="B99" s="15"/>
      <c r="N99" s="1"/>
      <c r="O99" s="1"/>
    </row>
    <row r="100" spans="1:15" ht="14.25" x14ac:dyDescent="0.2">
      <c r="D100" s="234" t="s">
        <v>48</v>
      </c>
      <c r="E100" s="234" t="s">
        <v>114</v>
      </c>
      <c r="N100" s="1"/>
      <c r="O100" s="1"/>
    </row>
    <row r="101" spans="1:15" x14ac:dyDescent="0.2">
      <c r="B101" s="1420" t="s">
        <v>169</v>
      </c>
      <c r="C101" s="1420"/>
      <c r="D101" s="235">
        <v>788</v>
      </c>
      <c r="E101" s="236">
        <f>D101/$D$18</f>
        <v>113.2183908045977</v>
      </c>
      <c r="N101" s="1"/>
      <c r="O101" s="1"/>
    </row>
    <row r="102" spans="1:15" x14ac:dyDescent="0.2">
      <c r="B102" s="1420" t="s">
        <v>170</v>
      </c>
      <c r="C102" s="1420"/>
      <c r="D102" s="235"/>
      <c r="E102" s="236">
        <f>D102/$D$18</f>
        <v>0</v>
      </c>
      <c r="N102" s="1"/>
      <c r="O102" s="1"/>
    </row>
    <row r="103" spans="1:15" x14ac:dyDescent="0.2">
      <c r="B103" s="1420" t="s">
        <v>171</v>
      </c>
      <c r="C103" s="1420"/>
      <c r="D103" s="235"/>
      <c r="E103" s="236">
        <f>D103/$D$18</f>
        <v>0</v>
      </c>
      <c r="N103" s="1"/>
      <c r="O103" s="1"/>
    </row>
    <row r="104" spans="1:15" x14ac:dyDescent="0.2">
      <c r="B104" s="1420" t="s">
        <v>172</v>
      </c>
      <c r="C104" s="1420"/>
      <c r="D104" s="235"/>
      <c r="E104" s="236">
        <f>D104/$D$18</f>
        <v>0</v>
      </c>
      <c r="N104" s="1"/>
      <c r="O104" s="1"/>
    </row>
    <row r="105" spans="1:15" x14ac:dyDescent="0.2">
      <c r="B105" s="1420" t="s">
        <v>173</v>
      </c>
      <c r="C105" s="1420"/>
      <c r="D105" s="235"/>
      <c r="E105" s="236">
        <f>D105/$D$18</f>
        <v>0</v>
      </c>
      <c r="N105" s="1"/>
      <c r="O105" s="1"/>
    </row>
    <row r="106" spans="1:15" x14ac:dyDescent="0.2">
      <c r="B106" s="15"/>
      <c r="N106" s="1"/>
      <c r="O106" s="1"/>
    </row>
    <row r="107" spans="1:15" ht="14.25" x14ac:dyDescent="0.2">
      <c r="A107" s="237" t="s">
        <v>174</v>
      </c>
      <c r="B107" s="1428" t="s">
        <v>175</v>
      </c>
      <c r="C107" s="1428"/>
      <c r="D107" s="1428"/>
      <c r="E107" s="1428"/>
      <c r="F107" s="1428"/>
      <c r="G107" s="1428"/>
      <c r="H107" s="1428"/>
      <c r="I107" s="1428"/>
      <c r="J107" s="1428"/>
      <c r="K107" s="1428"/>
      <c r="L107" s="1428"/>
      <c r="M107" s="1428"/>
      <c r="N107" s="1428"/>
      <c r="O107" s="1428"/>
    </row>
    <row r="108" spans="1:15" x14ac:dyDescent="0.2">
      <c r="B108" s="15"/>
      <c r="N108" s="1"/>
      <c r="O108" s="1"/>
    </row>
    <row r="109" spans="1:15" ht="13.5" thickBot="1" x14ac:dyDescent="0.25">
      <c r="B109" s="15"/>
      <c r="N109" s="1"/>
      <c r="O109" s="1"/>
    </row>
    <row r="110" spans="1:15" ht="14.25" customHeight="1" x14ac:dyDescent="0.25">
      <c r="B110" s="129" t="s">
        <v>97</v>
      </c>
      <c r="C110" s="130">
        <v>0.15</v>
      </c>
      <c r="E110" s="1420" t="s">
        <v>176</v>
      </c>
      <c r="F110" s="1420"/>
      <c r="G110" s="1420"/>
      <c r="H110" s="238">
        <v>788</v>
      </c>
      <c r="I110" s="239"/>
      <c r="N110" s="1"/>
      <c r="O110" s="1"/>
    </row>
    <row r="111" spans="1:15" ht="15" thickBot="1" x14ac:dyDescent="0.25">
      <c r="B111" s="132" t="s">
        <v>98</v>
      </c>
      <c r="C111" s="133">
        <v>0.16</v>
      </c>
      <c r="E111" s="1425" t="s">
        <v>177</v>
      </c>
      <c r="F111" s="1425"/>
      <c r="G111" s="1425"/>
      <c r="H111" s="1425"/>
      <c r="I111" s="239"/>
      <c r="N111" s="1"/>
      <c r="O111" s="1"/>
    </row>
    <row r="112" spans="1:15" x14ac:dyDescent="0.2">
      <c r="B112" s="15"/>
      <c r="G112" s="15"/>
      <c r="N112" s="1"/>
      <c r="O112" s="1"/>
    </row>
    <row r="113" spans="1:16" ht="20.25" x14ac:dyDescent="0.3">
      <c r="B113" s="177" t="s">
        <v>178</v>
      </c>
      <c r="C113" s="177">
        <v>15</v>
      </c>
      <c r="E113" s="240" t="s">
        <v>179</v>
      </c>
      <c r="F113" s="241">
        <f>ROUNDUP(F75/(((1-(C110+C111))*D101)-G96),0)</f>
        <v>11</v>
      </c>
      <c r="G113" s="15" t="s">
        <v>180</v>
      </c>
      <c r="N113" s="1"/>
      <c r="O113" s="1"/>
    </row>
    <row r="114" spans="1:16" x14ac:dyDescent="0.2">
      <c r="B114" s="177" t="s">
        <v>181</v>
      </c>
      <c r="C114" s="177">
        <v>0</v>
      </c>
      <c r="F114" s="153">
        <f>1/1-0.5</f>
        <v>0.5</v>
      </c>
      <c r="G114" s="15"/>
      <c r="N114" s="1"/>
      <c r="O114" s="1"/>
    </row>
    <row r="115" spans="1:16" x14ac:dyDescent="0.2">
      <c r="B115" s="177" t="s">
        <v>182</v>
      </c>
      <c r="C115" s="177">
        <v>0</v>
      </c>
      <c r="F115" s="153">
        <f>1/1-0.3</f>
        <v>0.7</v>
      </c>
      <c r="G115" s="15"/>
      <c r="I115" s="242"/>
      <c r="N115" s="1"/>
      <c r="O115" s="1"/>
    </row>
    <row r="116" spans="1:16" ht="15.75" x14ac:dyDescent="0.25">
      <c r="B116" s="177" t="s">
        <v>183</v>
      </c>
      <c r="C116" s="177">
        <v>0</v>
      </c>
      <c r="F116" s="153">
        <f>1/0.8</f>
        <v>1.25</v>
      </c>
      <c r="G116" s="15"/>
      <c r="J116" s="1420"/>
      <c r="K116" s="1420"/>
      <c r="L116" s="1420"/>
      <c r="M116" s="243"/>
      <c r="N116" s="1"/>
      <c r="O116" s="1"/>
    </row>
    <row r="117" spans="1:16" x14ac:dyDescent="0.2">
      <c r="B117" s="177" t="s">
        <v>184</v>
      </c>
      <c r="C117" s="177">
        <v>0</v>
      </c>
      <c r="G117" s="15"/>
      <c r="N117" s="1"/>
      <c r="O117" s="1"/>
    </row>
    <row r="118" spans="1:16" x14ac:dyDescent="0.2">
      <c r="B118" s="177" t="s">
        <v>185</v>
      </c>
      <c r="C118" s="176">
        <f>SUM(C113:C117)</f>
        <v>15</v>
      </c>
      <c r="G118" s="15"/>
      <c r="L118" s="15"/>
      <c r="N118" s="1"/>
      <c r="O118" s="1"/>
    </row>
    <row r="119" spans="1:16" x14ac:dyDescent="0.2">
      <c r="B119" s="15"/>
      <c r="D119" s="244">
        <f>((1-C111)*((C113*D101)+(C114*D102)+(C115*D103)+(C116*D104)+(C117*D105)))-F75-(G96*C118)</f>
        <v>2988.2999999999993</v>
      </c>
      <c r="E119" s="244">
        <f>((C113*D101)+(C114*D102)+(C115*D103)+(C116*D104)+(C117*D105))*C110</f>
        <v>1773</v>
      </c>
      <c r="G119" s="15"/>
      <c r="N119" s="1"/>
      <c r="O119" s="1"/>
    </row>
    <row r="120" spans="1:16" ht="28.5" customHeight="1" x14ac:dyDescent="0.2">
      <c r="B120" s="1426" t="s">
        <v>186</v>
      </c>
      <c r="C120" s="1426"/>
      <c r="D120" s="1426"/>
      <c r="E120" s="245">
        <f>D119</f>
        <v>2988.2999999999993</v>
      </c>
      <c r="F120" s="246"/>
      <c r="N120" s="1"/>
      <c r="O120" s="1"/>
    </row>
    <row r="121" spans="1:16" x14ac:dyDescent="0.2">
      <c r="B121" s="15"/>
      <c r="I121" s="15"/>
      <c r="N121" s="1"/>
      <c r="O121" s="1"/>
    </row>
    <row r="122" spans="1:16" ht="14.25" x14ac:dyDescent="0.2">
      <c r="A122" s="247" t="s">
        <v>187</v>
      </c>
      <c r="B122" s="1427" t="s">
        <v>188</v>
      </c>
      <c r="C122" s="1427"/>
      <c r="D122" s="1427"/>
      <c r="E122" s="1427"/>
      <c r="F122" s="1427"/>
      <c r="G122" s="1427"/>
      <c r="H122" s="1427"/>
      <c r="I122" s="1427"/>
      <c r="J122" s="1427"/>
      <c r="K122" s="1427"/>
      <c r="L122" s="1427"/>
      <c r="M122" s="1427"/>
      <c r="N122" s="1427"/>
      <c r="O122" s="1427"/>
    </row>
    <row r="123" spans="1:16" s="37" customFormat="1" x14ac:dyDescent="0.2">
      <c r="A123" s="128"/>
      <c r="N123" s="248"/>
      <c r="O123" s="248"/>
      <c r="P123" s="1"/>
    </row>
    <row r="124" spans="1:16" s="37" customFormat="1" x14ac:dyDescent="0.2">
      <c r="A124" s="128"/>
      <c r="B124" s="1420" t="s">
        <v>178</v>
      </c>
      <c r="C124" s="1420"/>
      <c r="D124" s="249">
        <v>10</v>
      </c>
      <c r="N124" s="248"/>
      <c r="O124" s="248"/>
      <c r="P124" s="1"/>
    </row>
    <row r="125" spans="1:16" s="37" customFormat="1" x14ac:dyDescent="0.2">
      <c r="A125" s="128"/>
      <c r="B125" s="1420" t="s">
        <v>181</v>
      </c>
      <c r="C125" s="1420"/>
      <c r="D125" s="249">
        <v>0</v>
      </c>
      <c r="N125" s="248"/>
      <c r="O125" s="248"/>
      <c r="P125" s="1"/>
    </row>
    <row r="126" spans="1:16" s="37" customFormat="1" x14ac:dyDescent="0.2">
      <c r="A126" s="128"/>
      <c r="B126" s="1420" t="s">
        <v>182</v>
      </c>
      <c r="C126" s="1420"/>
      <c r="D126" s="249">
        <v>0</v>
      </c>
      <c r="N126" s="248"/>
      <c r="O126" s="248"/>
      <c r="P126" s="1"/>
    </row>
    <row r="127" spans="1:16" s="37" customFormat="1" x14ac:dyDescent="0.2">
      <c r="A127" s="128"/>
      <c r="B127" s="1420" t="s">
        <v>183</v>
      </c>
      <c r="C127" s="1420"/>
      <c r="D127" s="249">
        <v>0</v>
      </c>
      <c r="N127" s="248"/>
      <c r="O127" s="248"/>
      <c r="P127" s="1"/>
    </row>
    <row r="128" spans="1:16" s="37" customFormat="1" x14ac:dyDescent="0.2">
      <c r="A128" s="128"/>
      <c r="B128" s="1421" t="s">
        <v>184</v>
      </c>
      <c r="C128" s="1421"/>
      <c r="D128" s="249">
        <v>0</v>
      </c>
      <c r="N128" s="248"/>
      <c r="O128" s="248"/>
      <c r="P128" s="1"/>
    </row>
    <row r="129" spans="1:16" s="37" customFormat="1" x14ac:dyDescent="0.2">
      <c r="A129" s="128"/>
      <c r="B129" s="1422" t="s">
        <v>189</v>
      </c>
      <c r="C129" s="1422"/>
      <c r="D129" s="190">
        <f>SUM(D124:D128)</f>
        <v>10</v>
      </c>
      <c r="N129" s="248"/>
      <c r="O129" s="248"/>
      <c r="P129" s="1"/>
    </row>
    <row r="130" spans="1:16" s="37" customFormat="1" ht="13.5" thickBot="1" x14ac:dyDescent="0.25">
      <c r="A130" s="128"/>
      <c r="N130" s="248"/>
      <c r="O130" s="248"/>
      <c r="P130" s="1"/>
    </row>
    <row r="131" spans="1:16" s="37" customFormat="1" ht="14.25" customHeight="1" x14ac:dyDescent="0.2">
      <c r="A131" s="128"/>
      <c r="B131" s="1423" t="s">
        <v>190</v>
      </c>
      <c r="C131" s="1417" t="s">
        <v>45</v>
      </c>
      <c r="D131" s="1417"/>
      <c r="E131" s="1417" t="s">
        <v>191</v>
      </c>
      <c r="F131" s="1417"/>
      <c r="G131" s="1417" t="s">
        <v>192</v>
      </c>
      <c r="H131" s="1417"/>
      <c r="I131" s="1417" t="s">
        <v>98</v>
      </c>
      <c r="J131" s="1417"/>
      <c r="K131" s="1417" t="s">
        <v>193</v>
      </c>
      <c r="L131" s="1417"/>
      <c r="M131" s="1418" t="s">
        <v>194</v>
      </c>
      <c r="N131" s="248"/>
      <c r="O131" s="248"/>
      <c r="P131" s="1"/>
    </row>
    <row r="132" spans="1:16" s="37" customFormat="1" ht="14.25" x14ac:dyDescent="0.2">
      <c r="A132" s="128"/>
      <c r="B132" s="1424"/>
      <c r="C132" s="250" t="s">
        <v>48</v>
      </c>
      <c r="D132" s="250" t="s">
        <v>114</v>
      </c>
      <c r="E132" s="250" t="s">
        <v>48</v>
      </c>
      <c r="F132" s="250" t="s">
        <v>114</v>
      </c>
      <c r="G132" s="250" t="s">
        <v>48</v>
      </c>
      <c r="H132" s="250" t="s">
        <v>114</v>
      </c>
      <c r="I132" s="250" t="s">
        <v>48</v>
      </c>
      <c r="J132" s="250" t="s">
        <v>114</v>
      </c>
      <c r="K132" s="250" t="s">
        <v>48</v>
      </c>
      <c r="L132" s="250" t="s">
        <v>114</v>
      </c>
      <c r="M132" s="1419"/>
      <c r="N132" s="248"/>
      <c r="O132" s="248"/>
      <c r="P132" s="1"/>
    </row>
    <row r="133" spans="1:16" s="37" customFormat="1" ht="13.5" thickBot="1" x14ac:dyDescent="0.25">
      <c r="A133" s="128"/>
      <c r="B133" s="251" t="s">
        <v>195</v>
      </c>
      <c r="C133" s="252">
        <f>F75+(D129*G96)</f>
        <v>5653</v>
      </c>
      <c r="D133" s="253">
        <f>G75+(D129*H96)</f>
        <v>812.21264367816093</v>
      </c>
      <c r="E133" s="254">
        <f>(D124*D101)+(D125*D102)+(D126*D103)+(D127*D104)+(D128*D105)</f>
        <v>7880</v>
      </c>
      <c r="F133" s="252">
        <f>E101*D129</f>
        <v>1132.183908045977</v>
      </c>
      <c r="G133" s="252">
        <f>E133-C133</f>
        <v>2227</v>
      </c>
      <c r="H133" s="252">
        <f>F133-D133</f>
        <v>319.97126436781605</v>
      </c>
      <c r="I133" s="254">
        <f>E133*C111</f>
        <v>1260.8</v>
      </c>
      <c r="J133" s="252">
        <f>F133*C111</f>
        <v>181.14942528735631</v>
      </c>
      <c r="K133" s="252">
        <f>G133-I133</f>
        <v>966.2</v>
      </c>
      <c r="L133" s="252">
        <f>H133-J133</f>
        <v>138.82183908045974</v>
      </c>
      <c r="M133" s="255">
        <f>K133/E133</f>
        <v>0.12261421319796954</v>
      </c>
      <c r="N133" s="248"/>
      <c r="O133" s="248"/>
      <c r="P133" s="1"/>
    </row>
    <row r="134" spans="1:16" s="37" customFormat="1" x14ac:dyDescent="0.2">
      <c r="A134" s="128"/>
      <c r="B134" s="28"/>
      <c r="C134" s="256"/>
      <c r="D134" s="257"/>
      <c r="E134" s="258"/>
      <c r="F134" s="256"/>
      <c r="G134" s="256"/>
      <c r="H134" s="256"/>
      <c r="I134" s="258"/>
      <c r="J134" s="256"/>
      <c r="K134" s="256"/>
      <c r="L134" s="256"/>
      <c r="M134" s="259"/>
      <c r="N134" s="248"/>
      <c r="O134" s="248"/>
      <c r="P134" s="1"/>
    </row>
    <row r="135" spans="1:16" s="37" customFormat="1" x14ac:dyDescent="0.2">
      <c r="A135" s="128"/>
      <c r="N135" s="248"/>
      <c r="O135" s="248"/>
      <c r="P135" s="1"/>
    </row>
    <row r="136" spans="1:16" ht="14.25" x14ac:dyDescent="0.2">
      <c r="A136" s="260" t="s">
        <v>196</v>
      </c>
      <c r="B136" s="1411" t="s">
        <v>197</v>
      </c>
      <c r="C136" s="1411"/>
      <c r="D136" s="1411"/>
      <c r="E136" s="1411"/>
      <c r="F136" s="1411"/>
      <c r="G136" s="1411"/>
      <c r="H136" s="1411"/>
      <c r="I136" s="1411"/>
      <c r="J136" s="1411"/>
      <c r="K136" s="1411"/>
      <c r="L136" s="1411"/>
      <c r="M136" s="1411"/>
      <c r="N136" s="1411"/>
      <c r="O136" s="1411"/>
    </row>
    <row r="137" spans="1:16" s="37" customFormat="1" x14ac:dyDescent="0.2">
      <c r="A137" s="128"/>
      <c r="N137" s="248"/>
      <c r="O137" s="248"/>
      <c r="P137" s="1"/>
    </row>
    <row r="138" spans="1:16" s="37" customFormat="1" x14ac:dyDescent="0.2">
      <c r="A138" s="128"/>
      <c r="B138" s="83" t="s">
        <v>198</v>
      </c>
      <c r="D138" s="261">
        <v>15</v>
      </c>
      <c r="N138" s="248"/>
      <c r="O138" s="248"/>
      <c r="P138" s="1"/>
    </row>
    <row r="139" spans="1:16" s="37" customFormat="1" x14ac:dyDescent="0.2">
      <c r="A139" s="128"/>
      <c r="N139" s="248"/>
      <c r="O139" s="248"/>
      <c r="P139" s="1"/>
    </row>
    <row r="140" spans="1:16" s="37" customFormat="1" ht="13.5" thickBot="1" x14ac:dyDescent="0.25">
      <c r="A140" s="128"/>
      <c r="N140" s="248"/>
      <c r="O140" s="248"/>
      <c r="P140" s="1"/>
    </row>
    <row r="141" spans="1:16" s="263" customFormat="1" ht="14.25" customHeight="1" x14ac:dyDescent="0.2">
      <c r="A141" s="262"/>
      <c r="B141" s="1412" t="s">
        <v>190</v>
      </c>
      <c r="C141" s="1414" t="s">
        <v>45</v>
      </c>
      <c r="D141" s="1414"/>
      <c r="E141" s="1415" t="s">
        <v>199</v>
      </c>
      <c r="F141" s="1414" t="s">
        <v>200</v>
      </c>
      <c r="G141" s="1414"/>
      <c r="H141" s="1414" t="s">
        <v>201</v>
      </c>
      <c r="I141" s="1414"/>
      <c r="J141" s="1414" t="s">
        <v>192</v>
      </c>
      <c r="K141" s="1414"/>
      <c r="L141" s="1404" t="s">
        <v>98</v>
      </c>
      <c r="M141" s="1405"/>
      <c r="N141" s="1404" t="s">
        <v>193</v>
      </c>
      <c r="O141" s="1405"/>
      <c r="P141" s="1"/>
    </row>
    <row r="142" spans="1:16" s="263" customFormat="1" ht="32.25" customHeight="1" x14ac:dyDescent="0.2">
      <c r="A142" s="262"/>
      <c r="B142" s="1413"/>
      <c r="C142" s="264" t="s">
        <v>48</v>
      </c>
      <c r="D142" s="264" t="s">
        <v>114</v>
      </c>
      <c r="E142" s="1416"/>
      <c r="F142" s="264" t="s">
        <v>48</v>
      </c>
      <c r="G142" s="264" t="s">
        <v>114</v>
      </c>
      <c r="H142" s="264" t="s">
        <v>48</v>
      </c>
      <c r="I142" s="264" t="s">
        <v>114</v>
      </c>
      <c r="J142" s="264" t="s">
        <v>48</v>
      </c>
      <c r="K142" s="264" t="s">
        <v>114</v>
      </c>
      <c r="L142" s="264" t="s">
        <v>48</v>
      </c>
      <c r="M142" s="264" t="s">
        <v>114</v>
      </c>
      <c r="N142" s="264" t="s">
        <v>48</v>
      </c>
      <c r="O142" s="264" t="s">
        <v>114</v>
      </c>
      <c r="P142" s="1"/>
    </row>
    <row r="143" spans="1:16" s="37" customFormat="1" x14ac:dyDescent="0.2">
      <c r="A143" s="128"/>
      <c r="B143" s="1406" t="s">
        <v>195</v>
      </c>
      <c r="C143" s="184">
        <f>$F$75+($G$96*$D$138)</f>
        <v>6940.5</v>
      </c>
      <c r="D143" s="184">
        <f t="shared" ref="D143:D148" si="15">$G$75+($H$96*$D$138)</f>
        <v>997.19827586206884</v>
      </c>
      <c r="E143" s="265">
        <v>0.15</v>
      </c>
      <c r="F143" s="266">
        <f>MROUND(C143/(1-E143-$C$111),100)</f>
        <v>10100</v>
      </c>
      <c r="G143" s="266">
        <f t="shared" ref="G143:G148" si="16">MROUND(D143/(1-E143-$C$111),10)</f>
        <v>1450</v>
      </c>
      <c r="H143" s="190">
        <f t="shared" ref="H143:H148" si="17">F143/$D$138</f>
        <v>673.33333333333337</v>
      </c>
      <c r="I143" s="190">
        <f t="shared" ref="I143:I148" si="18">ROUND(G143/$D$138,0)</f>
        <v>97</v>
      </c>
      <c r="J143" s="184">
        <f t="shared" ref="J143:K148" si="19">F143-C143</f>
        <v>3159.5</v>
      </c>
      <c r="K143" s="184">
        <f t="shared" si="19"/>
        <v>452.80172413793116</v>
      </c>
      <c r="L143" s="267">
        <f t="shared" ref="L143:M148" si="20">F143*$C$111</f>
        <v>1616</v>
      </c>
      <c r="M143" s="184">
        <f t="shared" si="20"/>
        <v>232</v>
      </c>
      <c r="N143" s="184">
        <f t="shared" ref="N143:O148" si="21">J143-L143</f>
        <v>1543.5</v>
      </c>
      <c r="O143" s="184">
        <f t="shared" si="21"/>
        <v>220.80172413793116</v>
      </c>
      <c r="P143" s="1"/>
    </row>
    <row r="144" spans="1:16" s="37" customFormat="1" x14ac:dyDescent="0.2">
      <c r="A144" s="128"/>
      <c r="B144" s="1406"/>
      <c r="C144" s="184">
        <f t="shared" ref="C144:C148" si="22">$F$75+($G$96*$D$138)</f>
        <v>6940.5</v>
      </c>
      <c r="D144" s="184">
        <f t="shared" si="15"/>
        <v>997.19827586206884</v>
      </c>
      <c r="E144" s="268">
        <v>0.2</v>
      </c>
      <c r="F144" s="266">
        <f t="shared" ref="F144:F148" si="23">MROUND(C144/(1-E144-$C$111),100)</f>
        <v>10800</v>
      </c>
      <c r="G144" s="266">
        <f t="shared" si="16"/>
        <v>1560</v>
      </c>
      <c r="H144" s="190">
        <f t="shared" si="17"/>
        <v>720</v>
      </c>
      <c r="I144" s="190">
        <f t="shared" si="18"/>
        <v>104</v>
      </c>
      <c r="J144" s="184">
        <f t="shared" si="19"/>
        <v>3859.5</v>
      </c>
      <c r="K144" s="184">
        <f t="shared" si="19"/>
        <v>562.80172413793116</v>
      </c>
      <c r="L144" s="267">
        <f t="shared" si="20"/>
        <v>1728</v>
      </c>
      <c r="M144" s="184">
        <f t="shared" si="20"/>
        <v>249.6</v>
      </c>
      <c r="N144" s="184">
        <f t="shared" si="21"/>
        <v>2131.5</v>
      </c>
      <c r="O144" s="184">
        <f t="shared" si="21"/>
        <v>313.20172413793114</v>
      </c>
      <c r="P144" s="1"/>
    </row>
    <row r="145" spans="1:16" s="37" customFormat="1" x14ac:dyDescent="0.2">
      <c r="A145" s="128"/>
      <c r="B145" s="1406"/>
      <c r="C145" s="184">
        <f t="shared" si="22"/>
        <v>6940.5</v>
      </c>
      <c r="D145" s="184">
        <f t="shared" si="15"/>
        <v>997.19827586206884</v>
      </c>
      <c r="E145" s="268">
        <v>0.25</v>
      </c>
      <c r="F145" s="266">
        <f t="shared" si="23"/>
        <v>11800</v>
      </c>
      <c r="G145" s="266">
        <f t="shared" si="16"/>
        <v>1690</v>
      </c>
      <c r="H145" s="190">
        <f t="shared" si="17"/>
        <v>786.66666666666663</v>
      </c>
      <c r="I145" s="190">
        <f t="shared" si="18"/>
        <v>113</v>
      </c>
      <c r="J145" s="184">
        <f t="shared" si="19"/>
        <v>4859.5</v>
      </c>
      <c r="K145" s="184">
        <f t="shared" si="19"/>
        <v>692.80172413793116</v>
      </c>
      <c r="L145" s="267">
        <f t="shared" si="20"/>
        <v>1888</v>
      </c>
      <c r="M145" s="184">
        <f t="shared" si="20"/>
        <v>270.39999999999998</v>
      </c>
      <c r="N145" s="184">
        <f t="shared" si="21"/>
        <v>2971.5</v>
      </c>
      <c r="O145" s="184">
        <f t="shared" si="21"/>
        <v>422.40172413793118</v>
      </c>
      <c r="P145" s="1"/>
    </row>
    <row r="146" spans="1:16" s="37" customFormat="1" x14ac:dyDescent="0.2">
      <c r="A146" s="128"/>
      <c r="B146" s="1406"/>
      <c r="C146" s="184">
        <f t="shared" si="22"/>
        <v>6940.5</v>
      </c>
      <c r="D146" s="184">
        <f t="shared" si="15"/>
        <v>997.19827586206884</v>
      </c>
      <c r="E146" s="268">
        <v>0.3</v>
      </c>
      <c r="F146" s="266">
        <f t="shared" si="23"/>
        <v>12900</v>
      </c>
      <c r="G146" s="266">
        <f t="shared" si="16"/>
        <v>1850</v>
      </c>
      <c r="H146" s="190">
        <f t="shared" si="17"/>
        <v>860</v>
      </c>
      <c r="I146" s="190">
        <f t="shared" si="18"/>
        <v>123</v>
      </c>
      <c r="J146" s="184">
        <f t="shared" si="19"/>
        <v>5959.5</v>
      </c>
      <c r="K146" s="184">
        <f t="shared" si="19"/>
        <v>852.80172413793116</v>
      </c>
      <c r="L146" s="267">
        <f t="shared" si="20"/>
        <v>2064</v>
      </c>
      <c r="M146" s="184">
        <f t="shared" si="20"/>
        <v>296</v>
      </c>
      <c r="N146" s="184">
        <f t="shared" si="21"/>
        <v>3895.5</v>
      </c>
      <c r="O146" s="184">
        <f t="shared" si="21"/>
        <v>556.80172413793116</v>
      </c>
      <c r="P146" s="1"/>
    </row>
    <row r="147" spans="1:16" s="37" customFormat="1" x14ac:dyDescent="0.2">
      <c r="A147" s="128"/>
      <c r="B147" s="1406"/>
      <c r="C147" s="184">
        <f t="shared" si="22"/>
        <v>6940.5</v>
      </c>
      <c r="D147" s="184">
        <f t="shared" si="15"/>
        <v>997.19827586206884</v>
      </c>
      <c r="E147" s="268">
        <v>0.35</v>
      </c>
      <c r="F147" s="266">
        <f t="shared" si="23"/>
        <v>14200</v>
      </c>
      <c r="G147" s="266">
        <f t="shared" si="16"/>
        <v>2040</v>
      </c>
      <c r="H147" s="190">
        <f t="shared" si="17"/>
        <v>946.66666666666663</v>
      </c>
      <c r="I147" s="190">
        <f t="shared" si="18"/>
        <v>136</v>
      </c>
      <c r="J147" s="184">
        <f t="shared" si="19"/>
        <v>7259.5</v>
      </c>
      <c r="K147" s="184">
        <f t="shared" si="19"/>
        <v>1042.8017241379312</v>
      </c>
      <c r="L147" s="267">
        <f t="shared" si="20"/>
        <v>2272</v>
      </c>
      <c r="M147" s="184">
        <f t="shared" si="20"/>
        <v>326.40000000000003</v>
      </c>
      <c r="N147" s="184">
        <f t="shared" si="21"/>
        <v>4987.5</v>
      </c>
      <c r="O147" s="184">
        <f t="shared" si="21"/>
        <v>716.40172413793107</v>
      </c>
    </row>
    <row r="148" spans="1:16" s="37" customFormat="1" ht="13.5" thickBot="1" x14ac:dyDescent="0.25">
      <c r="A148" s="128"/>
      <c r="B148" s="1407"/>
      <c r="C148" s="252">
        <f t="shared" si="22"/>
        <v>6940.5</v>
      </c>
      <c r="D148" s="252">
        <f t="shared" si="15"/>
        <v>997.19827586206884</v>
      </c>
      <c r="E148" s="269">
        <v>0.4</v>
      </c>
      <c r="F148" s="270">
        <f t="shared" si="23"/>
        <v>15800</v>
      </c>
      <c r="G148" s="270">
        <f t="shared" si="16"/>
        <v>2270</v>
      </c>
      <c r="H148" s="254">
        <f t="shared" si="17"/>
        <v>1053.3333333333333</v>
      </c>
      <c r="I148" s="254">
        <f t="shared" si="18"/>
        <v>151</v>
      </c>
      <c r="J148" s="252">
        <f t="shared" si="19"/>
        <v>8859.5</v>
      </c>
      <c r="K148" s="252">
        <f t="shared" si="19"/>
        <v>1272.8017241379312</v>
      </c>
      <c r="L148" s="253">
        <f t="shared" si="20"/>
        <v>2528</v>
      </c>
      <c r="M148" s="252">
        <f t="shared" si="20"/>
        <v>363.2</v>
      </c>
      <c r="N148" s="252">
        <f t="shared" si="21"/>
        <v>6331.5</v>
      </c>
      <c r="O148" s="252">
        <f t="shared" si="21"/>
        <v>909.60172413793111</v>
      </c>
    </row>
    <row r="149" spans="1:16" s="37" customFormat="1" x14ac:dyDescent="0.2">
      <c r="A149" s="128"/>
      <c r="N149" s="248"/>
      <c r="O149" s="248"/>
    </row>
    <row r="150" spans="1:16" ht="14.25" x14ac:dyDescent="0.2">
      <c r="A150" s="260" t="s">
        <v>202</v>
      </c>
      <c r="B150" s="1411" t="s">
        <v>203</v>
      </c>
      <c r="C150" s="1411"/>
      <c r="D150" s="1411"/>
      <c r="E150" s="1411"/>
      <c r="F150" s="1411"/>
      <c r="G150" s="1411"/>
      <c r="H150" s="1411"/>
      <c r="I150" s="1411"/>
      <c r="J150" s="1411"/>
      <c r="K150" s="1411"/>
      <c r="L150" s="1411"/>
      <c r="M150" s="1411"/>
      <c r="N150" s="1411"/>
      <c r="O150" s="1411"/>
    </row>
    <row r="151" spans="1:16" s="37" customFormat="1" ht="13.5" thickBot="1" x14ac:dyDescent="0.25">
      <c r="A151" s="128"/>
      <c r="N151" s="248"/>
      <c r="O151" s="248"/>
    </row>
    <row r="152" spans="1:16" s="37" customFormat="1" ht="14.25" x14ac:dyDescent="0.2">
      <c r="A152" s="128"/>
      <c r="B152" s="1412" t="s">
        <v>190</v>
      </c>
      <c r="C152" s="1414" t="s">
        <v>45</v>
      </c>
      <c r="D152" s="1414"/>
      <c r="E152" s="1415" t="s">
        <v>199</v>
      </c>
      <c r="F152" s="1414" t="s">
        <v>200</v>
      </c>
      <c r="G152" s="1414"/>
      <c r="H152" s="1414" t="s">
        <v>201</v>
      </c>
      <c r="I152" s="1414"/>
      <c r="J152" s="1414" t="s">
        <v>192</v>
      </c>
      <c r="K152" s="1414"/>
      <c r="L152" s="1404" t="s">
        <v>98</v>
      </c>
      <c r="M152" s="1405"/>
      <c r="N152" s="1404" t="s">
        <v>193</v>
      </c>
      <c r="O152" s="1405"/>
    </row>
    <row r="153" spans="1:16" s="37" customFormat="1" ht="14.25" x14ac:dyDescent="0.2">
      <c r="A153" s="128"/>
      <c r="B153" s="1413"/>
      <c r="C153" s="264" t="s">
        <v>48</v>
      </c>
      <c r="D153" s="264" t="s">
        <v>114</v>
      </c>
      <c r="E153" s="1416"/>
      <c r="F153" s="264" t="s">
        <v>48</v>
      </c>
      <c r="G153" s="264" t="s">
        <v>114</v>
      </c>
      <c r="H153" s="264" t="s">
        <v>48</v>
      </c>
      <c r="I153" s="264" t="s">
        <v>114</v>
      </c>
      <c r="J153" s="264" t="s">
        <v>48</v>
      </c>
      <c r="K153" s="264" t="s">
        <v>114</v>
      </c>
      <c r="L153" s="264" t="s">
        <v>48</v>
      </c>
      <c r="M153" s="264" t="s">
        <v>114</v>
      </c>
      <c r="N153" s="264" t="s">
        <v>48</v>
      </c>
      <c r="O153" s="264" t="s">
        <v>114</v>
      </c>
    </row>
    <row r="154" spans="1:16" s="37" customFormat="1" x14ac:dyDescent="0.2">
      <c r="A154" s="128"/>
      <c r="B154" s="1406" t="s">
        <v>195</v>
      </c>
      <c r="C154" s="184">
        <f t="shared" ref="C154:C159" si="24">$D$75+($D$138*$G$96)</f>
        <v>7240.5</v>
      </c>
      <c r="D154" s="184">
        <f t="shared" ref="D154:D159" si="25">$E$75+($H$96*$D$138)</f>
        <v>1040.3017241379309</v>
      </c>
      <c r="E154" s="265">
        <v>0.15</v>
      </c>
      <c r="F154" s="266">
        <f t="shared" ref="F154:F159" si="26">MROUND(C154/(1-E154-$C$111),100)</f>
        <v>10500</v>
      </c>
      <c r="G154" s="266">
        <f t="shared" ref="G154:G159" si="27">MROUND(D154/(1-E154-$C$111),10)</f>
        <v>1510</v>
      </c>
      <c r="H154" s="190">
        <f t="shared" ref="H154:H159" si="28">F154/$D$138</f>
        <v>700</v>
      </c>
      <c r="I154" s="190">
        <f t="shared" ref="I154:I159" si="29">ROUND(G154/$D$138,0)</f>
        <v>101</v>
      </c>
      <c r="J154" s="184">
        <f t="shared" ref="J154:K159" si="30">F154-C154</f>
        <v>3259.5</v>
      </c>
      <c r="K154" s="184">
        <f t="shared" si="30"/>
        <v>469.69827586206907</v>
      </c>
      <c r="L154" s="267">
        <f t="shared" ref="L154:M159" si="31">F154*$C$111</f>
        <v>1680</v>
      </c>
      <c r="M154" s="184">
        <f t="shared" si="31"/>
        <v>241.6</v>
      </c>
      <c r="N154" s="184">
        <f t="shared" ref="N154:O159" si="32">J154-L154</f>
        <v>1579.5</v>
      </c>
      <c r="O154" s="184">
        <f t="shared" si="32"/>
        <v>228.09827586206907</v>
      </c>
    </row>
    <row r="155" spans="1:16" s="37" customFormat="1" x14ac:dyDescent="0.2">
      <c r="A155" s="128"/>
      <c r="B155" s="1406"/>
      <c r="C155" s="184">
        <f t="shared" si="24"/>
        <v>7240.5</v>
      </c>
      <c r="D155" s="184">
        <f t="shared" si="25"/>
        <v>1040.3017241379309</v>
      </c>
      <c r="E155" s="268">
        <v>0.2</v>
      </c>
      <c r="F155" s="266">
        <f t="shared" si="26"/>
        <v>11300</v>
      </c>
      <c r="G155" s="266">
        <f t="shared" si="27"/>
        <v>1630</v>
      </c>
      <c r="H155" s="190">
        <f t="shared" si="28"/>
        <v>753.33333333333337</v>
      </c>
      <c r="I155" s="190">
        <f t="shared" si="29"/>
        <v>109</v>
      </c>
      <c r="J155" s="184">
        <f t="shared" si="30"/>
        <v>4059.5</v>
      </c>
      <c r="K155" s="184">
        <f t="shared" si="30"/>
        <v>589.69827586206907</v>
      </c>
      <c r="L155" s="267">
        <f t="shared" si="31"/>
        <v>1808</v>
      </c>
      <c r="M155" s="184">
        <f t="shared" si="31"/>
        <v>260.8</v>
      </c>
      <c r="N155" s="184">
        <f t="shared" si="32"/>
        <v>2251.5</v>
      </c>
      <c r="O155" s="184">
        <f t="shared" si="32"/>
        <v>328.89827586206906</v>
      </c>
    </row>
    <row r="156" spans="1:16" s="37" customFormat="1" x14ac:dyDescent="0.2">
      <c r="A156" s="128"/>
      <c r="B156" s="1406"/>
      <c r="C156" s="184">
        <f t="shared" si="24"/>
        <v>7240.5</v>
      </c>
      <c r="D156" s="184">
        <f t="shared" si="25"/>
        <v>1040.3017241379309</v>
      </c>
      <c r="E156" s="268">
        <v>0.25</v>
      </c>
      <c r="F156" s="266">
        <f t="shared" si="26"/>
        <v>12300</v>
      </c>
      <c r="G156" s="266">
        <f t="shared" si="27"/>
        <v>1760</v>
      </c>
      <c r="H156" s="190">
        <f t="shared" si="28"/>
        <v>820</v>
      </c>
      <c r="I156" s="190">
        <f t="shared" si="29"/>
        <v>117</v>
      </c>
      <c r="J156" s="184">
        <f t="shared" si="30"/>
        <v>5059.5</v>
      </c>
      <c r="K156" s="184">
        <f t="shared" si="30"/>
        <v>719.69827586206907</v>
      </c>
      <c r="L156" s="267">
        <f t="shared" si="31"/>
        <v>1968</v>
      </c>
      <c r="M156" s="184">
        <f t="shared" si="31"/>
        <v>281.60000000000002</v>
      </c>
      <c r="N156" s="184">
        <f t="shared" si="32"/>
        <v>3091.5</v>
      </c>
      <c r="O156" s="184">
        <f t="shared" si="32"/>
        <v>438.09827586206904</v>
      </c>
    </row>
    <row r="157" spans="1:16" s="37" customFormat="1" x14ac:dyDescent="0.2">
      <c r="A157" s="128"/>
      <c r="B157" s="1406"/>
      <c r="C157" s="184">
        <f t="shared" si="24"/>
        <v>7240.5</v>
      </c>
      <c r="D157" s="184">
        <f t="shared" si="25"/>
        <v>1040.3017241379309</v>
      </c>
      <c r="E157" s="268">
        <v>0.3</v>
      </c>
      <c r="F157" s="266">
        <f t="shared" si="26"/>
        <v>13400</v>
      </c>
      <c r="G157" s="266">
        <f t="shared" si="27"/>
        <v>1930</v>
      </c>
      <c r="H157" s="190">
        <f t="shared" si="28"/>
        <v>893.33333333333337</v>
      </c>
      <c r="I157" s="190">
        <f t="shared" si="29"/>
        <v>129</v>
      </c>
      <c r="J157" s="184">
        <f t="shared" si="30"/>
        <v>6159.5</v>
      </c>
      <c r="K157" s="184">
        <f t="shared" si="30"/>
        <v>889.69827586206907</v>
      </c>
      <c r="L157" s="267">
        <f t="shared" si="31"/>
        <v>2144</v>
      </c>
      <c r="M157" s="184">
        <f t="shared" si="31"/>
        <v>308.8</v>
      </c>
      <c r="N157" s="184">
        <f t="shared" si="32"/>
        <v>4015.5</v>
      </c>
      <c r="O157" s="184">
        <f t="shared" si="32"/>
        <v>580.89827586206911</v>
      </c>
    </row>
    <row r="158" spans="1:16" s="37" customFormat="1" x14ac:dyDescent="0.2">
      <c r="A158" s="128"/>
      <c r="B158" s="1406"/>
      <c r="C158" s="184">
        <f t="shared" si="24"/>
        <v>7240.5</v>
      </c>
      <c r="D158" s="184">
        <f t="shared" si="25"/>
        <v>1040.3017241379309</v>
      </c>
      <c r="E158" s="268">
        <v>0.35</v>
      </c>
      <c r="F158" s="266">
        <f t="shared" si="26"/>
        <v>14800</v>
      </c>
      <c r="G158" s="266">
        <f t="shared" si="27"/>
        <v>2120</v>
      </c>
      <c r="H158" s="190">
        <f t="shared" si="28"/>
        <v>986.66666666666663</v>
      </c>
      <c r="I158" s="190">
        <f t="shared" si="29"/>
        <v>141</v>
      </c>
      <c r="J158" s="184">
        <f t="shared" si="30"/>
        <v>7559.5</v>
      </c>
      <c r="K158" s="184">
        <f t="shared" si="30"/>
        <v>1079.6982758620691</v>
      </c>
      <c r="L158" s="267">
        <f t="shared" si="31"/>
        <v>2368</v>
      </c>
      <c r="M158" s="184">
        <f t="shared" si="31"/>
        <v>339.2</v>
      </c>
      <c r="N158" s="184">
        <f t="shared" si="32"/>
        <v>5191.5</v>
      </c>
      <c r="O158" s="184">
        <f t="shared" si="32"/>
        <v>740.49827586206902</v>
      </c>
    </row>
    <row r="159" spans="1:16" s="37" customFormat="1" ht="13.5" thickBot="1" x14ac:dyDescent="0.25">
      <c r="A159" s="128"/>
      <c r="B159" s="1407"/>
      <c r="C159" s="184">
        <f t="shared" si="24"/>
        <v>7240.5</v>
      </c>
      <c r="D159" s="184">
        <f t="shared" si="25"/>
        <v>1040.3017241379309</v>
      </c>
      <c r="E159" s="269">
        <v>0.4</v>
      </c>
      <c r="F159" s="270">
        <f t="shared" si="26"/>
        <v>16500</v>
      </c>
      <c r="G159" s="270">
        <f t="shared" si="27"/>
        <v>2360</v>
      </c>
      <c r="H159" s="254">
        <f t="shared" si="28"/>
        <v>1100</v>
      </c>
      <c r="I159" s="254">
        <f t="shared" si="29"/>
        <v>157</v>
      </c>
      <c r="J159" s="252">
        <f t="shared" si="30"/>
        <v>9259.5</v>
      </c>
      <c r="K159" s="252">
        <f t="shared" si="30"/>
        <v>1319.6982758620691</v>
      </c>
      <c r="L159" s="253">
        <f t="shared" si="31"/>
        <v>2640</v>
      </c>
      <c r="M159" s="252">
        <f t="shared" si="31"/>
        <v>377.6</v>
      </c>
      <c r="N159" s="252">
        <f t="shared" si="32"/>
        <v>6619.5</v>
      </c>
      <c r="O159" s="252">
        <f t="shared" si="32"/>
        <v>942.09827586206904</v>
      </c>
    </row>
    <row r="160" spans="1:16" s="37" customFormat="1" x14ac:dyDescent="0.2">
      <c r="A160" s="128"/>
      <c r="N160" s="248"/>
      <c r="O160" s="248"/>
    </row>
    <row r="161" spans="1:15" s="37" customFormat="1" ht="13.5" thickBot="1" x14ac:dyDescent="0.25">
      <c r="A161" s="128"/>
      <c r="N161" s="248"/>
      <c r="O161" s="248"/>
    </row>
    <row r="162" spans="1:15" s="37" customFormat="1" ht="16.5" thickBot="1" x14ac:dyDescent="0.3">
      <c r="A162" s="128"/>
      <c r="B162" s="271" t="s">
        <v>204</v>
      </c>
      <c r="C162" s="1408" t="s">
        <v>205</v>
      </c>
      <c r="D162" s="1409"/>
      <c r="E162" s="1409"/>
      <c r="F162" s="1409"/>
      <c r="G162" s="1410"/>
      <c r="H162" s="1408" t="s">
        <v>206</v>
      </c>
      <c r="I162" s="1409"/>
      <c r="J162" s="1409"/>
      <c r="K162" s="1410"/>
      <c r="L162" s="1408" t="s">
        <v>207</v>
      </c>
      <c r="M162" s="1409"/>
      <c r="N162" s="1410"/>
      <c r="O162" s="248"/>
    </row>
    <row r="163" spans="1:15" s="37" customFormat="1" x14ac:dyDescent="0.2">
      <c r="A163" s="128"/>
      <c r="N163" s="248"/>
      <c r="O163" s="248"/>
    </row>
    <row r="164" spans="1:15" s="37" customFormat="1" x14ac:dyDescent="0.2">
      <c r="A164" s="128"/>
      <c r="N164" s="248"/>
      <c r="O164" s="248"/>
    </row>
    <row r="165" spans="1:15" s="37" customFormat="1" x14ac:dyDescent="0.2">
      <c r="A165" s="128"/>
      <c r="N165" s="248"/>
      <c r="O165" s="248"/>
    </row>
    <row r="166" spans="1:15" s="37" customFormat="1" x14ac:dyDescent="0.2">
      <c r="A166" s="128"/>
      <c r="N166" s="248"/>
      <c r="O166" s="248"/>
    </row>
    <row r="167" spans="1:15" s="37" customFormat="1" x14ac:dyDescent="0.2">
      <c r="A167" s="128"/>
      <c r="N167" s="248"/>
      <c r="O167" s="248"/>
    </row>
    <row r="168" spans="1:15" s="37" customFormat="1" x14ac:dyDescent="0.2">
      <c r="A168" s="128"/>
      <c r="N168" s="248"/>
      <c r="O168" s="248"/>
    </row>
    <row r="169" spans="1:15" s="37" customFormat="1" x14ac:dyDescent="0.2">
      <c r="A169" s="128"/>
      <c r="N169" s="248"/>
      <c r="O169" s="248"/>
    </row>
    <row r="170" spans="1:15" s="37" customFormat="1" x14ac:dyDescent="0.2">
      <c r="A170" s="128"/>
      <c r="N170" s="248"/>
      <c r="O170" s="248"/>
    </row>
    <row r="171" spans="1:15" s="37" customFormat="1" x14ac:dyDescent="0.2">
      <c r="A171" s="128"/>
      <c r="N171" s="248"/>
      <c r="O171" s="248"/>
    </row>
    <row r="172" spans="1:15" s="37" customFormat="1" x14ac:dyDescent="0.2">
      <c r="A172" s="128"/>
      <c r="N172" s="248"/>
      <c r="O172" s="248"/>
    </row>
    <row r="173" spans="1:15" s="37" customFormat="1" x14ac:dyDescent="0.2">
      <c r="A173" s="128"/>
      <c r="N173" s="248"/>
      <c r="O173" s="248"/>
    </row>
    <row r="174" spans="1:15" s="37" customFormat="1" x14ac:dyDescent="0.2">
      <c r="A174" s="128"/>
      <c r="N174" s="248"/>
      <c r="O174" s="248"/>
    </row>
    <row r="175" spans="1:15" s="37" customFormat="1" x14ac:dyDescent="0.2">
      <c r="A175" s="128"/>
      <c r="N175" s="248"/>
      <c r="O175" s="248"/>
    </row>
    <row r="176" spans="1:15" s="37" customFormat="1" x14ac:dyDescent="0.2">
      <c r="A176" s="128"/>
      <c r="N176" s="248"/>
      <c r="O176" s="248"/>
    </row>
    <row r="177" spans="1:15" s="37" customFormat="1" x14ac:dyDescent="0.2">
      <c r="A177" s="128"/>
      <c r="N177" s="248"/>
      <c r="O177" s="248"/>
    </row>
    <row r="178" spans="1:15" s="37" customFormat="1" x14ac:dyDescent="0.2">
      <c r="A178" s="128"/>
      <c r="N178" s="248"/>
      <c r="O178" s="248"/>
    </row>
    <row r="179" spans="1:15" s="37" customFormat="1" x14ac:dyDescent="0.2">
      <c r="A179" s="128"/>
      <c r="N179" s="248"/>
      <c r="O179" s="248"/>
    </row>
    <row r="180" spans="1:15" s="37" customFormat="1" x14ac:dyDescent="0.2">
      <c r="A180" s="128"/>
      <c r="N180" s="248"/>
      <c r="O180" s="248"/>
    </row>
    <row r="181" spans="1:15" s="37" customFormat="1" x14ac:dyDescent="0.2">
      <c r="A181" s="128"/>
      <c r="N181" s="248"/>
      <c r="O181" s="248"/>
    </row>
    <row r="182" spans="1:15" s="37" customFormat="1" x14ac:dyDescent="0.2">
      <c r="A182" s="128"/>
      <c r="N182" s="248"/>
      <c r="O182" s="248"/>
    </row>
    <row r="183" spans="1:15" s="37" customFormat="1" x14ac:dyDescent="0.2">
      <c r="A183" s="128"/>
      <c r="N183" s="248"/>
      <c r="O183" s="248"/>
    </row>
    <row r="184" spans="1:15" s="37" customFormat="1" x14ac:dyDescent="0.2">
      <c r="A184" s="128"/>
      <c r="N184" s="248"/>
      <c r="O184" s="248"/>
    </row>
    <row r="185" spans="1:15" s="37" customFormat="1" x14ac:dyDescent="0.2">
      <c r="A185" s="128"/>
      <c r="N185" s="248"/>
      <c r="O185" s="248"/>
    </row>
    <row r="186" spans="1:15" s="37" customFormat="1" x14ac:dyDescent="0.2">
      <c r="A186" s="128"/>
      <c r="N186" s="248"/>
      <c r="O186" s="248"/>
    </row>
    <row r="187" spans="1:15" s="37" customFormat="1" x14ac:dyDescent="0.2">
      <c r="A187" s="128"/>
      <c r="N187" s="248"/>
      <c r="O187" s="248"/>
    </row>
    <row r="188" spans="1:15" s="37" customFormat="1" x14ac:dyDescent="0.2">
      <c r="A188" s="128"/>
      <c r="N188" s="248"/>
      <c r="O188" s="248"/>
    </row>
    <row r="189" spans="1:15" s="37" customFormat="1" x14ac:dyDescent="0.2">
      <c r="A189" s="128"/>
      <c r="N189" s="248"/>
      <c r="O189" s="248"/>
    </row>
    <row r="190" spans="1:15" s="37" customFormat="1" ht="13.5" thickBot="1" x14ac:dyDescent="0.25">
      <c r="A190" s="128"/>
      <c r="I190" s="144"/>
      <c r="J190" s="144"/>
      <c r="K190" s="144"/>
      <c r="L190" s="144"/>
      <c r="N190" s="248"/>
      <c r="O190" s="248"/>
    </row>
    <row r="191" spans="1:15" s="37" customFormat="1" x14ac:dyDescent="0.2">
      <c r="A191" s="128"/>
      <c r="I191" s="1"/>
      <c r="J191" s="1"/>
      <c r="K191" s="1"/>
      <c r="L191" s="1"/>
      <c r="N191" s="248"/>
      <c r="O191" s="248"/>
    </row>
    <row r="192" spans="1:15" s="37" customFormat="1" x14ac:dyDescent="0.2">
      <c r="A192" s="128"/>
      <c r="I192" s="1"/>
      <c r="J192" s="1"/>
      <c r="K192" s="1"/>
      <c r="L192" s="1"/>
      <c r="N192" s="248"/>
      <c r="O192" s="248"/>
    </row>
    <row r="193" spans="1:15" s="37" customFormat="1" x14ac:dyDescent="0.2">
      <c r="A193" s="128"/>
      <c r="I193" s="1"/>
      <c r="J193" s="1"/>
      <c r="K193" s="1"/>
      <c r="L193" s="1"/>
      <c r="N193" s="248"/>
      <c r="O193" s="248"/>
    </row>
    <row r="194" spans="1:15" s="37" customFormat="1" x14ac:dyDescent="0.2">
      <c r="A194" s="128"/>
      <c r="I194" s="1"/>
      <c r="J194" s="1"/>
      <c r="K194" s="1"/>
      <c r="L194" s="1"/>
      <c r="N194" s="248"/>
      <c r="O194" s="248"/>
    </row>
    <row r="195" spans="1:15" s="37" customFormat="1" x14ac:dyDescent="0.2">
      <c r="A195" s="128"/>
      <c r="I195" s="1"/>
      <c r="J195" s="1"/>
      <c r="K195" s="1"/>
      <c r="L195" s="1"/>
      <c r="N195" s="248"/>
      <c r="O195" s="248"/>
    </row>
    <row r="196" spans="1:15" s="37" customFormat="1" x14ac:dyDescent="0.2">
      <c r="A196" s="128"/>
      <c r="I196" s="1"/>
      <c r="J196" s="1"/>
      <c r="K196" s="1"/>
      <c r="L196" s="1"/>
      <c r="N196" s="248"/>
      <c r="O196" s="248"/>
    </row>
    <row r="197" spans="1:15" s="37" customFormat="1" x14ac:dyDescent="0.2">
      <c r="A197" s="128"/>
      <c r="I197" s="1"/>
      <c r="J197" s="1"/>
      <c r="K197" s="1"/>
      <c r="L197" s="1"/>
      <c r="N197" s="248"/>
      <c r="O197" s="248"/>
    </row>
    <row r="198" spans="1:15" s="144" customFormat="1" ht="13.5" thickBot="1" x14ac:dyDescent="0.25">
      <c r="A198" s="140"/>
      <c r="I198" s="1"/>
      <c r="J198" s="1"/>
      <c r="K198" s="1"/>
      <c r="L198" s="1"/>
      <c r="N198" s="272"/>
      <c r="O198" s="272"/>
    </row>
  </sheetData>
  <sheetProtection selectLockedCells="1"/>
  <mergeCells count="114">
    <mergeCell ref="B1:L2"/>
    <mergeCell ref="B3:L4"/>
    <mergeCell ref="B5:L6"/>
    <mergeCell ref="C8:H9"/>
    <mergeCell ref="C10:F10"/>
    <mergeCell ref="B13:C13"/>
    <mergeCell ref="B22:I22"/>
    <mergeCell ref="J22:L22"/>
    <mergeCell ref="B24:C25"/>
    <mergeCell ref="D24:D25"/>
    <mergeCell ref="E24:E25"/>
    <mergeCell ref="F24:G24"/>
    <mergeCell ref="H24:I24"/>
    <mergeCell ref="J24:L24"/>
    <mergeCell ref="B14:C14"/>
    <mergeCell ref="B15:C15"/>
    <mergeCell ref="B16:C16"/>
    <mergeCell ref="B17:C17"/>
    <mergeCell ref="B18:C18"/>
    <mergeCell ref="B20:O20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59:C59"/>
    <mergeCell ref="F67:G67"/>
    <mergeCell ref="B69:G69"/>
    <mergeCell ref="D70:E70"/>
    <mergeCell ref="F70:G70"/>
    <mergeCell ref="B72:C72"/>
    <mergeCell ref="B38:C38"/>
    <mergeCell ref="B44:C44"/>
    <mergeCell ref="B46:C46"/>
    <mergeCell ref="B47:C47"/>
    <mergeCell ref="B57:C57"/>
    <mergeCell ref="B58:C58"/>
    <mergeCell ref="B81:C81"/>
    <mergeCell ref="B82:C82"/>
    <mergeCell ref="B83:C83"/>
    <mergeCell ref="B84:C84"/>
    <mergeCell ref="B85:C85"/>
    <mergeCell ref="B86:C86"/>
    <mergeCell ref="B75:C75"/>
    <mergeCell ref="B77:O77"/>
    <mergeCell ref="B79:C80"/>
    <mergeCell ref="D79:D80"/>
    <mergeCell ref="E79:F79"/>
    <mergeCell ref="G79:H79"/>
    <mergeCell ref="B93:C93"/>
    <mergeCell ref="B94:C94"/>
    <mergeCell ref="B95:C95"/>
    <mergeCell ref="E96:F96"/>
    <mergeCell ref="B98:O98"/>
    <mergeCell ref="B101:C101"/>
    <mergeCell ref="B87:C87"/>
    <mergeCell ref="B88:C88"/>
    <mergeCell ref="B89:C89"/>
    <mergeCell ref="B90:C90"/>
    <mergeCell ref="B91:C91"/>
    <mergeCell ref="B92:C92"/>
    <mergeCell ref="E111:H111"/>
    <mergeCell ref="J116:L116"/>
    <mergeCell ref="B120:D120"/>
    <mergeCell ref="B122:O122"/>
    <mergeCell ref="B124:C124"/>
    <mergeCell ref="B125:C125"/>
    <mergeCell ref="B102:C102"/>
    <mergeCell ref="B103:C103"/>
    <mergeCell ref="B104:C104"/>
    <mergeCell ref="B105:C105"/>
    <mergeCell ref="B107:O107"/>
    <mergeCell ref="E110:G110"/>
    <mergeCell ref="E131:F131"/>
    <mergeCell ref="G131:H131"/>
    <mergeCell ref="I131:J131"/>
    <mergeCell ref="K131:L131"/>
    <mergeCell ref="M131:M132"/>
    <mergeCell ref="B136:O136"/>
    <mergeCell ref="B126:C126"/>
    <mergeCell ref="B127:C127"/>
    <mergeCell ref="B128:C128"/>
    <mergeCell ref="B129:C129"/>
    <mergeCell ref="B131:B132"/>
    <mergeCell ref="C131:D131"/>
    <mergeCell ref="L152:M152"/>
    <mergeCell ref="N152:O152"/>
    <mergeCell ref="B154:B159"/>
    <mergeCell ref="C162:G162"/>
    <mergeCell ref="H162:K162"/>
    <mergeCell ref="L162:N162"/>
    <mergeCell ref="L141:M141"/>
    <mergeCell ref="N141:O141"/>
    <mergeCell ref="B143:B148"/>
    <mergeCell ref="B150:O150"/>
    <mergeCell ref="B152:B153"/>
    <mergeCell ref="C152:D152"/>
    <mergeCell ref="E152:E153"/>
    <mergeCell ref="F152:G152"/>
    <mergeCell ref="H152:I152"/>
    <mergeCell ref="J152:K152"/>
    <mergeCell ref="B141:B142"/>
    <mergeCell ref="C141:D141"/>
    <mergeCell ref="E141:E142"/>
    <mergeCell ref="F141:G141"/>
    <mergeCell ref="H141:I141"/>
    <mergeCell ref="J141:K141"/>
  </mergeCells>
  <conditionalFormatting sqref="E120">
    <cfRule type="iconSet" priority="1">
      <iconSet iconSet="3Symbols">
        <cfvo type="percent" val="0"/>
        <cfvo type="num" val="$E$119"/>
        <cfvo type="num" val="$E$119" gte="0"/>
      </iconSet>
    </cfRule>
    <cfRule type="cellIs" dxfId="0" priority="2" stopIfTrue="1" operator="greaterThan">
      <formula>$E$119</formula>
    </cfRule>
  </conditionalFormatting>
  <dataValidations count="1">
    <dataValidation type="list" allowBlank="1" showInputMessage="1" showErrorMessage="1" sqref="C10:F10" xr:uid="{00000000-0002-0000-1300-000000000000}">
      <formula1>$Z$8:$Z$10</formula1>
    </dataValidation>
  </dataValidation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rowBreaks count="1" manualBreakCount="1">
    <brk id="134" max="15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  <pageSetUpPr fitToPage="1"/>
  </sheetPr>
  <dimension ref="A1:R132"/>
  <sheetViews>
    <sheetView topLeftCell="A7" zoomScale="130" zoomScaleNormal="130" workbookViewId="0">
      <pane xSplit="3" ySplit="13" topLeftCell="G35" activePane="bottomRight" state="frozen"/>
      <selection activeCell="A7" sqref="A7"/>
      <selection pane="topRight" activeCell="D7" sqref="D7"/>
      <selection pane="bottomLeft" activeCell="A18" sqref="A18"/>
      <selection pane="bottomRight" activeCell="O41" sqref="O41:Q67"/>
    </sheetView>
  </sheetViews>
  <sheetFormatPr baseColWidth="10" defaultColWidth="11.42578125" defaultRowHeight="12.75" x14ac:dyDescent="0.2"/>
  <cols>
    <col min="1" max="1" width="4.5703125" style="1" bestFit="1" customWidth="1"/>
    <col min="2" max="2" width="31.42578125" style="1" bestFit="1" customWidth="1"/>
    <col min="3" max="3" width="19.140625" style="1" bestFit="1" customWidth="1"/>
    <col min="4" max="4" width="13.28515625" style="1" customWidth="1"/>
    <col min="5" max="5" width="8.42578125" style="1" customWidth="1"/>
    <col min="6" max="6" width="15.5703125" style="1" bestFit="1" customWidth="1"/>
    <col min="7" max="7" width="11.42578125" style="1" customWidth="1"/>
    <col min="8" max="8" width="11.28515625" style="1" bestFit="1" customWidth="1"/>
    <col min="9" max="9" width="13.140625" style="1" bestFit="1" customWidth="1"/>
    <col min="10" max="10" width="11.28515625" style="1" bestFit="1" customWidth="1"/>
    <col min="11" max="11" width="13.140625" style="1" bestFit="1" customWidth="1"/>
    <col min="12" max="12" width="11.42578125" style="1"/>
    <col min="13" max="13" width="12.85546875" style="1" bestFit="1" customWidth="1"/>
    <col min="14" max="16384" width="11.42578125" style="1"/>
  </cols>
  <sheetData>
    <row r="1" spans="1:16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</row>
    <row r="2" spans="1:16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</row>
    <row r="3" spans="1:16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</row>
    <row r="4" spans="1:16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</row>
    <row r="5" spans="1:16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</row>
    <row r="6" spans="1:16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L6" s="2"/>
      <c r="M6" s="2"/>
    </row>
    <row r="7" spans="1:16" x14ac:dyDescent="0.2">
      <c r="F7" s="820"/>
      <c r="L7" s="17"/>
      <c r="M7" s="2"/>
    </row>
    <row r="8" spans="1:16" ht="30" x14ac:dyDescent="0.2">
      <c r="F8" s="821"/>
      <c r="I8" s="893" t="s">
        <v>26</v>
      </c>
      <c r="J8" s="941" t="s">
        <v>570</v>
      </c>
      <c r="K8" s="943" t="s">
        <v>576</v>
      </c>
      <c r="L8" s="944" t="s">
        <v>575</v>
      </c>
      <c r="M8" s="944" t="s">
        <v>577</v>
      </c>
      <c r="N8" s="944" t="s">
        <v>578</v>
      </c>
    </row>
    <row r="9" spans="1:16" x14ac:dyDescent="0.2">
      <c r="F9" s="1124" t="s">
        <v>549</v>
      </c>
      <c r="G9" s="1127" t="s">
        <v>550</v>
      </c>
      <c r="H9" s="1127"/>
      <c r="I9" s="933">
        <v>43</v>
      </c>
      <c r="J9" s="942">
        <f>+I9/12</f>
        <v>3.5833333333333335</v>
      </c>
      <c r="K9" s="939">
        <v>522</v>
      </c>
      <c r="L9" s="940">
        <v>15</v>
      </c>
      <c r="M9" s="24">
        <f>+K9*I9</f>
        <v>22446</v>
      </c>
      <c r="N9" s="949">
        <f>+M9/$M$14</f>
        <v>6.4574260399459377E-2</v>
      </c>
      <c r="O9" s="147"/>
    </row>
    <row r="10" spans="1:16" x14ac:dyDescent="0.2">
      <c r="F10" s="1125"/>
      <c r="G10" s="1127" t="s">
        <v>551</v>
      </c>
      <c r="H10" s="1127"/>
      <c r="I10" s="371">
        <v>3</v>
      </c>
      <c r="J10" s="942">
        <f t="shared" ref="J10:J13" si="0">+I10/12</f>
        <v>0.25</v>
      </c>
      <c r="K10" s="939">
        <v>3027.6</v>
      </c>
      <c r="L10" s="945">
        <v>6</v>
      </c>
      <c r="M10" s="24">
        <f t="shared" ref="M10:M13" si="1">+K10*I10</f>
        <v>9082.7999999999993</v>
      </c>
      <c r="N10" s="949">
        <f t="shared" ref="N10:N13" si="2">+M10/$M$14</f>
        <v>2.6130049556990539E-2</v>
      </c>
      <c r="O10" s="147"/>
    </row>
    <row r="11" spans="1:16" x14ac:dyDescent="0.2">
      <c r="F11" s="1125"/>
      <c r="G11" s="1127" t="s">
        <v>552</v>
      </c>
      <c r="H11" s="1127"/>
      <c r="I11" s="371">
        <v>27</v>
      </c>
      <c r="J11" s="942">
        <f t="shared" si="0"/>
        <v>2.25</v>
      </c>
      <c r="K11" s="939">
        <v>9135</v>
      </c>
      <c r="L11" s="940">
        <v>1</v>
      </c>
      <c r="M11" s="24">
        <f t="shared" si="1"/>
        <v>246645</v>
      </c>
      <c r="N11" s="949">
        <f t="shared" si="2"/>
        <v>0.70956600090103616</v>
      </c>
      <c r="O11" s="147"/>
    </row>
    <row r="12" spans="1:16" x14ac:dyDescent="0.2">
      <c r="F12" s="1125"/>
      <c r="G12" s="1127" t="s">
        <v>553</v>
      </c>
      <c r="H12" s="1127"/>
      <c r="I12" s="371">
        <v>43</v>
      </c>
      <c r="J12" s="942">
        <f t="shared" si="0"/>
        <v>3.5833333333333335</v>
      </c>
      <c r="K12" s="939">
        <v>522</v>
      </c>
      <c r="L12" s="945">
        <v>10</v>
      </c>
      <c r="M12" s="24">
        <f t="shared" si="1"/>
        <v>22446</v>
      </c>
      <c r="N12" s="949">
        <f t="shared" si="2"/>
        <v>6.4574260399459377E-2</v>
      </c>
      <c r="O12" s="147"/>
    </row>
    <row r="13" spans="1:16" s="30" customFormat="1" x14ac:dyDescent="0.2">
      <c r="A13" s="27"/>
      <c r="F13" s="1126"/>
      <c r="G13" s="1127" t="s">
        <v>554</v>
      </c>
      <c r="H13" s="1127"/>
      <c r="I13" s="370">
        <v>72</v>
      </c>
      <c r="J13" s="942">
        <f t="shared" si="0"/>
        <v>6</v>
      </c>
      <c r="K13" s="939">
        <v>652.5</v>
      </c>
      <c r="L13" s="940">
        <v>15</v>
      </c>
      <c r="M13" s="24">
        <f t="shared" si="1"/>
        <v>46980</v>
      </c>
      <c r="N13" s="949">
        <f t="shared" si="2"/>
        <v>0.13515542874305453</v>
      </c>
      <c r="O13" s="147"/>
    </row>
    <row r="14" spans="1:16" s="30" customFormat="1" ht="13.5" thickBot="1" x14ac:dyDescent="0.25">
      <c r="A14" s="27"/>
      <c r="B14" s="28"/>
      <c r="C14" s="29"/>
      <c r="F14" s="31"/>
      <c r="G14" s="31"/>
      <c r="I14" s="374">
        <f>SUM(I9:I13)</f>
        <v>188</v>
      </c>
      <c r="J14" s="374">
        <f>SUM(J9:J13)</f>
        <v>15.666666666666668</v>
      </c>
      <c r="K14" s="947"/>
      <c r="M14" s="948">
        <f>SUM(M9:M13)</f>
        <v>347599.8</v>
      </c>
      <c r="N14" s="946">
        <f>SUM(N9:N13)</f>
        <v>1</v>
      </c>
    </row>
    <row r="15" spans="1:16" ht="15" thickTop="1" x14ac:dyDescent="0.2">
      <c r="A15" s="424"/>
      <c r="B15" s="1024" t="s">
        <v>36</v>
      </c>
      <c r="C15" s="1024"/>
      <c r="D15" s="1024"/>
      <c r="E15" s="1024"/>
      <c r="F15" s="1024"/>
      <c r="G15" s="1024"/>
      <c r="H15" s="1024"/>
      <c r="I15" s="1024"/>
      <c r="J15" s="1024"/>
      <c r="K15" s="1024"/>
      <c r="P15" s="508"/>
    </row>
    <row r="16" spans="1:16" ht="13.5" thickBot="1" x14ac:dyDescent="0.25">
      <c r="B16" s="15"/>
      <c r="J16" s="37"/>
      <c r="P16" s="508"/>
    </row>
    <row r="17" spans="2:16" s="38" customFormat="1" ht="31.5" customHeight="1" x14ac:dyDescent="0.2">
      <c r="B17" s="1032" t="s">
        <v>40</v>
      </c>
      <c r="C17" s="1033"/>
      <c r="D17" s="1036" t="s">
        <v>42</v>
      </c>
      <c r="E17" s="1033" t="s">
        <v>43</v>
      </c>
      <c r="F17" s="533" t="s">
        <v>565</v>
      </c>
      <c r="G17" s="1033" t="s">
        <v>43</v>
      </c>
      <c r="H17" s="1038" t="s">
        <v>46</v>
      </c>
      <c r="I17" s="1039"/>
      <c r="J17" s="1040" t="s">
        <v>47</v>
      </c>
      <c r="K17" s="1041"/>
      <c r="P17" s="508"/>
    </row>
    <row r="18" spans="2:16" x14ac:dyDescent="0.2">
      <c r="B18" s="1034"/>
      <c r="C18" s="1035"/>
      <c r="D18" s="1037"/>
      <c r="E18" s="1035"/>
      <c r="F18" s="534" t="s">
        <v>48</v>
      </c>
      <c r="G18" s="1035"/>
      <c r="H18" s="867" t="s">
        <v>49</v>
      </c>
      <c r="I18" s="869" t="s">
        <v>48</v>
      </c>
      <c r="J18" s="867" t="s">
        <v>49</v>
      </c>
      <c r="K18" s="868" t="s">
        <v>48</v>
      </c>
      <c r="P18" s="507"/>
    </row>
    <row r="19" spans="2:16" ht="13.5" thickBot="1" x14ac:dyDescent="0.25">
      <c r="B19" s="1118" t="s">
        <v>50</v>
      </c>
      <c r="C19" s="1119"/>
      <c r="D19" s="1119"/>
      <c r="E19" s="1119"/>
      <c r="F19" s="1119"/>
      <c r="G19" s="1119"/>
      <c r="H19" s="1119"/>
      <c r="I19" s="1119"/>
      <c r="J19" s="1119"/>
      <c r="K19" s="1119"/>
      <c r="L19" s="30"/>
      <c r="M19" s="366"/>
      <c r="N19" s="366"/>
      <c r="O19" s="367"/>
      <c r="P19" s="33"/>
    </row>
    <row r="20" spans="2:16" s="31" customFormat="1" ht="13.5" thickBot="1" x14ac:dyDescent="0.25">
      <c r="B20" s="1115" t="s">
        <v>51</v>
      </c>
      <c r="C20" s="1116"/>
      <c r="D20" s="912">
        <f>SUM(D21:D27)</f>
        <v>39963.157777777778</v>
      </c>
      <c r="E20" s="448"/>
      <c r="F20" s="448">
        <f>SUM(F21:F27)</f>
        <v>2550.8398581560277</v>
      </c>
      <c r="G20" s="448"/>
      <c r="H20" s="448"/>
      <c r="I20" s="448">
        <f>SUM(I21:I27)</f>
        <v>2550.8398581560277</v>
      </c>
      <c r="J20" s="448"/>
      <c r="K20" s="416">
        <f>SUM(K21:K27)</f>
        <v>2550.8398581560277</v>
      </c>
      <c r="L20" s="937"/>
    </row>
    <row r="21" spans="2:16" x14ac:dyDescent="0.2">
      <c r="B21" s="1060" t="s">
        <v>280</v>
      </c>
      <c r="C21" s="1117"/>
      <c r="D21" s="905">
        <v>27122.18</v>
      </c>
      <c r="E21" s="906"/>
      <c r="F21" s="905">
        <f>+D21/$J$14</f>
        <v>1731.2029787234042</v>
      </c>
      <c r="G21" s="906" t="s">
        <v>378</v>
      </c>
      <c r="H21" s="907" t="s">
        <v>54</v>
      </c>
      <c r="I21" s="908">
        <f t="shared" ref="I21:I27" si="3">IF($H21="S",F21,0)</f>
        <v>1731.2029787234042</v>
      </c>
      <c r="J21" s="907" t="s">
        <v>54</v>
      </c>
      <c r="K21" s="62">
        <f>IF($J21="S",F21,0)</f>
        <v>1731.2029787234042</v>
      </c>
    </row>
    <row r="22" spans="2:16" x14ac:dyDescent="0.2">
      <c r="B22" s="1110" t="s">
        <v>282</v>
      </c>
      <c r="C22" s="1111"/>
      <c r="D22" s="882">
        <v>4532.1155555555551</v>
      </c>
      <c r="E22" s="877"/>
      <c r="F22" s="905">
        <f t="shared" ref="F22:F27" si="4">+D22/$J$14</f>
        <v>289.28397163120565</v>
      </c>
      <c r="G22" s="877" t="s">
        <v>378</v>
      </c>
      <c r="H22" s="880" t="s">
        <v>54</v>
      </c>
      <c r="I22" s="881">
        <f t="shared" si="3"/>
        <v>289.28397163120565</v>
      </c>
      <c r="J22" s="883" t="s">
        <v>54</v>
      </c>
      <c r="K22" s="62">
        <f t="shared" ref="K22:K27" si="5">IF($J22="S",F22,0)</f>
        <v>289.28397163120565</v>
      </c>
    </row>
    <row r="23" spans="2:16" x14ac:dyDescent="0.2">
      <c r="B23" s="1110" t="s">
        <v>284</v>
      </c>
      <c r="C23" s="1111"/>
      <c r="D23" s="882">
        <v>4518.5533333333333</v>
      </c>
      <c r="E23" s="877"/>
      <c r="F23" s="905">
        <f t="shared" si="4"/>
        <v>288.41829787234042</v>
      </c>
      <c r="G23" s="877" t="s">
        <v>378</v>
      </c>
      <c r="H23" s="880" t="s">
        <v>54</v>
      </c>
      <c r="I23" s="881">
        <f t="shared" si="3"/>
        <v>288.41829787234042</v>
      </c>
      <c r="J23" s="880" t="s">
        <v>54</v>
      </c>
      <c r="K23" s="62">
        <f t="shared" si="5"/>
        <v>288.41829787234042</v>
      </c>
    </row>
    <row r="24" spans="2:16" x14ac:dyDescent="0.2">
      <c r="B24" s="1110" t="s">
        <v>286</v>
      </c>
      <c r="C24" s="1111"/>
      <c r="D24" s="882">
        <v>2259.2744444444443</v>
      </c>
      <c r="E24" s="877"/>
      <c r="F24" s="905">
        <f t="shared" si="4"/>
        <v>144.20900709219856</v>
      </c>
      <c r="G24" s="877" t="s">
        <v>378</v>
      </c>
      <c r="H24" s="880" t="s">
        <v>54</v>
      </c>
      <c r="I24" s="881">
        <f t="shared" si="3"/>
        <v>144.20900709219856</v>
      </c>
      <c r="J24" s="880" t="s">
        <v>54</v>
      </c>
      <c r="K24" s="62">
        <f t="shared" si="5"/>
        <v>144.20900709219856</v>
      </c>
    </row>
    <row r="25" spans="2:16" s="895" customFormat="1" x14ac:dyDescent="0.2">
      <c r="B25" s="1110" t="s">
        <v>288</v>
      </c>
      <c r="C25" s="1111"/>
      <c r="D25" s="882">
        <v>0</v>
      </c>
      <c r="E25" s="896"/>
      <c r="F25" s="905">
        <f t="shared" si="4"/>
        <v>0</v>
      </c>
      <c r="G25" s="896" t="s">
        <v>378</v>
      </c>
      <c r="H25" s="897" t="s">
        <v>57</v>
      </c>
      <c r="I25" s="881">
        <f t="shared" si="3"/>
        <v>0</v>
      </c>
      <c r="J25" s="897" t="s">
        <v>57</v>
      </c>
      <c r="K25" s="62">
        <f t="shared" si="5"/>
        <v>0</v>
      </c>
    </row>
    <row r="26" spans="2:16" s="895" customFormat="1" x14ac:dyDescent="0.2">
      <c r="B26" s="1110" t="s">
        <v>290</v>
      </c>
      <c r="C26" s="1111"/>
      <c r="D26" s="882">
        <v>0</v>
      </c>
      <c r="E26" s="896"/>
      <c r="F26" s="905">
        <f t="shared" si="4"/>
        <v>0</v>
      </c>
      <c r="G26" s="896" t="s">
        <v>378</v>
      </c>
      <c r="H26" s="897" t="s">
        <v>57</v>
      </c>
      <c r="I26" s="881">
        <f t="shared" si="3"/>
        <v>0</v>
      </c>
      <c r="J26" s="897" t="s">
        <v>57</v>
      </c>
      <c r="K26" s="62">
        <f t="shared" si="5"/>
        <v>0</v>
      </c>
    </row>
    <row r="27" spans="2:16" ht="13.5" thickBot="1" x14ac:dyDescent="0.25">
      <c r="B27" s="1102" t="s">
        <v>292</v>
      </c>
      <c r="C27" s="1103"/>
      <c r="D27" s="901">
        <v>1531.0344444444445</v>
      </c>
      <c r="E27" s="902"/>
      <c r="F27" s="905">
        <f t="shared" si="4"/>
        <v>97.725602836879432</v>
      </c>
      <c r="G27" s="902" t="s">
        <v>378</v>
      </c>
      <c r="H27" s="903" t="s">
        <v>54</v>
      </c>
      <c r="I27" s="904">
        <f t="shared" si="3"/>
        <v>97.725602836879432</v>
      </c>
      <c r="J27" s="903" t="s">
        <v>54</v>
      </c>
      <c r="K27" s="62">
        <f t="shared" si="5"/>
        <v>97.725602836879432</v>
      </c>
    </row>
    <row r="28" spans="2:16" s="31" customFormat="1" ht="13.5" thickBot="1" x14ac:dyDescent="0.25">
      <c r="B28" s="1115" t="s">
        <v>539</v>
      </c>
      <c r="C28" s="1116"/>
      <c r="D28" s="448">
        <f>SUM(D29:D38)</f>
        <v>12639.627</v>
      </c>
      <c r="E28" s="448"/>
      <c r="F28" s="448">
        <f>SUM(F29:F38)</f>
        <v>796.51321121242802</v>
      </c>
      <c r="G28" s="448"/>
      <c r="H28" s="448"/>
      <c r="I28" s="448">
        <f>SUM(I29:I38)</f>
        <v>796.51321121242802</v>
      </c>
      <c r="J28" s="448"/>
      <c r="K28" s="416">
        <f>SUM(K29:K38)</f>
        <v>796.51321121242802</v>
      </c>
    </row>
    <row r="29" spans="2:16" s="31" customFormat="1" x14ac:dyDescent="0.2">
      <c r="B29" s="1060" t="str">
        <f>+'SEC -RLP1 '!B52</f>
        <v xml:space="preserve">         MATERIAL DE ESCRITORIO</v>
      </c>
      <c r="C29" s="1117"/>
      <c r="D29" s="905">
        <f>+'SEC -RLP1 '!P52</f>
        <v>2114.8566666666666</v>
      </c>
      <c r="E29" s="906" t="s">
        <v>27</v>
      </c>
      <c r="F29" s="905">
        <f>+(D29/$J$14)</f>
        <v>134.99085106382978</v>
      </c>
      <c r="G29" s="906" t="s">
        <v>378</v>
      </c>
      <c r="H29" s="907" t="s">
        <v>54</v>
      </c>
      <c r="I29" s="908">
        <f t="shared" ref="I29:I37" si="6">IF($H29="S",F29,0)</f>
        <v>134.99085106382978</v>
      </c>
      <c r="J29" s="907" t="s">
        <v>54</v>
      </c>
      <c r="K29" s="62">
        <f t="shared" ref="K29:K37" si="7">IF($J29="S",F29,0)</f>
        <v>134.99085106382978</v>
      </c>
    </row>
    <row r="30" spans="2:16" s="31" customFormat="1" x14ac:dyDescent="0.2">
      <c r="B30" s="1110" t="str">
        <f>+'SEC -RLP1 '!B54</f>
        <v xml:space="preserve">         SERVICIO DE COURIER</v>
      </c>
      <c r="C30" s="1111"/>
      <c r="D30" s="882">
        <f>+'SEC -RLP1 '!P54</f>
        <v>53.456666666666671</v>
      </c>
      <c r="E30" s="877" t="s">
        <v>27</v>
      </c>
      <c r="F30" s="882">
        <f t="shared" ref="F30:F37" si="8">+(D30/$J$14)</f>
        <v>3.4121276595744683</v>
      </c>
      <c r="G30" s="877" t="s">
        <v>378</v>
      </c>
      <c r="H30" s="880" t="s">
        <v>54</v>
      </c>
      <c r="I30" s="881">
        <f t="shared" si="6"/>
        <v>3.4121276595744683</v>
      </c>
      <c r="J30" s="880" t="s">
        <v>54</v>
      </c>
      <c r="K30" s="82">
        <f t="shared" si="7"/>
        <v>3.4121276595744683</v>
      </c>
    </row>
    <row r="31" spans="2:16" s="31" customFormat="1" x14ac:dyDescent="0.2">
      <c r="B31" s="1110" t="str">
        <f>+'SEC -RLP1 '!B55</f>
        <v xml:space="preserve">         SERVICIOS Y COMUNICACIONES</v>
      </c>
      <c r="C31" s="1111"/>
      <c r="D31" s="882">
        <f>+'SEC -RLP1 '!P55</f>
        <v>2260.4166666666665</v>
      </c>
      <c r="E31" s="877" t="s">
        <v>27</v>
      </c>
      <c r="F31" s="882">
        <f t="shared" si="8"/>
        <v>144.281914893617</v>
      </c>
      <c r="G31" s="877" t="s">
        <v>378</v>
      </c>
      <c r="H31" s="880" t="s">
        <v>54</v>
      </c>
      <c r="I31" s="881">
        <f t="shared" si="6"/>
        <v>144.281914893617</v>
      </c>
      <c r="J31" s="880" t="s">
        <v>54</v>
      </c>
      <c r="K31" s="82">
        <f t="shared" si="7"/>
        <v>144.281914893617</v>
      </c>
    </row>
    <row r="32" spans="2:16" s="31" customFormat="1" x14ac:dyDescent="0.2">
      <c r="B32" s="1110" t="str">
        <f>+'SEC -RLP1 '!B56</f>
        <v xml:space="preserve">         SERVICIO DE SEGURIDAD</v>
      </c>
      <c r="C32" s="1111"/>
      <c r="D32" s="882">
        <f>+'SEC -RLP1 '!P56</f>
        <v>870.18333333333305</v>
      </c>
      <c r="E32" s="877" t="s">
        <v>27</v>
      </c>
      <c r="F32" s="882">
        <f t="shared" si="8"/>
        <v>55.543617021276575</v>
      </c>
      <c r="G32" s="877" t="s">
        <v>378</v>
      </c>
      <c r="H32" s="880" t="s">
        <v>54</v>
      </c>
      <c r="I32" s="881">
        <f t="shared" si="6"/>
        <v>55.543617021276575</v>
      </c>
      <c r="J32" s="880" t="s">
        <v>54</v>
      </c>
      <c r="K32" s="82">
        <f t="shared" si="7"/>
        <v>55.543617021276575</v>
      </c>
    </row>
    <row r="33" spans="2:18" s="31" customFormat="1" x14ac:dyDescent="0.2">
      <c r="B33" s="1110" t="str">
        <f>+'SEC -RLP1 '!B58</f>
        <v xml:space="preserve">         REPARACION Y MANTENIMIENTO</v>
      </c>
      <c r="C33" s="1111"/>
      <c r="D33" s="882">
        <f>+'SEC -RLP1 '!P58</f>
        <v>27.066666666666666</v>
      </c>
      <c r="E33" s="877" t="s">
        <v>27</v>
      </c>
      <c r="F33" s="882">
        <f t="shared" si="8"/>
        <v>1.7276595744680849</v>
      </c>
      <c r="G33" s="877" t="s">
        <v>378</v>
      </c>
      <c r="H33" s="880" t="s">
        <v>54</v>
      </c>
      <c r="I33" s="881">
        <f t="shared" si="6"/>
        <v>1.7276595744680849</v>
      </c>
      <c r="J33" s="880" t="s">
        <v>54</v>
      </c>
      <c r="K33" s="82">
        <f t="shared" si="7"/>
        <v>1.7276595744680849</v>
      </c>
    </row>
    <row r="34" spans="2:18" s="31" customFormat="1" x14ac:dyDescent="0.2">
      <c r="B34" s="1110" t="str">
        <f>+'SEC -RLP1 '!B69</f>
        <v xml:space="preserve">         GASTOS MOVILIDAD</v>
      </c>
      <c r="C34" s="1111"/>
      <c r="D34" s="882">
        <f>+'SEC -RLP1 '!P69</f>
        <v>1043.1388888888889</v>
      </c>
      <c r="E34" s="877" t="s">
        <v>27</v>
      </c>
      <c r="F34" s="882">
        <f t="shared" si="8"/>
        <v>66.583333333333329</v>
      </c>
      <c r="G34" s="877" t="s">
        <v>378</v>
      </c>
      <c r="H34" s="880" t="s">
        <v>54</v>
      </c>
      <c r="I34" s="881">
        <f t="shared" si="6"/>
        <v>66.583333333333329</v>
      </c>
      <c r="J34" s="880" t="s">
        <v>54</v>
      </c>
      <c r="K34" s="82">
        <f t="shared" si="7"/>
        <v>66.583333333333329</v>
      </c>
    </row>
    <row r="35" spans="2:18" s="31" customFormat="1" x14ac:dyDescent="0.2">
      <c r="B35" s="1110" t="str">
        <f>+'SEC -RLP1 '!B70</f>
        <v xml:space="preserve">         SERVICIOS Y MATERIAL DE LIMPIEZA</v>
      </c>
      <c r="C35" s="1111"/>
      <c r="D35" s="882">
        <f>+'SEC -RLP1 '!P70</f>
        <v>1311.9777777777776</v>
      </c>
      <c r="E35" s="877" t="s">
        <v>27</v>
      </c>
      <c r="F35" s="882">
        <f t="shared" si="8"/>
        <v>83.743262411347501</v>
      </c>
      <c r="G35" s="877" t="s">
        <v>378</v>
      </c>
      <c r="H35" s="880" t="s">
        <v>54</v>
      </c>
      <c r="I35" s="881">
        <f t="shared" si="6"/>
        <v>83.743262411347501</v>
      </c>
      <c r="J35" s="880" t="s">
        <v>54</v>
      </c>
      <c r="K35" s="82">
        <f t="shared" si="7"/>
        <v>83.743262411347501</v>
      </c>
    </row>
    <row r="36" spans="2:18" s="31" customFormat="1" x14ac:dyDescent="0.2">
      <c r="B36" s="1110" t="str">
        <f>+'SEC -RLP1 '!B72</f>
        <v xml:space="preserve">         SUSCRIPCIONES Y CUOTAS</v>
      </c>
      <c r="C36" s="1111"/>
      <c r="D36" s="882">
        <f>+'SEC -RLP1 '!P72</f>
        <v>448.75</v>
      </c>
      <c r="E36" s="877" t="s">
        <v>27</v>
      </c>
      <c r="F36" s="882">
        <f>+(D36/$J$14)</f>
        <v>28.643617021276594</v>
      </c>
      <c r="G36" s="877" t="s">
        <v>378</v>
      </c>
      <c r="H36" s="880" t="s">
        <v>54</v>
      </c>
      <c r="I36" s="881">
        <f t="shared" si="6"/>
        <v>28.643617021276594</v>
      </c>
      <c r="J36" s="880" t="s">
        <v>54</v>
      </c>
      <c r="K36" s="82">
        <f t="shared" si="7"/>
        <v>28.643617021276594</v>
      </c>
    </row>
    <row r="37" spans="2:18" x14ac:dyDescent="0.2">
      <c r="B37" s="1110" t="str">
        <f>+'SEC -RLP1 '!B77</f>
        <v xml:space="preserve">         SERVICIOS PUBLICITARIOS</v>
      </c>
      <c r="C37" s="1111"/>
      <c r="D37" s="882">
        <f>+'SEC -RLP1 '!P77</f>
        <v>2973.7255555555562</v>
      </c>
      <c r="E37" s="877" t="s">
        <v>27</v>
      </c>
      <c r="F37" s="882">
        <f t="shared" si="8"/>
        <v>189.81226950354613</v>
      </c>
      <c r="G37" s="877" t="s">
        <v>378</v>
      </c>
      <c r="H37" s="880" t="s">
        <v>54</v>
      </c>
      <c r="I37" s="881">
        <f t="shared" si="6"/>
        <v>189.81226950354613</v>
      </c>
      <c r="J37" s="880" t="s">
        <v>54</v>
      </c>
      <c r="K37" s="82">
        <f t="shared" si="7"/>
        <v>189.81226950354613</v>
      </c>
    </row>
    <row r="38" spans="2:18" ht="13.5" thickBot="1" x14ac:dyDescent="0.25">
      <c r="B38" s="1102" t="s">
        <v>69</v>
      </c>
      <c r="C38" s="1103"/>
      <c r="D38" s="901">
        <v>1536.0547777777774</v>
      </c>
      <c r="E38" s="902" t="s">
        <v>27</v>
      </c>
      <c r="F38" s="901">
        <v>87.774558730158716</v>
      </c>
      <c r="G38" s="902" t="s">
        <v>378</v>
      </c>
      <c r="H38" s="903" t="s">
        <v>54</v>
      </c>
      <c r="I38" s="904">
        <v>87.774558730158716</v>
      </c>
      <c r="J38" s="903" t="s">
        <v>54</v>
      </c>
      <c r="K38" s="70">
        <v>87.774558730158716</v>
      </c>
    </row>
    <row r="39" spans="2:18" s="31" customFormat="1" ht="13.5" thickBot="1" x14ac:dyDescent="0.25">
      <c r="B39" s="1115" t="s">
        <v>527</v>
      </c>
      <c r="C39" s="1116"/>
      <c r="D39" s="912">
        <f>+D28+D20</f>
        <v>52602.784777777779</v>
      </c>
      <c r="E39" s="448"/>
      <c r="F39" s="448">
        <f t="shared" ref="F39" si="9">+F40+F41</f>
        <v>4495.4103503546103</v>
      </c>
      <c r="G39" s="448"/>
      <c r="H39" s="448"/>
      <c r="I39" s="448">
        <f>SUM(I40:I41)</f>
        <v>4495.4103503546103</v>
      </c>
      <c r="J39" s="448"/>
      <c r="K39" s="416">
        <f>+K40+K41</f>
        <v>4495.4103503546103</v>
      </c>
    </row>
    <row r="40" spans="2:18" x14ac:dyDescent="0.2">
      <c r="B40" s="1060" t="str">
        <f>+'SEC -RLP1 '!B82</f>
        <v xml:space="preserve">         GASTOS SA</v>
      </c>
      <c r="C40" s="1117"/>
      <c r="D40" s="905">
        <f>+'SEC -RLP1 '!P82</f>
        <v>28789.953377777783</v>
      </c>
      <c r="E40" s="906" t="s">
        <v>378</v>
      </c>
      <c r="F40" s="905">
        <f>+(D40/($J$14))</f>
        <v>1837.6565985815605</v>
      </c>
      <c r="G40" s="906" t="s">
        <v>378</v>
      </c>
      <c r="H40" s="907" t="s">
        <v>54</v>
      </c>
      <c r="I40" s="908">
        <f>IF($H40="S",F40,0)</f>
        <v>1837.6565985815605</v>
      </c>
      <c r="J40" s="907" t="s">
        <v>54</v>
      </c>
      <c r="K40" s="62">
        <f>IF($J40="S",F40,0)</f>
        <v>1837.6565985815605</v>
      </c>
    </row>
    <row r="41" spans="2:18" ht="13.5" thickBot="1" x14ac:dyDescent="0.25">
      <c r="B41" s="1102" t="str">
        <f>+'SEC -RLP1 '!B83</f>
        <v xml:space="preserve">         GASTOS DN</v>
      </c>
      <c r="C41" s="1103"/>
      <c r="D41" s="901">
        <f>+'SEC -RLP1 '!P83</f>
        <v>41638.142111111112</v>
      </c>
      <c r="E41" s="902" t="s">
        <v>378</v>
      </c>
      <c r="F41" s="905">
        <f>+(D41/($J$14))</f>
        <v>2657.7537517730493</v>
      </c>
      <c r="G41" s="902" t="s">
        <v>378</v>
      </c>
      <c r="H41" s="903" t="s">
        <v>54</v>
      </c>
      <c r="I41" s="904">
        <f>IF($H41="S",F41,0)</f>
        <v>2657.7537517730493</v>
      </c>
      <c r="J41" s="903" t="s">
        <v>54</v>
      </c>
      <c r="K41" s="70">
        <f>IF($J41="S",F41,0)</f>
        <v>2657.7537517730493</v>
      </c>
    </row>
    <row r="42" spans="2:18" s="31" customFormat="1" ht="13.5" thickBot="1" x14ac:dyDescent="0.25">
      <c r="B42" s="1115" t="s">
        <v>537</v>
      </c>
      <c r="C42" s="1116"/>
      <c r="D42" s="448"/>
      <c r="E42" s="448"/>
      <c r="F42" s="448"/>
      <c r="G42" s="448"/>
      <c r="H42" s="448"/>
      <c r="I42" s="448">
        <f>SUM(I43:I60)</f>
        <v>3220</v>
      </c>
      <c r="J42" s="448"/>
      <c r="K42" s="416">
        <f>SUM(K43:K55)</f>
        <v>11410</v>
      </c>
    </row>
    <row r="43" spans="2:18" s="31" customFormat="1" x14ac:dyDescent="0.2">
      <c r="B43" s="1128" t="str">
        <f>+'SEC -RLP1 '!B48</f>
        <v xml:space="preserve">         HONORARIOS DOCENTES</v>
      </c>
      <c r="C43" s="1129"/>
      <c r="D43" s="909"/>
      <c r="E43" s="909"/>
      <c r="F43" s="909"/>
      <c r="G43" s="909"/>
      <c r="H43" s="910"/>
      <c r="I43" s="911"/>
      <c r="J43" s="910"/>
      <c r="K43" s="871"/>
      <c r="O43" s="31">
        <v>25</v>
      </c>
      <c r="P43" s="31">
        <v>126</v>
      </c>
      <c r="Q43" s="934">
        <v>0.2</v>
      </c>
      <c r="R43" s="935" t="s">
        <v>568</v>
      </c>
    </row>
    <row r="44" spans="2:18" x14ac:dyDescent="0.2">
      <c r="B44" s="1066" t="s">
        <v>556</v>
      </c>
      <c r="C44" s="1109"/>
      <c r="D44" s="624">
        <v>126</v>
      </c>
      <c r="E44" s="877" t="s">
        <v>564</v>
      </c>
      <c r="F44" s="882">
        <v>20</v>
      </c>
      <c r="G44" s="877" t="s">
        <v>56</v>
      </c>
      <c r="H44" s="880" t="s">
        <v>54</v>
      </c>
      <c r="I44" s="881">
        <f>IF($H44="S",(D44*F44),0)</f>
        <v>2520</v>
      </c>
      <c r="J44" s="883" t="s">
        <v>54</v>
      </c>
      <c r="K44" s="82">
        <f>IF($J44="S",(D44*F44),0)</f>
        <v>2520</v>
      </c>
      <c r="O44" s="1">
        <v>2200</v>
      </c>
      <c r="P44" s="1">
        <v>110</v>
      </c>
      <c r="Q44" s="242">
        <v>0.1</v>
      </c>
      <c r="R44" s="1" t="s">
        <v>567</v>
      </c>
    </row>
    <row r="45" spans="2:18" x14ac:dyDescent="0.2">
      <c r="B45" s="1066" t="s">
        <v>557</v>
      </c>
      <c r="C45" s="1109"/>
      <c r="D45" s="635">
        <v>110</v>
      </c>
      <c r="E45" s="877" t="s">
        <v>564</v>
      </c>
      <c r="F45" s="882">
        <v>21</v>
      </c>
      <c r="G45" s="877" t="s">
        <v>56</v>
      </c>
      <c r="H45" s="883" t="s">
        <v>57</v>
      </c>
      <c r="I45" s="881">
        <f t="shared" ref="I45:I47" si="10">IF($H45="S",(D45*F45),0)</f>
        <v>0</v>
      </c>
      <c r="J45" s="883" t="s">
        <v>54</v>
      </c>
      <c r="K45" s="82">
        <f t="shared" ref="K45:K47" si="11">IF($J45="S",(D45*F45),0)</f>
        <v>2310</v>
      </c>
      <c r="O45" s="1">
        <v>2000</v>
      </c>
      <c r="P45" s="1">
        <v>100</v>
      </c>
      <c r="Q45" s="242">
        <v>0.15</v>
      </c>
      <c r="R45" s="1" t="s">
        <v>569</v>
      </c>
    </row>
    <row r="46" spans="2:18" x14ac:dyDescent="0.2">
      <c r="B46" s="1066" t="s">
        <v>558</v>
      </c>
      <c r="C46" s="1109"/>
      <c r="D46" s="635">
        <v>100</v>
      </c>
      <c r="E46" s="877" t="s">
        <v>564</v>
      </c>
      <c r="F46" s="882">
        <v>22</v>
      </c>
      <c r="G46" s="877" t="s">
        <v>56</v>
      </c>
      <c r="H46" s="883" t="s">
        <v>57</v>
      </c>
      <c r="I46" s="881">
        <f t="shared" si="10"/>
        <v>0</v>
      </c>
      <c r="J46" s="883" t="s">
        <v>54</v>
      </c>
      <c r="K46" s="82">
        <f t="shared" si="11"/>
        <v>2200</v>
      </c>
      <c r="O46" s="1">
        <v>160</v>
      </c>
      <c r="P46" s="1">
        <v>160</v>
      </c>
      <c r="Q46" s="1" t="s">
        <v>566</v>
      </c>
    </row>
    <row r="47" spans="2:18" x14ac:dyDescent="0.2">
      <c r="B47" s="1066" t="s">
        <v>559</v>
      </c>
      <c r="C47" s="1109"/>
      <c r="D47" s="635">
        <v>160</v>
      </c>
      <c r="E47" s="877" t="s">
        <v>564</v>
      </c>
      <c r="F47" s="882">
        <v>23</v>
      </c>
      <c r="G47" s="877" t="s">
        <v>56</v>
      </c>
      <c r="H47" s="883" t="s">
        <v>57</v>
      </c>
      <c r="I47" s="881">
        <f t="shared" si="10"/>
        <v>0</v>
      </c>
      <c r="J47" s="883" t="s">
        <v>54</v>
      </c>
      <c r="K47" s="82">
        <f t="shared" si="11"/>
        <v>3680</v>
      </c>
    </row>
    <row r="48" spans="2:18" s="31" customFormat="1" x14ac:dyDescent="0.2">
      <c r="B48" s="1106" t="str">
        <f>+'SEC -RLP1 '!B53</f>
        <v xml:space="preserve">         SERVICIOS EXTERNOS  </v>
      </c>
      <c r="C48" s="1107"/>
      <c r="D48" s="873"/>
      <c r="E48" s="873"/>
      <c r="F48" s="873"/>
      <c r="G48" s="873"/>
      <c r="H48" s="936" t="s">
        <v>54</v>
      </c>
      <c r="I48" s="875"/>
      <c r="J48" s="874"/>
      <c r="K48" s="872"/>
    </row>
    <row r="49" spans="2:11" s="31" customFormat="1" x14ac:dyDescent="0.2">
      <c r="B49" s="1066" t="s">
        <v>530</v>
      </c>
      <c r="C49" s="1108"/>
      <c r="D49" s="882"/>
      <c r="E49" s="877"/>
      <c r="F49" s="882">
        <v>400</v>
      </c>
      <c r="G49" s="877"/>
      <c r="H49" s="880" t="s">
        <v>54</v>
      </c>
      <c r="I49" s="881">
        <f>IF($H49="S",F49,0)</f>
        <v>400</v>
      </c>
      <c r="J49" s="880" t="s">
        <v>54</v>
      </c>
      <c r="K49" s="82">
        <f>IF($J49="S",F49,0)</f>
        <v>400</v>
      </c>
    </row>
    <row r="50" spans="2:11" ht="12" customHeight="1" x14ac:dyDescent="0.2">
      <c r="B50" s="1112" t="s">
        <v>67</v>
      </c>
      <c r="C50" s="1107"/>
      <c r="D50" s="873"/>
      <c r="E50" s="873"/>
      <c r="F50" s="873"/>
      <c r="G50" s="873"/>
      <c r="H50" s="874"/>
      <c r="I50" s="875">
        <f>IF($H50="S",#REF!,0)</f>
        <v>0</v>
      </c>
      <c r="J50" s="874"/>
      <c r="K50" s="872">
        <f>IF($H50="S",#REF!,0)</f>
        <v>0</v>
      </c>
    </row>
    <row r="51" spans="2:11" x14ac:dyDescent="0.2">
      <c r="B51" s="1113" t="s">
        <v>68</v>
      </c>
      <c r="C51" s="1114"/>
      <c r="D51" s="882"/>
      <c r="E51" s="877"/>
      <c r="F51" s="882">
        <v>300</v>
      </c>
      <c r="G51" s="877" t="s">
        <v>378</v>
      </c>
      <c r="H51" s="883" t="s">
        <v>57</v>
      </c>
      <c r="I51" s="881">
        <f>IF($H51="S",F51,0)</f>
        <v>0</v>
      </c>
      <c r="J51" s="880" t="s">
        <v>54</v>
      </c>
      <c r="K51" s="82">
        <f t="shared" ref="K51:K55" si="12">IF($J51="S",F51,0)</f>
        <v>300</v>
      </c>
    </row>
    <row r="52" spans="2:11" ht="12" customHeight="1" x14ac:dyDescent="0.2">
      <c r="B52" s="1066" t="s">
        <v>560</v>
      </c>
      <c r="C52" s="1108"/>
      <c r="D52" s="882"/>
      <c r="E52" s="877"/>
      <c r="F52" s="882">
        <v>143.68</v>
      </c>
      <c r="G52" s="877" t="s">
        <v>378</v>
      </c>
      <c r="H52" s="883" t="s">
        <v>57</v>
      </c>
      <c r="I52" s="881">
        <f>IF($H52="S",F52,0)</f>
        <v>0</v>
      </c>
      <c r="J52" s="883" t="s">
        <v>57</v>
      </c>
      <c r="K52" s="82">
        <f t="shared" si="12"/>
        <v>0</v>
      </c>
    </row>
    <row r="53" spans="2:11" ht="12" customHeight="1" x14ac:dyDescent="0.2">
      <c r="B53" s="1066" t="s">
        <v>561</v>
      </c>
      <c r="C53" s="1108"/>
      <c r="D53" s="882"/>
      <c r="E53" s="877"/>
      <c r="F53" s="882">
        <v>275.86</v>
      </c>
      <c r="G53" s="877" t="s">
        <v>378</v>
      </c>
      <c r="H53" s="883" t="s">
        <v>57</v>
      </c>
      <c r="I53" s="881">
        <f t="shared" ref="I53:I58" si="13">IF($H53="S",F53,0)</f>
        <v>0</v>
      </c>
      <c r="J53" s="883" t="s">
        <v>57</v>
      </c>
      <c r="K53" s="82">
        <f t="shared" si="12"/>
        <v>0</v>
      </c>
    </row>
    <row r="54" spans="2:11" ht="12" customHeight="1" x14ac:dyDescent="0.2">
      <c r="B54" s="1066" t="s">
        <v>562</v>
      </c>
      <c r="C54" s="1108"/>
      <c r="D54" s="882"/>
      <c r="E54" s="877"/>
      <c r="F54" s="882">
        <f>100*6.96</f>
        <v>696</v>
      </c>
      <c r="G54" s="877" t="s">
        <v>378</v>
      </c>
      <c r="H54" s="883" t="s">
        <v>57</v>
      </c>
      <c r="I54" s="881">
        <f t="shared" si="13"/>
        <v>0</v>
      </c>
      <c r="J54" s="883" t="s">
        <v>57</v>
      </c>
      <c r="K54" s="82">
        <f t="shared" si="12"/>
        <v>0</v>
      </c>
    </row>
    <row r="55" spans="2:11" x14ac:dyDescent="0.2">
      <c r="B55" s="1066" t="s">
        <v>563</v>
      </c>
      <c r="C55" s="1108"/>
      <c r="D55" s="882"/>
      <c r="E55" s="877"/>
      <c r="F55" s="882">
        <f>150*6.96</f>
        <v>1044</v>
      </c>
      <c r="G55" s="877" t="s">
        <v>378</v>
      </c>
      <c r="H55" s="883" t="s">
        <v>57</v>
      </c>
      <c r="I55" s="881">
        <f t="shared" si="13"/>
        <v>0</v>
      </c>
      <c r="J55" s="883" t="s">
        <v>57</v>
      </c>
      <c r="K55" s="82">
        <f t="shared" si="12"/>
        <v>0</v>
      </c>
    </row>
    <row r="56" spans="2:11" s="31" customFormat="1" x14ac:dyDescent="0.2">
      <c r="B56" s="1106" t="str">
        <f>+'SEC -RLP1 '!B60</f>
        <v xml:space="preserve">         ALQUILER OTROS</v>
      </c>
      <c r="C56" s="1107"/>
      <c r="D56" s="873"/>
      <c r="E56" s="873"/>
      <c r="F56" s="873"/>
      <c r="G56" s="873"/>
      <c r="H56" s="874"/>
      <c r="I56" s="875"/>
      <c r="J56" s="874"/>
      <c r="K56" s="872"/>
    </row>
    <row r="57" spans="2:11" s="31" customFormat="1" x14ac:dyDescent="0.2">
      <c r="B57" s="1066" t="s">
        <v>534</v>
      </c>
      <c r="C57" s="1108"/>
      <c r="D57" s="882"/>
      <c r="E57" s="877"/>
      <c r="F57" s="882">
        <v>3000</v>
      </c>
      <c r="G57" s="877" t="s">
        <v>378</v>
      </c>
      <c r="H57" s="883" t="s">
        <v>57</v>
      </c>
      <c r="I57" s="881">
        <f t="shared" si="13"/>
        <v>0</v>
      </c>
      <c r="J57" s="883" t="s">
        <v>57</v>
      </c>
      <c r="K57" s="82">
        <f t="shared" ref="K57:K58" si="14">IF($J57="S",F57,0)</f>
        <v>0</v>
      </c>
    </row>
    <row r="58" spans="2:11" s="31" customFormat="1" x14ac:dyDescent="0.2">
      <c r="B58" s="1066" t="s">
        <v>535</v>
      </c>
      <c r="C58" s="1108"/>
      <c r="D58" s="882"/>
      <c r="E58" s="877"/>
      <c r="F58" s="882">
        <v>200</v>
      </c>
      <c r="G58" s="877" t="s">
        <v>378</v>
      </c>
      <c r="H58" s="883" t="s">
        <v>57</v>
      </c>
      <c r="I58" s="881">
        <f t="shared" si="13"/>
        <v>0</v>
      </c>
      <c r="J58" s="883" t="s">
        <v>57</v>
      </c>
      <c r="K58" s="82">
        <f t="shared" si="14"/>
        <v>0</v>
      </c>
    </row>
    <row r="59" spans="2:11" s="31" customFormat="1" x14ac:dyDescent="0.2">
      <c r="B59" s="1112" t="s">
        <v>328</v>
      </c>
      <c r="C59" s="1107"/>
      <c r="D59" s="873"/>
      <c r="E59" s="873"/>
      <c r="F59" s="873"/>
      <c r="G59" s="873"/>
      <c r="H59" s="874"/>
      <c r="I59" s="875">
        <f>IF($H59="S",#REF!,0)</f>
        <v>0</v>
      </c>
      <c r="J59" s="874"/>
      <c r="K59" s="872">
        <f>IF($J59="S",#REF!,0)</f>
        <v>0</v>
      </c>
    </row>
    <row r="60" spans="2:11" s="31" customFormat="1" ht="13.5" thickBot="1" x14ac:dyDescent="0.25">
      <c r="B60" s="1120" t="s">
        <v>531</v>
      </c>
      <c r="C60" s="1121"/>
      <c r="D60" s="901"/>
      <c r="E60" s="902"/>
      <c r="F60" s="901">
        <v>300</v>
      </c>
      <c r="G60" s="902" t="s">
        <v>378</v>
      </c>
      <c r="H60" s="903" t="s">
        <v>54</v>
      </c>
      <c r="I60" s="904">
        <f>IF($H60="S",F60,0)</f>
        <v>300</v>
      </c>
      <c r="J60" s="913" t="s">
        <v>57</v>
      </c>
      <c r="K60" s="70">
        <f>IF($J60="S",F60,0)</f>
        <v>0</v>
      </c>
    </row>
    <row r="61" spans="2:11" s="27" customFormat="1" ht="13.5" thickBot="1" x14ac:dyDescent="0.25">
      <c r="B61" s="1104" t="s">
        <v>76</v>
      </c>
      <c r="C61" s="1105"/>
      <c r="D61" s="918"/>
      <c r="E61" s="918"/>
      <c r="F61" s="919"/>
      <c r="G61" s="918"/>
      <c r="H61" s="919"/>
      <c r="I61" s="919">
        <f>+I20+I28+I42+I39</f>
        <v>11062.763419723065</v>
      </c>
      <c r="J61" s="918"/>
      <c r="K61" s="920">
        <f>+K20+K28+K42+K39</f>
        <v>19252.763419723065</v>
      </c>
    </row>
    <row r="62" spans="2:11" x14ac:dyDescent="0.2">
      <c r="B62" s="914" t="s">
        <v>81</v>
      </c>
      <c r="C62" s="915"/>
      <c r="D62" s="916"/>
      <c r="E62" s="916"/>
      <c r="F62" s="916"/>
      <c r="G62" s="916"/>
      <c r="H62" s="916"/>
      <c r="I62" s="916"/>
      <c r="J62" s="916"/>
      <c r="K62" s="917"/>
    </row>
    <row r="63" spans="2:11" s="31" customFormat="1" x14ac:dyDescent="0.2">
      <c r="B63" s="1106" t="s">
        <v>324</v>
      </c>
      <c r="C63" s="1107"/>
      <c r="D63" s="873"/>
      <c r="E63" s="873"/>
      <c r="F63" s="873"/>
      <c r="G63" s="873"/>
      <c r="H63" s="874"/>
      <c r="I63" s="875"/>
      <c r="J63" s="874"/>
      <c r="K63" s="872"/>
    </row>
    <row r="64" spans="2:11" x14ac:dyDescent="0.2">
      <c r="B64" s="1066" t="s">
        <v>84</v>
      </c>
      <c r="C64" s="1108"/>
      <c r="D64" s="876"/>
      <c r="E64" s="878"/>
      <c r="F64" s="879">
        <v>10</v>
      </c>
      <c r="G64" s="877" t="s">
        <v>378</v>
      </c>
      <c r="H64" s="883" t="s">
        <v>57</v>
      </c>
      <c r="I64" s="881">
        <f>IF($H64="S",#REF!,0)</f>
        <v>0</v>
      </c>
      <c r="J64" s="880" t="s">
        <v>54</v>
      </c>
      <c r="K64" s="82">
        <f>IF($J64="S",F64,0)</f>
        <v>10</v>
      </c>
    </row>
    <row r="65" spans="1:13" s="31" customFormat="1" x14ac:dyDescent="0.2">
      <c r="B65" s="1106" t="str">
        <f>+'SEC -RLP1 '!B68</f>
        <v xml:space="preserve">         GASTOS DE IMPRENTA</v>
      </c>
      <c r="C65" s="1107"/>
      <c r="D65" s="873"/>
      <c r="E65" s="873"/>
      <c r="F65" s="873"/>
      <c r="G65" s="873"/>
      <c r="H65" s="874"/>
      <c r="I65" s="875">
        <f>IF($H65="S",#REF!,0)</f>
        <v>0</v>
      </c>
      <c r="J65" s="874"/>
      <c r="K65" s="872"/>
    </row>
    <row r="66" spans="1:13" x14ac:dyDescent="0.2">
      <c r="B66" s="1006" t="s">
        <v>83</v>
      </c>
      <c r="C66" s="1108"/>
      <c r="D66" s="876"/>
      <c r="E66" s="878"/>
      <c r="F66" s="879">
        <v>2</v>
      </c>
      <c r="G66" s="877" t="s">
        <v>378</v>
      </c>
      <c r="H66" s="880" t="s">
        <v>54</v>
      </c>
      <c r="I66" s="881">
        <f>IF($H66="S",F66,0)</f>
        <v>2</v>
      </c>
      <c r="J66" s="880" t="s">
        <v>54</v>
      </c>
      <c r="K66" s="82">
        <f t="shared" ref="K66:K67" si="15">IF($J66="S",F66,0)</f>
        <v>2</v>
      </c>
    </row>
    <row r="67" spans="1:13" x14ac:dyDescent="0.2">
      <c r="B67" s="1006" t="s">
        <v>86</v>
      </c>
      <c r="C67" s="1108"/>
      <c r="D67" s="876"/>
      <c r="E67" s="878"/>
      <c r="F67" s="879">
        <v>2</v>
      </c>
      <c r="G67" s="877" t="s">
        <v>378</v>
      </c>
      <c r="H67" s="880" t="s">
        <v>54</v>
      </c>
      <c r="I67" s="881">
        <f>IF($H67="S",F67,0)</f>
        <v>2</v>
      </c>
      <c r="J67" s="880" t="s">
        <v>54</v>
      </c>
      <c r="K67" s="82">
        <f t="shared" si="15"/>
        <v>2</v>
      </c>
    </row>
    <row r="68" spans="1:13" s="31" customFormat="1" x14ac:dyDescent="0.2">
      <c r="B68" s="1106" t="str">
        <f>+'SEC -RLP1 '!B57</f>
        <v xml:space="preserve">         REFRIGERIOS CURSOS-COMITÉS-OTROS</v>
      </c>
      <c r="C68" s="1107"/>
      <c r="D68" s="873"/>
      <c r="E68" s="873"/>
      <c r="F68" s="873"/>
      <c r="G68" s="873"/>
      <c r="H68" s="874"/>
      <c r="I68" s="875">
        <f>IF($H68="S",#REF!,0)</f>
        <v>0</v>
      </c>
      <c r="J68" s="874"/>
      <c r="K68" s="872">
        <f>IF($J68="S",#REF!,0)</f>
        <v>0</v>
      </c>
    </row>
    <row r="69" spans="1:13" s="31" customFormat="1" x14ac:dyDescent="0.2">
      <c r="B69" s="1066" t="s">
        <v>532</v>
      </c>
      <c r="C69" s="1108"/>
      <c r="D69" s="882"/>
      <c r="E69" s="882"/>
      <c r="F69" s="882">
        <v>25</v>
      </c>
      <c r="G69" s="877" t="s">
        <v>378</v>
      </c>
      <c r="H69" s="880" t="s">
        <v>54</v>
      </c>
      <c r="I69" s="881">
        <f>IF($H69="S",F69,0)</f>
        <v>25</v>
      </c>
      <c r="J69" s="883" t="s">
        <v>57</v>
      </c>
      <c r="K69" s="82">
        <f>IF($J69="S",F69,0)</f>
        <v>0</v>
      </c>
    </row>
    <row r="70" spans="1:13" x14ac:dyDescent="0.2">
      <c r="B70" s="1106" t="s">
        <v>59</v>
      </c>
      <c r="C70" s="1107"/>
      <c r="D70" s="873"/>
      <c r="E70" s="873"/>
      <c r="F70" s="873"/>
      <c r="G70" s="873"/>
      <c r="H70" s="874"/>
      <c r="I70" s="875">
        <f>IF($H70="S",#REF!,0)</f>
        <v>0</v>
      </c>
      <c r="J70" s="874"/>
      <c r="K70" s="872">
        <v>87.774558730158716</v>
      </c>
    </row>
    <row r="71" spans="1:13" x14ac:dyDescent="0.2">
      <c r="B71" s="1006" t="s">
        <v>88</v>
      </c>
      <c r="C71" s="1108"/>
      <c r="D71" s="876"/>
      <c r="E71" s="878"/>
      <c r="F71" s="879">
        <v>3</v>
      </c>
      <c r="G71" s="877" t="s">
        <v>378</v>
      </c>
      <c r="H71" s="880" t="s">
        <v>54</v>
      </c>
      <c r="I71" s="881">
        <f>IF($H71="S",F71,0)</f>
        <v>3</v>
      </c>
      <c r="J71" s="880" t="s">
        <v>54</v>
      </c>
      <c r="K71" s="82">
        <f t="shared" ref="K71:K72" si="16">IF($J71="S",F71,0)</f>
        <v>3</v>
      </c>
    </row>
    <row r="72" spans="1:13" ht="13.5" thickBot="1" x14ac:dyDescent="0.25">
      <c r="B72" s="1120" t="s">
        <v>555</v>
      </c>
      <c r="C72" s="1121"/>
      <c r="D72" s="921"/>
      <c r="E72" s="922"/>
      <c r="F72" s="923">
        <v>2</v>
      </c>
      <c r="G72" s="902" t="s">
        <v>378</v>
      </c>
      <c r="H72" s="913" t="s">
        <v>57</v>
      </c>
      <c r="I72" s="904">
        <f>IF($H72="S",#REF!,0)</f>
        <v>0</v>
      </c>
      <c r="J72" s="913" t="s">
        <v>57</v>
      </c>
      <c r="K72" s="70">
        <f t="shared" si="16"/>
        <v>0</v>
      </c>
    </row>
    <row r="73" spans="1:13" s="27" customFormat="1" ht="13.5" thickBot="1" x14ac:dyDescent="0.25">
      <c r="B73" s="1104" t="s">
        <v>533</v>
      </c>
      <c r="C73" s="1105"/>
      <c r="D73" s="918"/>
      <c r="E73" s="918"/>
      <c r="F73" s="919"/>
      <c r="G73" s="918"/>
      <c r="H73" s="919"/>
      <c r="I73" s="919">
        <f>SUM(I63:I72)</f>
        <v>32</v>
      </c>
      <c r="J73" s="918"/>
      <c r="K73" s="920">
        <f>SUM(K63:K72)</f>
        <v>104.77455873015872</v>
      </c>
    </row>
    <row r="74" spans="1:13" s="27" customFormat="1" ht="13.5" thickBot="1" x14ac:dyDescent="0.25">
      <c r="B74" s="1122" t="s">
        <v>45</v>
      </c>
      <c r="C74" s="1123"/>
      <c r="D74" s="924"/>
      <c r="E74" s="924"/>
      <c r="F74" s="924"/>
      <c r="G74" s="924"/>
      <c r="H74" s="924"/>
      <c r="I74" s="924">
        <f>+I61+I73</f>
        <v>11094.763419723065</v>
      </c>
      <c r="J74" s="924"/>
      <c r="K74" s="925">
        <f>+K61+K73</f>
        <v>19357.537978453223</v>
      </c>
    </row>
    <row r="75" spans="1:13" s="37" customFormat="1" ht="13.5" thickBot="1" x14ac:dyDescent="0.25">
      <c r="A75" s="128"/>
      <c r="D75" s="83"/>
      <c r="E75" s="83"/>
    </row>
    <row r="76" spans="1:13" s="37" customFormat="1" x14ac:dyDescent="0.2">
      <c r="A76" s="128"/>
      <c r="D76" s="83"/>
      <c r="E76" s="1079" t="s">
        <v>540</v>
      </c>
      <c r="F76" s="1079"/>
      <c r="G76" s="862">
        <f>+I61</f>
        <v>11062.763419723065</v>
      </c>
      <c r="H76" s="1096" t="s">
        <v>540</v>
      </c>
      <c r="I76" s="1097"/>
      <c r="J76" s="1097"/>
      <c r="K76" s="960">
        <f>+G76</f>
        <v>11062.763419723065</v>
      </c>
      <c r="L76" s="951">
        <f>+G76</f>
        <v>11062.763419723065</v>
      </c>
      <c r="M76" s="31"/>
    </row>
    <row r="77" spans="1:13" s="37" customFormat="1" ht="13.5" thickBot="1" x14ac:dyDescent="0.25">
      <c r="A77" s="128"/>
      <c r="D77" s="83"/>
      <c r="E77" s="1098" t="s">
        <v>536</v>
      </c>
      <c r="F77" s="1098"/>
      <c r="G77" s="958">
        <f>+I73</f>
        <v>32</v>
      </c>
      <c r="H77" s="1099" t="s">
        <v>541</v>
      </c>
      <c r="I77" s="1100"/>
      <c r="J77" s="1100"/>
      <c r="K77" s="884">
        <f>+G77*G80</f>
        <v>850.46618251252676</v>
      </c>
      <c r="L77" s="952">
        <f>+G77*G79</f>
        <v>850.46618251252676</v>
      </c>
      <c r="M77" s="31"/>
    </row>
    <row r="78" spans="1:13" s="37" customFormat="1" ht="13.5" thickBot="1" x14ac:dyDescent="0.25">
      <c r="A78" s="128"/>
      <c r="D78" s="83"/>
      <c r="E78" s="1101"/>
      <c r="F78" s="1101"/>
      <c r="G78" s="862"/>
      <c r="H78" s="953"/>
      <c r="I78" s="927"/>
      <c r="J78" s="928"/>
      <c r="K78" s="926">
        <f>SUM(K76:K77)</f>
        <v>11913.229602235591</v>
      </c>
      <c r="L78" s="954">
        <f>SUM(L76:L77)</f>
        <v>11913.229602235591</v>
      </c>
      <c r="M78" s="148"/>
    </row>
    <row r="79" spans="1:13" s="37" customFormat="1" ht="13.5" thickTop="1" x14ac:dyDescent="0.2">
      <c r="A79" s="128"/>
      <c r="D79" s="83"/>
      <c r="E79" s="1083" t="s">
        <v>538</v>
      </c>
      <c r="F79" s="1083"/>
      <c r="G79" s="959">
        <f>+G76/(522-G77)+4</f>
        <v>26.577068203516461</v>
      </c>
      <c r="H79" s="1084" t="s">
        <v>542</v>
      </c>
      <c r="I79" s="1085"/>
      <c r="J79" s="1086"/>
      <c r="K79" s="885">
        <v>0.02</v>
      </c>
      <c r="L79" s="955">
        <v>0.01</v>
      </c>
      <c r="M79" s="27"/>
    </row>
    <row r="80" spans="1:13" s="37" customFormat="1" x14ac:dyDescent="0.2">
      <c r="A80" s="128"/>
      <c r="D80" s="83"/>
      <c r="E80" s="83"/>
      <c r="G80" s="938">
        <f>+G76/(K82-G77)+4</f>
        <v>26.577068203516461</v>
      </c>
      <c r="H80" s="1087" t="s">
        <v>548</v>
      </c>
      <c r="I80" s="1088"/>
      <c r="J80" s="1089"/>
      <c r="K80" s="24">
        <f>+(K78/G79)/(1-K79)</f>
        <v>457.40021600150249</v>
      </c>
      <c r="L80" s="113">
        <f>+(L78/G80)/(1-L79)</f>
        <v>452.7800117994671</v>
      </c>
      <c r="M80" s="1"/>
    </row>
    <row r="81" spans="1:13" s="37" customFormat="1" x14ac:dyDescent="0.2">
      <c r="A81" s="128"/>
      <c r="D81" s="83"/>
      <c r="E81" s="83"/>
      <c r="F81" s="134"/>
      <c r="G81" s="135"/>
      <c r="H81" s="1090" t="s">
        <v>543</v>
      </c>
      <c r="I81" s="1091"/>
      <c r="J81" s="1092"/>
      <c r="K81" s="887">
        <f>+K80/(1-0.16)</f>
        <v>544.52406666845536</v>
      </c>
      <c r="L81" s="956">
        <f>+L80/(1-0.16)</f>
        <v>539.02382357079421</v>
      </c>
      <c r="M81" s="886">
        <f>+K80*(1+0.1494)</f>
        <v>525.73580827212697</v>
      </c>
    </row>
    <row r="82" spans="1:13" s="37" customFormat="1" ht="13.5" thickBot="1" x14ac:dyDescent="0.25">
      <c r="A82" s="128"/>
      <c r="D82" s="83"/>
      <c r="E82" s="83"/>
      <c r="F82" s="134"/>
      <c r="G82" s="135"/>
      <c r="H82" s="1093" t="s">
        <v>543</v>
      </c>
      <c r="I82" s="1094"/>
      <c r="J82" s="1095"/>
      <c r="K82" s="961">
        <v>522</v>
      </c>
      <c r="L82" s="957">
        <v>522</v>
      </c>
      <c r="M82" s="1"/>
    </row>
    <row r="83" spans="1:13" s="37" customFormat="1" x14ac:dyDescent="0.2">
      <c r="A83" s="128"/>
      <c r="D83" s="83"/>
      <c r="E83" s="83"/>
      <c r="M83" s="31"/>
    </row>
    <row r="84" spans="1:13" s="37" customFormat="1" x14ac:dyDescent="0.2">
      <c r="A84" s="128"/>
      <c r="D84" s="83"/>
      <c r="E84" s="83"/>
      <c r="H84" s="1079" t="s">
        <v>547</v>
      </c>
      <c r="I84" s="1079"/>
      <c r="J84" s="1079"/>
      <c r="K84" s="24">
        <f>+G80*K82</f>
        <v>13873.229602235593</v>
      </c>
      <c r="L84" s="24"/>
      <c r="M84" s="143"/>
    </row>
    <row r="85" spans="1:13" s="37" customFormat="1" x14ac:dyDescent="0.2">
      <c r="A85" s="128"/>
      <c r="D85" s="83"/>
      <c r="E85" s="83"/>
      <c r="H85" s="1079" t="s">
        <v>546</v>
      </c>
      <c r="I85" s="1079"/>
      <c r="J85" s="1079"/>
      <c r="K85" s="24">
        <f>+K84*0.87</f>
        <v>12069.709753944966</v>
      </c>
      <c r="L85" s="24"/>
      <c r="M85" s="356"/>
    </row>
    <row r="86" spans="1:13" s="37" customFormat="1" x14ac:dyDescent="0.2">
      <c r="A86" s="128"/>
      <c r="D86" s="83"/>
      <c r="E86" s="83"/>
      <c r="M86" s="31"/>
    </row>
    <row r="87" spans="1:13" x14ac:dyDescent="0.2">
      <c r="H87" s="37"/>
      <c r="I87" s="37"/>
      <c r="J87" s="1080" t="s">
        <v>100</v>
      </c>
      <c r="K87" s="1080"/>
      <c r="L87" s="1080"/>
      <c r="M87" s="1080"/>
    </row>
    <row r="88" spans="1:13" x14ac:dyDescent="0.2">
      <c r="H88" s="1081" t="str">
        <f>+H84</f>
        <v>INGRESOS BRUTOS DEL CURSO</v>
      </c>
      <c r="I88" s="1082"/>
      <c r="J88" s="888">
        <f>+K84</f>
        <v>13873.229602235593</v>
      </c>
      <c r="K88" s="889">
        <v>1</v>
      </c>
      <c r="L88" s="888"/>
      <c r="M88" s="889"/>
    </row>
    <row r="89" spans="1:13" x14ac:dyDescent="0.2">
      <c r="H89" s="1075" t="s">
        <v>544</v>
      </c>
      <c r="I89" s="1076"/>
      <c r="J89" s="888">
        <f>-K77</f>
        <v>-850.46618251252676</v>
      </c>
      <c r="K89" s="889">
        <f>+J89/$J$88</f>
        <v>-6.1302681992337162E-2</v>
      </c>
      <c r="L89" s="888"/>
      <c r="M89" s="889"/>
    </row>
    <row r="90" spans="1:13" ht="13.5" thickBot="1" x14ac:dyDescent="0.25">
      <c r="H90" s="1075" t="s">
        <v>545</v>
      </c>
      <c r="I90" s="1076"/>
      <c r="J90" s="892">
        <f>-K76</f>
        <v>-11062.763419723065</v>
      </c>
      <c r="K90" s="898">
        <f t="shared" ref="K90:K94" si="17">+J90/$J$88</f>
        <v>-0.79741803004113498</v>
      </c>
      <c r="L90" s="892"/>
      <c r="M90" s="898"/>
    </row>
    <row r="91" spans="1:13" x14ac:dyDescent="0.2">
      <c r="H91" s="1077" t="s">
        <v>423</v>
      </c>
      <c r="I91" s="1078"/>
      <c r="J91" s="890">
        <f>SUM(J88:J90)</f>
        <v>1960</v>
      </c>
      <c r="K91" s="899">
        <f t="shared" si="17"/>
        <v>0.14127928796652778</v>
      </c>
      <c r="L91" s="890"/>
      <c r="M91" s="899"/>
    </row>
    <row r="92" spans="1:13" x14ac:dyDescent="0.2">
      <c r="H92" s="1075" t="s">
        <v>419</v>
      </c>
      <c r="I92" s="1076"/>
      <c r="J92" s="888">
        <f>-J88*0.13</f>
        <v>-1803.5198482906271</v>
      </c>
      <c r="K92" s="889">
        <f t="shared" si="17"/>
        <v>-0.13</v>
      </c>
      <c r="L92" s="888"/>
      <c r="M92" s="889"/>
    </row>
    <row r="93" spans="1:13" ht="13.5" thickBot="1" x14ac:dyDescent="0.25">
      <c r="H93" s="1075" t="s">
        <v>420</v>
      </c>
      <c r="I93" s="1076"/>
      <c r="J93" s="892">
        <f>-J88*0.03</f>
        <v>-416.19688806706779</v>
      </c>
      <c r="K93" s="898">
        <f t="shared" si="17"/>
        <v>-0.03</v>
      </c>
      <c r="L93" s="892"/>
      <c r="M93" s="898"/>
    </row>
    <row r="94" spans="1:13" ht="13.5" thickBot="1" x14ac:dyDescent="0.25">
      <c r="H94" s="1074" t="s">
        <v>193</v>
      </c>
      <c r="I94" s="1074"/>
      <c r="J94" s="891">
        <f>SUM(J91:J93)</f>
        <v>-259.71673635769491</v>
      </c>
      <c r="K94" s="900">
        <f t="shared" si="17"/>
        <v>-1.8720712033472222E-2</v>
      </c>
      <c r="L94" s="891"/>
      <c r="M94" s="900"/>
    </row>
    <row r="95" spans="1:13" ht="13.5" thickTop="1" x14ac:dyDescent="0.2"/>
    <row r="96" spans="1:13" x14ac:dyDescent="0.2">
      <c r="I96" s="1" t="s">
        <v>108</v>
      </c>
      <c r="J96" s="1" t="s">
        <v>571</v>
      </c>
      <c r="K96" s="1" t="s">
        <v>572</v>
      </c>
    </row>
    <row r="97" spans="5:13" x14ac:dyDescent="0.2">
      <c r="I97" s="356">
        <f>+J97*($K$82-1)</f>
        <v>104.2</v>
      </c>
      <c r="J97" s="934">
        <v>0.2</v>
      </c>
      <c r="K97" s="935" t="s">
        <v>568</v>
      </c>
      <c r="L97" s="356"/>
      <c r="M97" s="356"/>
    </row>
    <row r="98" spans="5:13" x14ac:dyDescent="0.2">
      <c r="I98" s="356">
        <f t="shared" ref="I98:I99" si="18">+J98*($K$82-1)</f>
        <v>52.1</v>
      </c>
      <c r="J98" s="242">
        <v>0.1</v>
      </c>
      <c r="K98" s="1" t="s">
        <v>567</v>
      </c>
    </row>
    <row r="99" spans="5:13" ht="13.5" thickBot="1" x14ac:dyDescent="0.25">
      <c r="I99" s="356">
        <f t="shared" si="18"/>
        <v>78.149999999999991</v>
      </c>
      <c r="J99" s="242">
        <v>0.15</v>
      </c>
      <c r="K99" s="1" t="s">
        <v>569</v>
      </c>
    </row>
    <row r="100" spans="5:13" x14ac:dyDescent="0.2">
      <c r="E100" s="1079" t="s">
        <v>540</v>
      </c>
      <c r="F100" s="1079"/>
      <c r="G100" s="862">
        <f>+G76</f>
        <v>11062.763419723065</v>
      </c>
      <c r="H100" s="1096" t="s">
        <v>573</v>
      </c>
      <c r="I100" s="1097"/>
      <c r="J100" s="1097"/>
      <c r="K100" s="951">
        <f>+G100/G103</f>
        <v>406.48013740898978</v>
      </c>
      <c r="L100" s="37"/>
    </row>
    <row r="101" spans="5:13" ht="13.5" thickBot="1" x14ac:dyDescent="0.25">
      <c r="E101" s="1098" t="s">
        <v>536</v>
      </c>
      <c r="F101" s="1098"/>
      <c r="G101" s="474">
        <f>+G77</f>
        <v>32</v>
      </c>
      <c r="H101" s="1099" t="s">
        <v>574</v>
      </c>
      <c r="I101" s="1100"/>
      <c r="J101" s="1100"/>
      <c r="K101" s="952">
        <f>+G101</f>
        <v>32</v>
      </c>
      <c r="L101" s="37"/>
    </row>
    <row r="102" spans="5:13" ht="13.5" thickBot="1" x14ac:dyDescent="0.25">
      <c r="E102" s="1101"/>
      <c r="F102" s="1101"/>
      <c r="G102" s="950">
        <f>+G100/(522-G101)+4.64</f>
        <v>27.217068203516462</v>
      </c>
      <c r="H102" s="953"/>
      <c r="I102" s="927"/>
      <c r="J102" s="928"/>
      <c r="K102" s="954">
        <f>SUM(K100:K101)</f>
        <v>438.48013740898978</v>
      </c>
      <c r="L102" s="37"/>
    </row>
    <row r="103" spans="5:13" ht="13.5" thickTop="1" x14ac:dyDescent="0.2">
      <c r="E103" s="1083" t="s">
        <v>538</v>
      </c>
      <c r="F103" s="1083"/>
      <c r="G103" s="950">
        <v>27.216000000000001</v>
      </c>
      <c r="H103" s="1084" t="s">
        <v>542</v>
      </c>
      <c r="I103" s="1085"/>
      <c r="J103" s="1086"/>
      <c r="K103" s="955">
        <v>0.02</v>
      </c>
      <c r="L103" s="37"/>
    </row>
    <row r="104" spans="5:13" x14ac:dyDescent="0.2">
      <c r="E104" s="83"/>
      <c r="F104" s="37"/>
      <c r="G104" s="938">
        <f>11062.76/(634.11-32)</f>
        <v>18.373320489611533</v>
      </c>
      <c r="H104" s="1087" t="s">
        <v>548</v>
      </c>
      <c r="I104" s="1088"/>
      <c r="J104" s="1089"/>
      <c r="K104" s="113">
        <f>+(K102)/(1-K103)</f>
        <v>447.42871164182628</v>
      </c>
      <c r="L104" s="37"/>
    </row>
    <row r="105" spans="5:13" x14ac:dyDescent="0.2">
      <c r="E105" s="83"/>
      <c r="F105" s="134"/>
      <c r="G105" s="135"/>
      <c r="H105" s="1090" t="s">
        <v>543</v>
      </c>
      <c r="I105" s="1091"/>
      <c r="J105" s="1092"/>
      <c r="K105" s="956">
        <f>+K104/(1-0.16)</f>
        <v>532.65322814503133</v>
      </c>
      <c r="L105" s="37"/>
    </row>
    <row r="106" spans="5:13" ht="13.5" thickBot="1" x14ac:dyDescent="0.25">
      <c r="E106" s="83"/>
      <c r="F106" s="134"/>
      <c r="G106" s="135"/>
      <c r="H106" s="1093" t="s">
        <v>543</v>
      </c>
      <c r="I106" s="1094"/>
      <c r="J106" s="1095"/>
      <c r="K106" s="957">
        <v>522</v>
      </c>
      <c r="L106" s="37"/>
    </row>
    <row r="107" spans="5:13" x14ac:dyDescent="0.2">
      <c r="E107" s="83"/>
      <c r="F107" s="37"/>
      <c r="G107" s="37"/>
      <c r="H107" s="37"/>
      <c r="I107" s="37"/>
      <c r="J107" s="37"/>
      <c r="K107" s="37"/>
      <c r="L107" s="37"/>
    </row>
    <row r="108" spans="5:13" x14ac:dyDescent="0.2">
      <c r="E108" s="83"/>
      <c r="F108" s="37"/>
      <c r="G108" s="37"/>
      <c r="H108" s="1079" t="s">
        <v>579</v>
      </c>
      <c r="I108" s="1079"/>
      <c r="J108" s="1079"/>
      <c r="K108" s="24">
        <f>+G103*K106</f>
        <v>14206.752</v>
      </c>
      <c r="L108" s="37"/>
    </row>
    <row r="109" spans="5:13" x14ac:dyDescent="0.2">
      <c r="E109" s="83"/>
      <c r="F109" s="37"/>
      <c r="G109" s="37"/>
      <c r="H109" s="1079" t="s">
        <v>546</v>
      </c>
      <c r="I109" s="1079"/>
      <c r="J109" s="1079"/>
      <c r="K109" s="24">
        <f>+K108*0.87</f>
        <v>12359.874240000001</v>
      </c>
      <c r="L109" s="37"/>
    </row>
    <row r="110" spans="5:13" x14ac:dyDescent="0.2">
      <c r="E110" s="83"/>
      <c r="F110" s="37"/>
      <c r="G110" s="37"/>
      <c r="H110" s="37"/>
      <c r="I110" s="37"/>
      <c r="J110" s="37"/>
      <c r="K110" s="37"/>
      <c r="L110" s="37"/>
    </row>
    <row r="111" spans="5:13" x14ac:dyDescent="0.2">
      <c r="H111" s="37"/>
      <c r="I111" s="37"/>
      <c r="J111" s="1080" t="s">
        <v>100</v>
      </c>
      <c r="K111" s="1080"/>
    </row>
    <row r="112" spans="5:13" x14ac:dyDescent="0.2">
      <c r="H112" s="1081" t="str">
        <f>+H108</f>
        <v>INGRESOS BRUTOS DEL MODULO</v>
      </c>
      <c r="I112" s="1082"/>
      <c r="J112" s="888">
        <f>+K108</f>
        <v>14206.752</v>
      </c>
      <c r="K112" s="889">
        <v>1</v>
      </c>
    </row>
    <row r="113" spans="8:15" x14ac:dyDescent="0.2">
      <c r="H113" s="1075" t="s">
        <v>580</v>
      </c>
      <c r="I113" s="1076"/>
      <c r="J113" s="888">
        <f>-K101*G103</f>
        <v>-870.91200000000003</v>
      </c>
      <c r="K113" s="889">
        <f>+J113/$J$88</f>
        <v>-6.277644247015543E-2</v>
      </c>
    </row>
    <row r="114" spans="8:15" ht="13.5" thickBot="1" x14ac:dyDescent="0.25">
      <c r="H114" s="1075" t="s">
        <v>581</v>
      </c>
      <c r="I114" s="1076"/>
      <c r="J114" s="892">
        <f>-K100*G103</f>
        <v>-11062.763419723065</v>
      </c>
      <c r="K114" s="898">
        <f t="shared" ref="K114:K118" si="19">+J114/$J$88</f>
        <v>-0.79741803004113498</v>
      </c>
    </row>
    <row r="115" spans="8:15" x14ac:dyDescent="0.2">
      <c r="H115" s="1077" t="s">
        <v>423</v>
      </c>
      <c r="I115" s="1078"/>
      <c r="J115" s="890">
        <f>SUM(J112:J114)</f>
        <v>2273.0765802769347</v>
      </c>
      <c r="K115" s="899">
        <f t="shared" si="19"/>
        <v>0.16384624528312003</v>
      </c>
    </row>
    <row r="116" spans="8:15" x14ac:dyDescent="0.2">
      <c r="H116" s="1075" t="s">
        <v>419</v>
      </c>
      <c r="I116" s="1076"/>
      <c r="J116" s="888">
        <f>-J112*0.13</f>
        <v>-1846.8777600000001</v>
      </c>
      <c r="K116" s="889">
        <f t="shared" si="19"/>
        <v>-0.13312529331327336</v>
      </c>
    </row>
    <row r="117" spans="8:15" ht="13.5" thickBot="1" x14ac:dyDescent="0.25">
      <c r="H117" s="1075" t="s">
        <v>420</v>
      </c>
      <c r="I117" s="1076"/>
      <c r="J117" s="892">
        <f>-J112*0.03</f>
        <v>-426.20256000000001</v>
      </c>
      <c r="K117" s="898">
        <f t="shared" si="19"/>
        <v>-3.0721221533832315E-2</v>
      </c>
    </row>
    <row r="118" spans="8:15" ht="13.5" thickBot="1" x14ac:dyDescent="0.25">
      <c r="H118" s="1074" t="s">
        <v>193</v>
      </c>
      <c r="I118" s="1074"/>
      <c r="J118" s="891">
        <f>SUM(J115:J117)</f>
        <v>-3.7397230653937186E-3</v>
      </c>
      <c r="K118" s="900">
        <f t="shared" si="19"/>
        <v>-2.6956398564838021E-7</v>
      </c>
    </row>
    <row r="119" spans="8:15" ht="13.5" thickTop="1" x14ac:dyDescent="0.2">
      <c r="O119" s="1">
        <f>522*15</f>
        <v>7830</v>
      </c>
    </row>
    <row r="120" spans="8:15" x14ac:dyDescent="0.2">
      <c r="I120" s="1" t="s">
        <v>108</v>
      </c>
      <c r="J120" s="1" t="s">
        <v>571</v>
      </c>
      <c r="K120" s="1" t="s">
        <v>572</v>
      </c>
    </row>
    <row r="121" spans="8:15" x14ac:dyDescent="0.2">
      <c r="I121" s="356">
        <f>+J121*($K$82-1)</f>
        <v>104.2</v>
      </c>
      <c r="J121" s="934">
        <v>0.2</v>
      </c>
      <c r="K121" s="935" t="s">
        <v>568</v>
      </c>
    </row>
    <row r="122" spans="8:15" x14ac:dyDescent="0.2">
      <c r="I122" s="356">
        <f t="shared" ref="I122:I123" si="20">+J122*($K$82-1)</f>
        <v>52.1</v>
      </c>
      <c r="J122" s="242">
        <v>0.1</v>
      </c>
      <c r="K122" s="1" t="s">
        <v>567</v>
      </c>
    </row>
    <row r="123" spans="8:15" x14ac:dyDescent="0.2">
      <c r="I123" s="356">
        <f t="shared" si="20"/>
        <v>78.149999999999991</v>
      </c>
      <c r="J123" s="242">
        <v>0.15</v>
      </c>
      <c r="K123" s="1" t="s">
        <v>569</v>
      </c>
    </row>
    <row r="130" spans="5:11" x14ac:dyDescent="0.2">
      <c r="I130" s="356"/>
      <c r="K130" s="148"/>
    </row>
    <row r="132" spans="5:11" x14ac:dyDescent="0.2">
      <c r="E132"/>
    </row>
  </sheetData>
  <sheetProtection selectLockedCells="1"/>
  <mergeCells count="112">
    <mergeCell ref="B27:C27"/>
    <mergeCell ref="E76:F76"/>
    <mergeCell ref="B45:C45"/>
    <mergeCell ref="B46:C46"/>
    <mergeCell ref="B47:C47"/>
    <mergeCell ref="B43:C43"/>
    <mergeCell ref="B28:C28"/>
    <mergeCell ref="B29:C29"/>
    <mergeCell ref="B30:C30"/>
    <mergeCell ref="B31:C31"/>
    <mergeCell ref="B32:C32"/>
    <mergeCell ref="B42:C42"/>
    <mergeCell ref="B35:C35"/>
    <mergeCell ref="H91:I91"/>
    <mergeCell ref="H88:I88"/>
    <mergeCell ref="H89:I89"/>
    <mergeCell ref="H90:I90"/>
    <mergeCell ref="B74:C74"/>
    <mergeCell ref="H92:I92"/>
    <mergeCell ref="H93:I93"/>
    <mergeCell ref="H94:I94"/>
    <mergeCell ref="F9:F13"/>
    <mergeCell ref="G9:H9"/>
    <mergeCell ref="G10:H10"/>
    <mergeCell ref="G11:H11"/>
    <mergeCell ref="G12:H12"/>
    <mergeCell ref="G13:H13"/>
    <mergeCell ref="E77:F77"/>
    <mergeCell ref="E78:F78"/>
    <mergeCell ref="E79:F79"/>
    <mergeCell ref="H82:J82"/>
    <mergeCell ref="H84:J84"/>
    <mergeCell ref="H85:J85"/>
    <mergeCell ref="H76:J76"/>
    <mergeCell ref="B24:C24"/>
    <mergeCell ref="B25:C25"/>
    <mergeCell ref="B26:C26"/>
    <mergeCell ref="B21:C21"/>
    <mergeCell ref="B22:C22"/>
    <mergeCell ref="B23:C23"/>
    <mergeCell ref="H17:I17"/>
    <mergeCell ref="J17:K17"/>
    <mergeCell ref="B19:K19"/>
    <mergeCell ref="B20:C20"/>
    <mergeCell ref="B1:K2"/>
    <mergeCell ref="B3:K4"/>
    <mergeCell ref="B5:K6"/>
    <mergeCell ref="B15:K15"/>
    <mergeCell ref="B17:C18"/>
    <mergeCell ref="D17:D18"/>
    <mergeCell ref="E17:E18"/>
    <mergeCell ref="G17:G18"/>
    <mergeCell ref="B33:C33"/>
    <mergeCell ref="B56:C56"/>
    <mergeCell ref="B59:C59"/>
    <mergeCell ref="B34:C34"/>
    <mergeCell ref="B49:C49"/>
    <mergeCell ref="B37:C37"/>
    <mergeCell ref="B38:C38"/>
    <mergeCell ref="B55:C55"/>
    <mergeCell ref="B36:C36"/>
    <mergeCell ref="B50:C50"/>
    <mergeCell ref="B52:C52"/>
    <mergeCell ref="B53:C53"/>
    <mergeCell ref="B54:C54"/>
    <mergeCell ref="B51:C51"/>
    <mergeCell ref="B39:C39"/>
    <mergeCell ref="B40:C40"/>
    <mergeCell ref="B57:C57"/>
    <mergeCell ref="L87:M87"/>
    <mergeCell ref="B41:C41"/>
    <mergeCell ref="B61:C61"/>
    <mergeCell ref="B63:C63"/>
    <mergeCell ref="B64:C64"/>
    <mergeCell ref="B65:C65"/>
    <mergeCell ref="B58:C58"/>
    <mergeCell ref="H77:J77"/>
    <mergeCell ref="H79:J79"/>
    <mergeCell ref="H80:J80"/>
    <mergeCell ref="H81:J81"/>
    <mergeCell ref="B44:C44"/>
    <mergeCell ref="B48:C48"/>
    <mergeCell ref="B70:C70"/>
    <mergeCell ref="B69:C69"/>
    <mergeCell ref="B72:C72"/>
    <mergeCell ref="B60:C60"/>
    <mergeCell ref="B66:C66"/>
    <mergeCell ref="B71:C71"/>
    <mergeCell ref="B67:C67"/>
    <mergeCell ref="B68:C68"/>
    <mergeCell ref="B73:C73"/>
    <mergeCell ref="J87:K87"/>
    <mergeCell ref="E103:F103"/>
    <mergeCell ref="H103:J103"/>
    <mergeCell ref="H104:J104"/>
    <mergeCell ref="H105:J105"/>
    <mergeCell ref="H106:J106"/>
    <mergeCell ref="E100:F100"/>
    <mergeCell ref="H100:J100"/>
    <mergeCell ref="E101:F101"/>
    <mergeCell ref="H101:J101"/>
    <mergeCell ref="E102:F102"/>
    <mergeCell ref="H118:I118"/>
    <mergeCell ref="H113:I113"/>
    <mergeCell ref="H114:I114"/>
    <mergeCell ref="H115:I115"/>
    <mergeCell ref="H116:I116"/>
    <mergeCell ref="H117:I117"/>
    <mergeCell ref="H108:J108"/>
    <mergeCell ref="H109:J109"/>
    <mergeCell ref="J111:K111"/>
    <mergeCell ref="H112:I112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  <pageSetUpPr fitToPage="1"/>
  </sheetPr>
  <dimension ref="A1:N98"/>
  <sheetViews>
    <sheetView tabSelected="1" topLeftCell="A58" zoomScale="130" zoomScaleNormal="130" workbookViewId="0">
      <selection activeCell="D54" sqref="D54"/>
    </sheetView>
  </sheetViews>
  <sheetFormatPr baseColWidth="10" defaultColWidth="11.42578125" defaultRowHeight="12.75" x14ac:dyDescent="0.2"/>
  <cols>
    <col min="1" max="1" width="4.5703125" style="1" bestFit="1" customWidth="1"/>
    <col min="2" max="2" width="33.5703125" style="1" customWidth="1"/>
    <col min="3" max="3" width="14.140625" style="1" customWidth="1"/>
    <col min="4" max="4" width="13.28515625" style="1" customWidth="1"/>
    <col min="5" max="5" width="11.140625" style="1" customWidth="1"/>
    <col min="6" max="6" width="15.5703125" style="1" bestFit="1" customWidth="1"/>
    <col min="7" max="7" width="11.42578125" style="1" customWidth="1"/>
    <col min="8" max="8" width="11.28515625" style="1" bestFit="1" customWidth="1"/>
    <col min="9" max="9" width="13.140625" style="1" bestFit="1" customWidth="1"/>
    <col min="10" max="10" width="10.42578125" style="1" bestFit="1" customWidth="1"/>
    <col min="11" max="11" width="19.7109375" style="1" customWidth="1"/>
    <col min="12" max="16384" width="11.42578125" style="1"/>
  </cols>
  <sheetData>
    <row r="1" spans="1:12" x14ac:dyDescent="0.2">
      <c r="B1" s="1019" t="s">
        <v>0</v>
      </c>
      <c r="C1" s="1019"/>
      <c r="D1" s="1019"/>
      <c r="E1" s="1019"/>
      <c r="F1" s="1019"/>
      <c r="G1" s="1019"/>
      <c r="H1" s="1019"/>
      <c r="I1" s="1019"/>
    </row>
    <row r="2" spans="1:12" x14ac:dyDescent="0.2">
      <c r="B2" s="1019"/>
      <c r="C2" s="1019"/>
      <c r="D2" s="1019"/>
      <c r="E2" s="1019"/>
      <c r="F2" s="1019"/>
      <c r="G2" s="1019"/>
      <c r="H2" s="1019"/>
      <c r="I2" s="1019"/>
    </row>
    <row r="3" spans="1:12" x14ac:dyDescent="0.2">
      <c r="B3" s="1020" t="s">
        <v>1</v>
      </c>
      <c r="C3" s="1020"/>
      <c r="D3" s="1020"/>
      <c r="E3" s="1020"/>
      <c r="F3" s="1020"/>
      <c r="G3" s="1020"/>
      <c r="H3" s="1020"/>
      <c r="I3" s="1020"/>
    </row>
    <row r="4" spans="1:12" x14ac:dyDescent="0.2">
      <c r="B4" s="1020"/>
      <c r="C4" s="1020"/>
      <c r="D4" s="1020"/>
      <c r="E4" s="1020"/>
      <c r="F4" s="1020"/>
      <c r="G4" s="1020"/>
      <c r="H4" s="1020"/>
      <c r="I4" s="1020"/>
    </row>
    <row r="5" spans="1:12" x14ac:dyDescent="0.2">
      <c r="B5" s="1021" t="s">
        <v>2</v>
      </c>
      <c r="C5" s="1021"/>
      <c r="D5" s="1021"/>
      <c r="E5" s="1021"/>
      <c r="F5" s="1021"/>
      <c r="G5" s="1021"/>
      <c r="H5" s="1021"/>
      <c r="I5" s="1021"/>
    </row>
    <row r="6" spans="1:12" x14ac:dyDescent="0.2">
      <c r="B6" s="1021"/>
      <c r="C6" s="1021"/>
      <c r="D6" s="1021"/>
      <c r="E6" s="1021"/>
      <c r="F6" s="1021"/>
      <c r="G6" s="1021"/>
      <c r="H6" s="1021"/>
      <c r="I6" s="1021"/>
      <c r="J6" s="2"/>
    </row>
    <row r="7" spans="1:12" x14ac:dyDescent="0.2">
      <c r="F7" s="820"/>
      <c r="J7" s="2"/>
    </row>
    <row r="8" spans="1:12" ht="30" x14ac:dyDescent="0.2">
      <c r="B8" s="821"/>
      <c r="E8" s="893" t="s">
        <v>26</v>
      </c>
      <c r="F8" s="941" t="s">
        <v>570</v>
      </c>
      <c r="G8" s="943" t="s">
        <v>576</v>
      </c>
      <c r="H8" s="944" t="s">
        <v>575</v>
      </c>
    </row>
    <row r="9" spans="1:12" x14ac:dyDescent="0.2">
      <c r="B9" s="1124" t="s">
        <v>549</v>
      </c>
      <c r="C9" s="1127" t="s">
        <v>550</v>
      </c>
      <c r="D9" s="1127"/>
      <c r="E9" s="933">
        <v>43</v>
      </c>
      <c r="F9" s="942">
        <f>+E9/12</f>
        <v>3.5833333333333335</v>
      </c>
      <c r="G9" s="939">
        <v>522</v>
      </c>
      <c r="H9" s="940">
        <v>15</v>
      </c>
      <c r="K9" s="147"/>
    </row>
    <row r="10" spans="1:12" x14ac:dyDescent="0.2">
      <c r="B10" s="1125"/>
      <c r="C10" s="1127" t="s">
        <v>551</v>
      </c>
      <c r="D10" s="1127"/>
      <c r="E10" s="371">
        <v>3</v>
      </c>
      <c r="F10" s="942">
        <f t="shared" ref="F10:F13" si="0">+E10/12</f>
        <v>0.25</v>
      </c>
      <c r="G10" s="939">
        <v>3027.6</v>
      </c>
      <c r="H10" s="945">
        <v>6</v>
      </c>
      <c r="K10" s="147"/>
    </row>
    <row r="11" spans="1:12" x14ac:dyDescent="0.2">
      <c r="B11" s="1125"/>
      <c r="C11" s="1127" t="s">
        <v>552</v>
      </c>
      <c r="D11" s="1127"/>
      <c r="E11" s="371">
        <v>27</v>
      </c>
      <c r="F11" s="942">
        <f t="shared" si="0"/>
        <v>2.25</v>
      </c>
      <c r="G11" s="939">
        <v>9135</v>
      </c>
      <c r="H11" s="940">
        <v>1</v>
      </c>
      <c r="K11" s="147"/>
    </row>
    <row r="12" spans="1:12" x14ac:dyDescent="0.2">
      <c r="B12" s="1125"/>
      <c r="C12" s="1127" t="s">
        <v>553</v>
      </c>
      <c r="D12" s="1127"/>
      <c r="E12" s="371">
        <v>43</v>
      </c>
      <c r="F12" s="942">
        <f t="shared" si="0"/>
        <v>3.5833333333333335</v>
      </c>
      <c r="G12" s="939">
        <v>522</v>
      </c>
      <c r="H12" s="945">
        <v>10</v>
      </c>
      <c r="K12" s="147"/>
    </row>
    <row r="13" spans="1:12" s="30" customFormat="1" x14ac:dyDescent="0.2">
      <c r="A13" s="27"/>
      <c r="B13" s="1126"/>
      <c r="C13" s="1127" t="s">
        <v>554</v>
      </c>
      <c r="D13" s="1127"/>
      <c r="E13" s="370">
        <v>72</v>
      </c>
      <c r="F13" s="942">
        <f t="shared" si="0"/>
        <v>6</v>
      </c>
      <c r="G13" s="939">
        <v>652.5</v>
      </c>
      <c r="H13" s="940">
        <v>15</v>
      </c>
      <c r="K13" s="147"/>
    </row>
    <row r="14" spans="1:12" s="30" customFormat="1" ht="13.5" thickBot="1" x14ac:dyDescent="0.25">
      <c r="A14" s="27"/>
      <c r="B14" s="31"/>
      <c r="C14" s="31"/>
      <c r="E14" s="374">
        <f>SUM(E9:E13)</f>
        <v>188</v>
      </c>
      <c r="F14" s="374">
        <f>SUM(F9:F13)</f>
        <v>15.666666666666668</v>
      </c>
      <c r="G14" s="947"/>
    </row>
    <row r="15" spans="1:12" ht="15" thickTop="1" x14ac:dyDescent="0.2">
      <c r="A15" s="424"/>
      <c r="B15" s="1024" t="s">
        <v>36</v>
      </c>
      <c r="C15" s="1024"/>
      <c r="D15" s="1024"/>
      <c r="E15" s="1024"/>
      <c r="F15" s="1024"/>
      <c r="G15" s="1024"/>
      <c r="H15" s="1024"/>
      <c r="I15" s="1024"/>
      <c r="L15" s="508"/>
    </row>
    <row r="16" spans="1:12" ht="13.5" thickBot="1" x14ac:dyDescent="0.25">
      <c r="B16" s="15"/>
      <c r="L16" s="508"/>
    </row>
    <row r="17" spans="2:12" s="38" customFormat="1" ht="31.5" customHeight="1" x14ac:dyDescent="0.2">
      <c r="B17" s="1032" t="s">
        <v>40</v>
      </c>
      <c r="C17" s="1033"/>
      <c r="D17" s="1036" t="s">
        <v>42</v>
      </c>
      <c r="E17" s="1033" t="s">
        <v>43</v>
      </c>
      <c r="F17" s="533" t="s">
        <v>565</v>
      </c>
      <c r="G17" s="1033" t="s">
        <v>43</v>
      </c>
      <c r="H17" s="1038" t="s">
        <v>587</v>
      </c>
      <c r="I17" s="1039"/>
      <c r="L17" s="508"/>
    </row>
    <row r="18" spans="2:12" x14ac:dyDescent="0.2">
      <c r="B18" s="1034"/>
      <c r="C18" s="1035"/>
      <c r="D18" s="1037"/>
      <c r="E18" s="1035"/>
      <c r="F18" s="534" t="s">
        <v>48</v>
      </c>
      <c r="G18" s="1035"/>
      <c r="H18" s="930" t="s">
        <v>588</v>
      </c>
      <c r="I18" s="932" t="s">
        <v>48</v>
      </c>
      <c r="L18" s="507"/>
    </row>
    <row r="19" spans="2:12" ht="13.5" thickBot="1" x14ac:dyDescent="0.25">
      <c r="B19" s="1118" t="s">
        <v>50</v>
      </c>
      <c r="C19" s="1119"/>
      <c r="D19" s="1119"/>
      <c r="E19" s="1119"/>
      <c r="F19" s="1119"/>
      <c r="G19" s="1119"/>
      <c r="H19" s="1119"/>
      <c r="I19" s="1119"/>
      <c r="J19" s="366"/>
      <c r="K19" s="367"/>
      <c r="L19" s="33"/>
    </row>
    <row r="20" spans="2:12" s="31" customFormat="1" ht="13.5" thickBot="1" x14ac:dyDescent="0.25">
      <c r="B20" s="1115" t="s">
        <v>51</v>
      </c>
      <c r="C20" s="1116"/>
      <c r="D20" s="912">
        <f>SUM(D21:D27)</f>
        <v>39963.157777777778</v>
      </c>
      <c r="E20" s="448"/>
      <c r="F20" s="448">
        <f>SUM(F21:F27)</f>
        <v>2550.8398581560277</v>
      </c>
      <c r="G20" s="448"/>
      <c r="H20" s="448"/>
      <c r="I20" s="448">
        <f>SUM(I21:I27)</f>
        <v>2550.8398581560277</v>
      </c>
    </row>
    <row r="21" spans="2:12" x14ac:dyDescent="0.2">
      <c r="B21" s="1060" t="s">
        <v>280</v>
      </c>
      <c r="C21" s="1117"/>
      <c r="D21" s="905">
        <v>27122.18</v>
      </c>
      <c r="E21" s="906"/>
      <c r="F21" s="905">
        <f t="shared" ref="F21:F27" si="1">+D21/$F$14</f>
        <v>1731.2029787234042</v>
      </c>
      <c r="G21" s="906" t="s">
        <v>378</v>
      </c>
      <c r="H21" s="907" t="s">
        <v>54</v>
      </c>
      <c r="I21" s="908">
        <f t="shared" ref="I21:I27" si="2">IF($H21="S",F21,0)</f>
        <v>1731.2029787234042</v>
      </c>
    </row>
    <row r="22" spans="2:12" x14ac:dyDescent="0.2">
      <c r="B22" s="1110" t="s">
        <v>282</v>
      </c>
      <c r="C22" s="1111"/>
      <c r="D22" s="882">
        <v>4532.1155555555551</v>
      </c>
      <c r="E22" s="877"/>
      <c r="F22" s="905">
        <f t="shared" si="1"/>
        <v>289.28397163120565</v>
      </c>
      <c r="G22" s="877" t="s">
        <v>378</v>
      </c>
      <c r="H22" s="880" t="s">
        <v>54</v>
      </c>
      <c r="I22" s="881">
        <f t="shared" si="2"/>
        <v>289.28397163120565</v>
      </c>
    </row>
    <row r="23" spans="2:12" x14ac:dyDescent="0.2">
      <c r="B23" s="1110" t="s">
        <v>284</v>
      </c>
      <c r="C23" s="1111"/>
      <c r="D23" s="882">
        <v>4518.5533333333333</v>
      </c>
      <c r="E23" s="877"/>
      <c r="F23" s="905">
        <f t="shared" si="1"/>
        <v>288.41829787234042</v>
      </c>
      <c r="G23" s="877" t="s">
        <v>378</v>
      </c>
      <c r="H23" s="880" t="s">
        <v>54</v>
      </c>
      <c r="I23" s="881">
        <f t="shared" si="2"/>
        <v>288.41829787234042</v>
      </c>
    </row>
    <row r="24" spans="2:12" x14ac:dyDescent="0.2">
      <c r="B24" s="1110" t="s">
        <v>286</v>
      </c>
      <c r="C24" s="1111"/>
      <c r="D24" s="882">
        <v>2259.2744444444443</v>
      </c>
      <c r="E24" s="877"/>
      <c r="F24" s="905">
        <f t="shared" si="1"/>
        <v>144.20900709219856</v>
      </c>
      <c r="G24" s="877" t="s">
        <v>378</v>
      </c>
      <c r="H24" s="880" t="s">
        <v>54</v>
      </c>
      <c r="I24" s="881">
        <f t="shared" si="2"/>
        <v>144.20900709219856</v>
      </c>
    </row>
    <row r="25" spans="2:12" s="895" customFormat="1" x14ac:dyDescent="0.2">
      <c r="B25" s="1110" t="s">
        <v>288</v>
      </c>
      <c r="C25" s="1111"/>
      <c r="D25" s="882">
        <v>0</v>
      </c>
      <c r="E25" s="896"/>
      <c r="F25" s="905">
        <f t="shared" si="1"/>
        <v>0</v>
      </c>
      <c r="G25" s="896" t="s">
        <v>378</v>
      </c>
      <c r="H25" s="897" t="s">
        <v>57</v>
      </c>
      <c r="I25" s="881">
        <f t="shared" si="2"/>
        <v>0</v>
      </c>
    </row>
    <row r="26" spans="2:12" s="895" customFormat="1" x14ac:dyDescent="0.2">
      <c r="B26" s="1110" t="s">
        <v>290</v>
      </c>
      <c r="C26" s="1111"/>
      <c r="D26" s="882">
        <v>0</v>
      </c>
      <c r="E26" s="896"/>
      <c r="F26" s="905">
        <f t="shared" si="1"/>
        <v>0</v>
      </c>
      <c r="G26" s="896" t="s">
        <v>378</v>
      </c>
      <c r="H26" s="897" t="s">
        <v>57</v>
      </c>
      <c r="I26" s="881">
        <f t="shared" si="2"/>
        <v>0</v>
      </c>
    </row>
    <row r="27" spans="2:12" ht="13.5" thickBot="1" x14ac:dyDescent="0.25">
      <c r="B27" s="1102" t="s">
        <v>292</v>
      </c>
      <c r="C27" s="1103"/>
      <c r="D27" s="901">
        <v>1531.0344444444445</v>
      </c>
      <c r="E27" s="902"/>
      <c r="F27" s="905">
        <f t="shared" si="1"/>
        <v>97.725602836879432</v>
      </c>
      <c r="G27" s="902" t="s">
        <v>378</v>
      </c>
      <c r="H27" s="903" t="s">
        <v>54</v>
      </c>
      <c r="I27" s="904">
        <f t="shared" si="2"/>
        <v>97.725602836879432</v>
      </c>
    </row>
    <row r="28" spans="2:12" s="31" customFormat="1" ht="13.5" thickBot="1" x14ac:dyDescent="0.25">
      <c r="B28" s="1115" t="s">
        <v>539</v>
      </c>
      <c r="C28" s="1116"/>
      <c r="D28" s="448">
        <f>SUM(D29:D38)</f>
        <v>12639.627</v>
      </c>
      <c r="E28" s="448"/>
      <c r="F28" s="448">
        <f>SUM(F29:F38)</f>
        <v>796.51321121242802</v>
      </c>
      <c r="G28" s="448"/>
      <c r="H28" s="448"/>
      <c r="I28" s="448">
        <f>SUM(I29:I38)</f>
        <v>796.51321121242802</v>
      </c>
    </row>
    <row r="29" spans="2:12" s="31" customFormat="1" x14ac:dyDescent="0.2">
      <c r="B29" s="1060" t="str">
        <f>+'SEC -RLP1 '!B52</f>
        <v xml:space="preserve">         MATERIAL DE ESCRITORIO</v>
      </c>
      <c r="C29" s="1117"/>
      <c r="D29" s="905">
        <f>+'SEC -RLP1 '!P52</f>
        <v>2114.8566666666666</v>
      </c>
      <c r="E29" s="906" t="s">
        <v>27</v>
      </c>
      <c r="F29" s="905">
        <f t="shared" ref="F29:F37" si="3">+(D29/$F$14)</f>
        <v>134.99085106382978</v>
      </c>
      <c r="G29" s="906" t="s">
        <v>378</v>
      </c>
      <c r="H29" s="907" t="s">
        <v>54</v>
      </c>
      <c r="I29" s="908">
        <f t="shared" ref="I29:I37" si="4">IF($H29="S",F29,0)</f>
        <v>134.99085106382978</v>
      </c>
    </row>
    <row r="30" spans="2:12" s="31" customFormat="1" x14ac:dyDescent="0.2">
      <c r="B30" s="1110" t="str">
        <f>+'SEC -RLP1 '!B54</f>
        <v xml:space="preserve">         SERVICIO DE COURIER</v>
      </c>
      <c r="C30" s="1111"/>
      <c r="D30" s="882">
        <f>+'SEC -RLP1 '!P54</f>
        <v>53.456666666666671</v>
      </c>
      <c r="E30" s="877" t="s">
        <v>27</v>
      </c>
      <c r="F30" s="882">
        <f t="shared" si="3"/>
        <v>3.4121276595744683</v>
      </c>
      <c r="G30" s="877" t="s">
        <v>378</v>
      </c>
      <c r="H30" s="880" t="s">
        <v>54</v>
      </c>
      <c r="I30" s="881">
        <f t="shared" si="4"/>
        <v>3.4121276595744683</v>
      </c>
    </row>
    <row r="31" spans="2:12" s="31" customFormat="1" x14ac:dyDescent="0.2">
      <c r="B31" s="1110" t="str">
        <f>+'SEC -RLP1 '!B55</f>
        <v xml:space="preserve">         SERVICIOS Y COMUNICACIONES</v>
      </c>
      <c r="C31" s="1111"/>
      <c r="D31" s="882">
        <f>+'SEC -RLP1 '!P55</f>
        <v>2260.4166666666665</v>
      </c>
      <c r="E31" s="877" t="s">
        <v>27</v>
      </c>
      <c r="F31" s="882">
        <f t="shared" si="3"/>
        <v>144.281914893617</v>
      </c>
      <c r="G31" s="877" t="s">
        <v>378</v>
      </c>
      <c r="H31" s="880" t="s">
        <v>54</v>
      </c>
      <c r="I31" s="881">
        <f t="shared" si="4"/>
        <v>144.281914893617</v>
      </c>
    </row>
    <row r="32" spans="2:12" s="31" customFormat="1" x14ac:dyDescent="0.2">
      <c r="B32" s="1110" t="str">
        <f>+'SEC -RLP1 '!B56</f>
        <v xml:space="preserve">         SERVICIO DE SEGURIDAD</v>
      </c>
      <c r="C32" s="1111"/>
      <c r="D32" s="882">
        <f>+'SEC -RLP1 '!P56</f>
        <v>870.18333333333305</v>
      </c>
      <c r="E32" s="877" t="s">
        <v>27</v>
      </c>
      <c r="F32" s="882">
        <f t="shared" si="3"/>
        <v>55.543617021276575</v>
      </c>
      <c r="G32" s="877" t="s">
        <v>378</v>
      </c>
      <c r="H32" s="880" t="s">
        <v>54</v>
      </c>
      <c r="I32" s="881">
        <f t="shared" si="4"/>
        <v>55.543617021276575</v>
      </c>
    </row>
    <row r="33" spans="2:14" s="31" customFormat="1" x14ac:dyDescent="0.2">
      <c r="B33" s="1110" t="str">
        <f>+'SEC -RLP1 '!B58</f>
        <v xml:space="preserve">         REPARACION Y MANTENIMIENTO</v>
      </c>
      <c r="C33" s="1111"/>
      <c r="D33" s="882">
        <f>+'SEC -RLP1 '!P58</f>
        <v>27.066666666666666</v>
      </c>
      <c r="E33" s="877" t="s">
        <v>27</v>
      </c>
      <c r="F33" s="882">
        <f t="shared" si="3"/>
        <v>1.7276595744680849</v>
      </c>
      <c r="G33" s="877" t="s">
        <v>378</v>
      </c>
      <c r="H33" s="880" t="s">
        <v>54</v>
      </c>
      <c r="I33" s="881">
        <f t="shared" si="4"/>
        <v>1.7276595744680849</v>
      </c>
    </row>
    <row r="34" spans="2:14" s="31" customFormat="1" x14ac:dyDescent="0.2">
      <c r="B34" s="1110" t="str">
        <f>+'SEC -RLP1 '!B69</f>
        <v xml:space="preserve">         GASTOS MOVILIDAD</v>
      </c>
      <c r="C34" s="1111"/>
      <c r="D34" s="882">
        <f>+'SEC -RLP1 '!P69</f>
        <v>1043.1388888888889</v>
      </c>
      <c r="E34" s="877" t="s">
        <v>27</v>
      </c>
      <c r="F34" s="882">
        <f t="shared" si="3"/>
        <v>66.583333333333329</v>
      </c>
      <c r="G34" s="877" t="s">
        <v>378</v>
      </c>
      <c r="H34" s="880" t="s">
        <v>54</v>
      </c>
      <c r="I34" s="881">
        <f t="shared" si="4"/>
        <v>66.583333333333329</v>
      </c>
    </row>
    <row r="35" spans="2:14" s="31" customFormat="1" x14ac:dyDescent="0.2">
      <c r="B35" s="1110" t="str">
        <f>+'SEC -RLP1 '!B70</f>
        <v xml:space="preserve">         SERVICIOS Y MATERIAL DE LIMPIEZA</v>
      </c>
      <c r="C35" s="1111"/>
      <c r="D35" s="882">
        <f>+'SEC -RLP1 '!P70</f>
        <v>1311.9777777777776</v>
      </c>
      <c r="E35" s="877" t="s">
        <v>27</v>
      </c>
      <c r="F35" s="882">
        <f t="shared" si="3"/>
        <v>83.743262411347501</v>
      </c>
      <c r="G35" s="877" t="s">
        <v>378</v>
      </c>
      <c r="H35" s="880" t="s">
        <v>54</v>
      </c>
      <c r="I35" s="881">
        <f t="shared" si="4"/>
        <v>83.743262411347501</v>
      </c>
    </row>
    <row r="36" spans="2:14" s="31" customFormat="1" x14ac:dyDescent="0.2">
      <c r="B36" s="1110" t="str">
        <f>+'SEC -RLP1 '!B72</f>
        <v xml:space="preserve">         SUSCRIPCIONES Y CUOTAS</v>
      </c>
      <c r="C36" s="1111"/>
      <c r="D36" s="882">
        <f>+'SEC -RLP1 '!P72</f>
        <v>448.75</v>
      </c>
      <c r="E36" s="877" t="s">
        <v>27</v>
      </c>
      <c r="F36" s="882">
        <f t="shared" si="3"/>
        <v>28.643617021276594</v>
      </c>
      <c r="G36" s="877" t="s">
        <v>378</v>
      </c>
      <c r="H36" s="880" t="s">
        <v>54</v>
      </c>
      <c r="I36" s="881">
        <f t="shared" si="4"/>
        <v>28.643617021276594</v>
      </c>
    </row>
    <row r="37" spans="2:14" x14ac:dyDescent="0.2">
      <c r="B37" s="1110" t="str">
        <f>+'SEC -RLP1 '!B77</f>
        <v xml:space="preserve">         SERVICIOS PUBLICITARIOS</v>
      </c>
      <c r="C37" s="1111"/>
      <c r="D37" s="882">
        <f>+'SEC -RLP1 '!P77</f>
        <v>2973.7255555555562</v>
      </c>
      <c r="E37" s="877" t="s">
        <v>27</v>
      </c>
      <c r="F37" s="882">
        <f t="shared" si="3"/>
        <v>189.81226950354613</v>
      </c>
      <c r="G37" s="877" t="s">
        <v>378</v>
      </c>
      <c r="H37" s="880" t="s">
        <v>54</v>
      </c>
      <c r="I37" s="881">
        <f t="shared" si="4"/>
        <v>189.81226950354613</v>
      </c>
    </row>
    <row r="38" spans="2:14" ht="13.5" thickBot="1" x14ac:dyDescent="0.25">
      <c r="B38" s="1102" t="s">
        <v>69</v>
      </c>
      <c r="C38" s="1103"/>
      <c r="D38" s="901">
        <v>1536.0547777777774</v>
      </c>
      <c r="E38" s="902" t="s">
        <v>27</v>
      </c>
      <c r="F38" s="901">
        <v>87.774558730158716</v>
      </c>
      <c r="G38" s="902" t="s">
        <v>378</v>
      </c>
      <c r="H38" s="903" t="s">
        <v>54</v>
      </c>
      <c r="I38" s="904">
        <v>87.774558730158716</v>
      </c>
    </row>
    <row r="39" spans="2:14" s="31" customFormat="1" ht="13.5" thickBot="1" x14ac:dyDescent="0.25">
      <c r="B39" s="1115" t="s">
        <v>527</v>
      </c>
      <c r="C39" s="1116"/>
      <c r="D39" s="912">
        <f>+D28+D20</f>
        <v>52602.784777777779</v>
      </c>
      <c r="E39" s="448"/>
      <c r="F39" s="448">
        <f t="shared" ref="F39" si="5">+F40+F41</f>
        <v>4495.4103503546103</v>
      </c>
      <c r="G39" s="448"/>
      <c r="H39" s="448"/>
      <c r="I39" s="448">
        <f>SUM(I40:I41)</f>
        <v>4495.4103503546103</v>
      </c>
    </row>
    <row r="40" spans="2:14" x14ac:dyDescent="0.2">
      <c r="B40" s="1060" t="str">
        <f>+'SEC -RLP1 '!B82</f>
        <v xml:space="preserve">         GASTOS SA</v>
      </c>
      <c r="C40" s="1117"/>
      <c r="D40" s="905">
        <f>+'SEC -RLP1 '!P82</f>
        <v>28789.953377777783</v>
      </c>
      <c r="E40" s="906" t="s">
        <v>378</v>
      </c>
      <c r="F40" s="905">
        <f>+(D40/($F$14))</f>
        <v>1837.6565985815605</v>
      </c>
      <c r="G40" s="906" t="s">
        <v>378</v>
      </c>
      <c r="H40" s="907" t="s">
        <v>54</v>
      </c>
      <c r="I40" s="908">
        <f>IF($H40="S",F40,0)</f>
        <v>1837.6565985815605</v>
      </c>
    </row>
    <row r="41" spans="2:14" ht="13.5" thickBot="1" x14ac:dyDescent="0.25">
      <c r="B41" s="1102" t="str">
        <f>+'SEC -RLP1 '!B83</f>
        <v xml:space="preserve">         GASTOS DN</v>
      </c>
      <c r="C41" s="1103"/>
      <c r="D41" s="901">
        <f>+'SEC -RLP1 '!P83</f>
        <v>41638.142111111112</v>
      </c>
      <c r="E41" s="902" t="s">
        <v>378</v>
      </c>
      <c r="F41" s="905">
        <f>+(D41/($F$14))</f>
        <v>2657.7537517730493</v>
      </c>
      <c r="G41" s="902" t="s">
        <v>378</v>
      </c>
      <c r="H41" s="903" t="s">
        <v>54</v>
      </c>
      <c r="I41" s="904">
        <f>IF($H41="S",F41,0)</f>
        <v>2657.7537517730493</v>
      </c>
    </row>
    <row r="42" spans="2:14" s="31" customFormat="1" ht="13.5" thickBot="1" x14ac:dyDescent="0.25">
      <c r="B42" s="1115" t="s">
        <v>537</v>
      </c>
      <c r="C42" s="1116"/>
      <c r="D42" s="448"/>
      <c r="E42" s="448"/>
      <c r="F42" s="448"/>
      <c r="G42" s="448"/>
      <c r="H42" s="448"/>
      <c r="I42" s="448">
        <f>SUM(I43:I60)</f>
        <v>3220</v>
      </c>
    </row>
    <row r="43" spans="2:14" s="31" customFormat="1" x14ac:dyDescent="0.2">
      <c r="B43" s="1128" t="str">
        <f>+'SEC -RLP1 '!B48</f>
        <v xml:space="preserve">         HONORARIOS DOCENTES</v>
      </c>
      <c r="C43" s="1129"/>
      <c r="D43" s="909"/>
      <c r="E43" s="909"/>
      <c r="F43" s="909"/>
      <c r="G43" s="909"/>
      <c r="H43" s="910"/>
      <c r="I43" s="911"/>
      <c r="M43" s="934"/>
      <c r="N43" s="935"/>
    </row>
    <row r="44" spans="2:14" x14ac:dyDescent="0.2">
      <c r="B44" s="1066" t="s">
        <v>556</v>
      </c>
      <c r="C44" s="1109"/>
      <c r="D44" s="624">
        <v>126</v>
      </c>
      <c r="E44" s="877" t="s">
        <v>564</v>
      </c>
      <c r="F44" s="882">
        <v>20</v>
      </c>
      <c r="G44" s="877" t="s">
        <v>56</v>
      </c>
      <c r="H44" s="880" t="s">
        <v>54</v>
      </c>
      <c r="I44" s="881">
        <f>IF($H44="S",(D44*F44),0)</f>
        <v>2520</v>
      </c>
      <c r="M44" s="242"/>
    </row>
    <row r="45" spans="2:14" x14ac:dyDescent="0.2">
      <c r="B45" s="1066" t="s">
        <v>557</v>
      </c>
      <c r="C45" s="1109"/>
      <c r="D45" s="635">
        <v>110</v>
      </c>
      <c r="E45" s="877" t="s">
        <v>564</v>
      </c>
      <c r="F45" s="882">
        <v>21</v>
      </c>
      <c r="G45" s="877" t="s">
        <v>56</v>
      </c>
      <c r="H45" s="883" t="s">
        <v>57</v>
      </c>
      <c r="I45" s="881">
        <f t="shared" ref="I45:I47" si="6">IF($H45="S",(D45*F45),0)</f>
        <v>0</v>
      </c>
      <c r="M45" s="242"/>
    </row>
    <row r="46" spans="2:14" x14ac:dyDescent="0.2">
      <c r="B46" s="1066" t="s">
        <v>558</v>
      </c>
      <c r="C46" s="1109"/>
      <c r="D46" s="635">
        <v>100</v>
      </c>
      <c r="E46" s="877" t="s">
        <v>564</v>
      </c>
      <c r="F46" s="882">
        <v>22</v>
      </c>
      <c r="G46" s="877" t="s">
        <v>56</v>
      </c>
      <c r="H46" s="883" t="s">
        <v>57</v>
      </c>
      <c r="I46" s="881">
        <f t="shared" si="6"/>
        <v>0</v>
      </c>
    </row>
    <row r="47" spans="2:14" x14ac:dyDescent="0.2">
      <c r="B47" s="1066" t="s">
        <v>559</v>
      </c>
      <c r="C47" s="1109"/>
      <c r="D47" s="635">
        <v>160</v>
      </c>
      <c r="E47" s="877" t="s">
        <v>564</v>
      </c>
      <c r="F47" s="882">
        <v>23</v>
      </c>
      <c r="G47" s="877" t="s">
        <v>56</v>
      </c>
      <c r="H47" s="883" t="s">
        <v>57</v>
      </c>
      <c r="I47" s="881">
        <f t="shared" si="6"/>
        <v>0</v>
      </c>
    </row>
    <row r="48" spans="2:14" s="31" customFormat="1" x14ac:dyDescent="0.2">
      <c r="B48" s="1106" t="str">
        <f>+'SEC -RLP1 '!B53</f>
        <v xml:space="preserve">         SERVICIOS EXTERNOS  </v>
      </c>
      <c r="C48" s="1107"/>
      <c r="D48" s="873"/>
      <c r="E48" s="873"/>
      <c r="F48" s="873"/>
      <c r="G48" s="873"/>
      <c r="H48" s="936" t="s">
        <v>54</v>
      </c>
      <c r="I48" s="875"/>
    </row>
    <row r="49" spans="2:9" s="31" customFormat="1" x14ac:dyDescent="0.2">
      <c r="B49" s="1066" t="s">
        <v>530</v>
      </c>
      <c r="C49" s="1108"/>
      <c r="D49" s="882"/>
      <c r="E49" s="877"/>
      <c r="F49" s="882">
        <v>400</v>
      </c>
      <c r="G49" s="877"/>
      <c r="H49" s="880" t="s">
        <v>54</v>
      </c>
      <c r="I49" s="881">
        <f>IF($H49="S",F49,0)</f>
        <v>400</v>
      </c>
    </row>
    <row r="50" spans="2:9" ht="12" customHeight="1" x14ac:dyDescent="0.2">
      <c r="B50" s="1112" t="s">
        <v>67</v>
      </c>
      <c r="C50" s="1107"/>
      <c r="D50" s="873"/>
      <c r="E50" s="873"/>
      <c r="F50" s="873"/>
      <c r="G50" s="873"/>
      <c r="H50" s="874"/>
      <c r="I50" s="875">
        <f>IF($H50="S",#REF!,0)</f>
        <v>0</v>
      </c>
    </row>
    <row r="51" spans="2:9" x14ac:dyDescent="0.2">
      <c r="B51" s="1113" t="s">
        <v>68</v>
      </c>
      <c r="C51" s="1114"/>
      <c r="D51" s="882"/>
      <c r="E51" s="877"/>
      <c r="F51" s="882">
        <v>300</v>
      </c>
      <c r="G51" s="877" t="s">
        <v>378</v>
      </c>
      <c r="H51" s="883" t="s">
        <v>57</v>
      </c>
      <c r="I51" s="881">
        <f>IF($H51="S",F51,0)</f>
        <v>0</v>
      </c>
    </row>
    <row r="52" spans="2:9" ht="12" customHeight="1" x14ac:dyDescent="0.2">
      <c r="B52" s="1066" t="s">
        <v>560</v>
      </c>
      <c r="C52" s="1108"/>
      <c r="D52" s="882"/>
      <c r="E52" s="877"/>
      <c r="F52" s="882">
        <v>143.68</v>
      </c>
      <c r="G52" s="877" t="s">
        <v>378</v>
      </c>
      <c r="H52" s="883" t="s">
        <v>57</v>
      </c>
      <c r="I52" s="881">
        <f>IF($H52="S",F52,0)</f>
        <v>0</v>
      </c>
    </row>
    <row r="53" spans="2:9" ht="12" customHeight="1" x14ac:dyDescent="0.2">
      <c r="B53" s="1066" t="s">
        <v>561</v>
      </c>
      <c r="C53" s="1108"/>
      <c r="D53" s="882"/>
      <c r="E53" s="877"/>
      <c r="F53" s="882">
        <v>275.86</v>
      </c>
      <c r="G53" s="877" t="s">
        <v>378</v>
      </c>
      <c r="H53" s="883" t="s">
        <v>57</v>
      </c>
      <c r="I53" s="881">
        <f t="shared" ref="I53:I58" si="7">IF($H53="S",F53,0)</f>
        <v>0</v>
      </c>
    </row>
    <row r="54" spans="2:9" ht="12" customHeight="1" x14ac:dyDescent="0.2">
      <c r="B54" s="1066" t="s">
        <v>562</v>
      </c>
      <c r="C54" s="1108"/>
      <c r="D54" s="882"/>
      <c r="E54" s="877"/>
      <c r="F54" s="882">
        <f>100*6.96</f>
        <v>696</v>
      </c>
      <c r="G54" s="877" t="s">
        <v>378</v>
      </c>
      <c r="H54" s="883" t="s">
        <v>57</v>
      </c>
      <c r="I54" s="881">
        <f t="shared" si="7"/>
        <v>0</v>
      </c>
    </row>
    <row r="55" spans="2:9" x14ac:dyDescent="0.2">
      <c r="B55" s="1066" t="s">
        <v>563</v>
      </c>
      <c r="C55" s="1108"/>
      <c r="D55" s="882"/>
      <c r="E55" s="877"/>
      <c r="F55" s="882">
        <f>150*6.96</f>
        <v>1044</v>
      </c>
      <c r="G55" s="877" t="s">
        <v>378</v>
      </c>
      <c r="H55" s="883" t="s">
        <v>57</v>
      </c>
      <c r="I55" s="881">
        <f t="shared" si="7"/>
        <v>0</v>
      </c>
    </row>
    <row r="56" spans="2:9" s="31" customFormat="1" x14ac:dyDescent="0.2">
      <c r="B56" s="1106" t="str">
        <f>+'SEC -RLP1 '!B60</f>
        <v xml:space="preserve">         ALQUILER OTROS</v>
      </c>
      <c r="C56" s="1107"/>
      <c r="D56" s="873"/>
      <c r="E56" s="873"/>
      <c r="F56" s="873"/>
      <c r="G56" s="873"/>
      <c r="H56" s="874"/>
      <c r="I56" s="875"/>
    </row>
    <row r="57" spans="2:9" s="31" customFormat="1" x14ac:dyDescent="0.2">
      <c r="B57" s="1066" t="s">
        <v>534</v>
      </c>
      <c r="C57" s="1108"/>
      <c r="D57" s="882"/>
      <c r="E57" s="877"/>
      <c r="F57" s="882">
        <v>3000</v>
      </c>
      <c r="G57" s="877" t="s">
        <v>378</v>
      </c>
      <c r="H57" s="883" t="s">
        <v>57</v>
      </c>
      <c r="I57" s="881">
        <f t="shared" si="7"/>
        <v>0</v>
      </c>
    </row>
    <row r="58" spans="2:9" s="31" customFormat="1" x14ac:dyDescent="0.2">
      <c r="B58" s="1066" t="s">
        <v>535</v>
      </c>
      <c r="C58" s="1108"/>
      <c r="D58" s="882"/>
      <c r="E58" s="877"/>
      <c r="F58" s="882">
        <v>200</v>
      </c>
      <c r="G58" s="877" t="s">
        <v>378</v>
      </c>
      <c r="H58" s="883" t="s">
        <v>57</v>
      </c>
      <c r="I58" s="881">
        <f t="shared" si="7"/>
        <v>0</v>
      </c>
    </row>
    <row r="59" spans="2:9" s="31" customFormat="1" x14ac:dyDescent="0.2">
      <c r="B59" s="1112" t="s">
        <v>328</v>
      </c>
      <c r="C59" s="1107"/>
      <c r="D59" s="873"/>
      <c r="E59" s="873"/>
      <c r="F59" s="873"/>
      <c r="G59" s="873"/>
      <c r="H59" s="874"/>
      <c r="I59" s="875">
        <f>IF($H59="S",#REF!,0)</f>
        <v>0</v>
      </c>
    </row>
    <row r="60" spans="2:9" s="31" customFormat="1" ht="13.5" thickBot="1" x14ac:dyDescent="0.25">
      <c r="B60" s="1120" t="s">
        <v>531</v>
      </c>
      <c r="C60" s="1121"/>
      <c r="D60" s="901"/>
      <c r="E60" s="902"/>
      <c r="F60" s="901">
        <v>300</v>
      </c>
      <c r="G60" s="902" t="s">
        <v>378</v>
      </c>
      <c r="H60" s="903" t="s">
        <v>54</v>
      </c>
      <c r="I60" s="904">
        <f>IF($H60="S",F60,0)</f>
        <v>300</v>
      </c>
    </row>
    <row r="61" spans="2:9" s="27" customFormat="1" ht="13.5" thickBot="1" x14ac:dyDescent="0.25">
      <c r="B61" s="1104" t="s">
        <v>76</v>
      </c>
      <c r="C61" s="1105"/>
      <c r="D61" s="918"/>
      <c r="E61" s="918"/>
      <c r="F61" s="919"/>
      <c r="G61" s="918"/>
      <c r="H61" s="919"/>
      <c r="I61" s="919">
        <f>+I20+I28+I42+I39</f>
        <v>11062.763419723065</v>
      </c>
    </row>
    <row r="62" spans="2:9" x14ac:dyDescent="0.2">
      <c r="B62" s="914" t="s">
        <v>81</v>
      </c>
      <c r="C62" s="915"/>
      <c r="D62" s="916"/>
      <c r="E62" s="916"/>
      <c r="F62" s="916"/>
      <c r="G62" s="916"/>
      <c r="H62" s="916"/>
      <c r="I62" s="916"/>
    </row>
    <row r="63" spans="2:9" s="31" customFormat="1" x14ac:dyDescent="0.2">
      <c r="B63" s="1106" t="s">
        <v>324</v>
      </c>
      <c r="C63" s="1107"/>
      <c r="D63" s="873"/>
      <c r="E63" s="873"/>
      <c r="F63" s="873"/>
      <c r="G63" s="873"/>
      <c r="H63" s="874"/>
      <c r="I63" s="875"/>
    </row>
    <row r="64" spans="2:9" x14ac:dyDescent="0.2">
      <c r="B64" s="1066" t="s">
        <v>84</v>
      </c>
      <c r="C64" s="1108"/>
      <c r="D64" s="876"/>
      <c r="E64" s="878"/>
      <c r="F64" s="879">
        <v>10</v>
      </c>
      <c r="G64" s="877" t="s">
        <v>378</v>
      </c>
      <c r="H64" s="883" t="s">
        <v>57</v>
      </c>
      <c r="I64" s="881">
        <f>IF($H64="S",#REF!,0)</f>
        <v>0</v>
      </c>
    </row>
    <row r="65" spans="1:9" s="31" customFormat="1" x14ac:dyDescent="0.2">
      <c r="B65" s="1106" t="str">
        <f>+'SEC -RLP1 '!B68</f>
        <v xml:space="preserve">         GASTOS DE IMPRENTA</v>
      </c>
      <c r="C65" s="1107"/>
      <c r="D65" s="873"/>
      <c r="E65" s="873"/>
      <c r="F65" s="873"/>
      <c r="G65" s="873"/>
      <c r="H65" s="874"/>
      <c r="I65" s="875">
        <f>IF($H65="S",#REF!,0)</f>
        <v>0</v>
      </c>
    </row>
    <row r="66" spans="1:9" x14ac:dyDescent="0.2">
      <c r="B66" s="1006" t="s">
        <v>83</v>
      </c>
      <c r="C66" s="1108"/>
      <c r="D66" s="876"/>
      <c r="E66" s="878"/>
      <c r="F66" s="879">
        <v>2</v>
      </c>
      <c r="G66" s="877" t="s">
        <v>378</v>
      </c>
      <c r="H66" s="880" t="s">
        <v>54</v>
      </c>
      <c r="I66" s="881">
        <f>IF($H66="S",F66,0)</f>
        <v>2</v>
      </c>
    </row>
    <row r="67" spans="1:9" x14ac:dyDescent="0.2">
      <c r="B67" s="1006" t="s">
        <v>86</v>
      </c>
      <c r="C67" s="1108"/>
      <c r="D67" s="876"/>
      <c r="E67" s="878"/>
      <c r="F67" s="879">
        <v>2</v>
      </c>
      <c r="G67" s="877" t="s">
        <v>378</v>
      </c>
      <c r="H67" s="880" t="s">
        <v>54</v>
      </c>
      <c r="I67" s="881">
        <f>IF($H67="S",F67,0)</f>
        <v>2</v>
      </c>
    </row>
    <row r="68" spans="1:9" s="31" customFormat="1" x14ac:dyDescent="0.2">
      <c r="B68" s="1106" t="str">
        <f>+'SEC -RLP1 '!B57</f>
        <v xml:space="preserve">         REFRIGERIOS CURSOS-COMITÉS-OTROS</v>
      </c>
      <c r="C68" s="1107"/>
      <c r="D68" s="873"/>
      <c r="E68" s="873"/>
      <c r="F68" s="873"/>
      <c r="G68" s="873"/>
      <c r="H68" s="874"/>
      <c r="I68" s="875">
        <f>IF($H68="S",#REF!,0)</f>
        <v>0</v>
      </c>
    </row>
    <row r="69" spans="1:9" s="31" customFormat="1" x14ac:dyDescent="0.2">
      <c r="B69" s="1066" t="s">
        <v>532</v>
      </c>
      <c r="C69" s="1108"/>
      <c r="D69" s="882"/>
      <c r="E69" s="882"/>
      <c r="F69" s="882">
        <v>25</v>
      </c>
      <c r="G69" s="877" t="s">
        <v>378</v>
      </c>
      <c r="H69" s="880" t="s">
        <v>54</v>
      </c>
      <c r="I69" s="881">
        <f>IF($H69="S",F69,0)</f>
        <v>25</v>
      </c>
    </row>
    <row r="70" spans="1:9" x14ac:dyDescent="0.2">
      <c r="B70" s="1106" t="s">
        <v>59</v>
      </c>
      <c r="C70" s="1107"/>
      <c r="D70" s="873"/>
      <c r="E70" s="873"/>
      <c r="F70" s="873"/>
      <c r="G70" s="873"/>
      <c r="H70" s="874"/>
      <c r="I70" s="875">
        <f>IF($H70="S",#REF!,0)</f>
        <v>0</v>
      </c>
    </row>
    <row r="71" spans="1:9" x14ac:dyDescent="0.2">
      <c r="B71" s="1006" t="s">
        <v>88</v>
      </c>
      <c r="C71" s="1108"/>
      <c r="D71" s="876"/>
      <c r="E71" s="878"/>
      <c r="F71" s="879">
        <v>3</v>
      </c>
      <c r="G71" s="877" t="s">
        <v>378</v>
      </c>
      <c r="H71" s="880" t="s">
        <v>54</v>
      </c>
      <c r="I71" s="881">
        <f>IF($H71="S",F71,0)</f>
        <v>3</v>
      </c>
    </row>
    <row r="72" spans="1:9" ht="13.5" thickBot="1" x14ac:dyDescent="0.25">
      <c r="B72" s="1120" t="s">
        <v>555</v>
      </c>
      <c r="C72" s="1121"/>
      <c r="D72" s="921"/>
      <c r="E72" s="922"/>
      <c r="F72" s="923">
        <v>2</v>
      </c>
      <c r="G72" s="902" t="s">
        <v>378</v>
      </c>
      <c r="H72" s="913" t="s">
        <v>57</v>
      </c>
      <c r="I72" s="904">
        <f>IF($H72="S",#REF!,0)</f>
        <v>0</v>
      </c>
    </row>
    <row r="73" spans="1:9" s="27" customFormat="1" ht="13.5" thickBot="1" x14ac:dyDescent="0.25">
      <c r="B73" s="1104" t="s">
        <v>533</v>
      </c>
      <c r="C73" s="1105"/>
      <c r="D73" s="918"/>
      <c r="E73" s="918"/>
      <c r="F73" s="919"/>
      <c r="G73" s="918"/>
      <c r="H73" s="919"/>
      <c r="I73" s="919">
        <f>SUM(I63:I72)</f>
        <v>32</v>
      </c>
    </row>
    <row r="74" spans="1:9" s="27" customFormat="1" ht="13.5" thickBot="1" x14ac:dyDescent="0.25">
      <c r="B74" s="1122" t="s">
        <v>45</v>
      </c>
      <c r="C74" s="1123"/>
      <c r="D74" s="924"/>
      <c r="E74" s="924"/>
      <c r="F74" s="924"/>
      <c r="G74" s="924"/>
      <c r="H74" s="924"/>
      <c r="I74" s="924">
        <f>+I61+I73</f>
        <v>11094.763419723065</v>
      </c>
    </row>
    <row r="75" spans="1:9" s="27" customFormat="1" ht="13.5" thickBot="1" x14ac:dyDescent="0.25">
      <c r="B75" s="976"/>
      <c r="C75" s="976"/>
      <c r="D75" s="977"/>
      <c r="E75" s="977"/>
      <c r="F75" s="977"/>
      <c r="G75" s="977"/>
      <c r="H75" s="977"/>
      <c r="I75" s="977"/>
    </row>
    <row r="76" spans="1:9" s="37" customFormat="1" ht="13.5" thickBot="1" x14ac:dyDescent="0.25">
      <c r="A76" s="128"/>
      <c r="C76" s="970" t="s">
        <v>108</v>
      </c>
      <c r="I76" s="969" t="s">
        <v>108</v>
      </c>
    </row>
    <row r="77" spans="1:9" s="37" customFormat="1" x14ac:dyDescent="0.2">
      <c r="A77" s="128"/>
      <c r="B77" s="979" t="s">
        <v>540</v>
      </c>
      <c r="C77" s="967">
        <f>+I61</f>
        <v>11062.763419723065</v>
      </c>
      <c r="E77" s="1146" t="s">
        <v>540</v>
      </c>
      <c r="F77" s="1147"/>
      <c r="G77" s="1147"/>
      <c r="H77" s="1147"/>
      <c r="I77" s="951">
        <f>+C77</f>
        <v>11062.763419723065</v>
      </c>
    </row>
    <row r="78" spans="1:9" s="37" customFormat="1" ht="13.5" thickBot="1" x14ac:dyDescent="0.25">
      <c r="A78" s="128"/>
      <c r="B78" s="980" t="s">
        <v>536</v>
      </c>
      <c r="C78" s="968">
        <f>+I73</f>
        <v>32</v>
      </c>
      <c r="E78" s="1142" t="s">
        <v>541</v>
      </c>
      <c r="F78" s="1143"/>
      <c r="G78" s="1143"/>
      <c r="H78" s="1143"/>
      <c r="I78" s="962">
        <f>+C78*C80</f>
        <v>864</v>
      </c>
    </row>
    <row r="79" spans="1:9" s="37" customFormat="1" ht="13.5" thickBot="1" x14ac:dyDescent="0.25">
      <c r="A79" s="128"/>
      <c r="B79" s="978"/>
      <c r="C79" s="971" t="s">
        <v>41</v>
      </c>
      <c r="E79" s="1148" t="s">
        <v>584</v>
      </c>
      <c r="F79" s="1149"/>
      <c r="G79" s="1149"/>
      <c r="H79" s="1149"/>
      <c r="I79" s="963">
        <f>SUM(I77:I78)</f>
        <v>11926.763419723065</v>
      </c>
    </row>
    <row r="80" spans="1:9" s="37" customFormat="1" ht="13.5" thickBot="1" x14ac:dyDescent="0.25">
      <c r="A80" s="128"/>
      <c r="B80" s="981" t="s">
        <v>586</v>
      </c>
      <c r="C80" s="965">
        <v>27</v>
      </c>
      <c r="E80" s="1140" t="s">
        <v>542</v>
      </c>
      <c r="F80" s="1141"/>
      <c r="G80" s="1141"/>
      <c r="H80" s="1141"/>
      <c r="I80" s="955">
        <v>0.05</v>
      </c>
    </row>
    <row r="81" spans="1:9" s="37" customFormat="1" ht="13.5" thickBot="1" x14ac:dyDescent="0.25">
      <c r="A81" s="128"/>
      <c r="B81" s="982" t="s">
        <v>538</v>
      </c>
      <c r="C81" s="966">
        <f>+C77/(522-C78)+4.639</f>
        <v>27.21606820351646</v>
      </c>
      <c r="E81" s="1142" t="s">
        <v>548</v>
      </c>
      <c r="F81" s="1143"/>
      <c r="G81" s="1143"/>
      <c r="H81" s="1143"/>
      <c r="I81" s="564">
        <f>+(I79/C80)/(1-I80)</f>
        <v>464.98103000869656</v>
      </c>
    </row>
    <row r="82" spans="1:9" s="37" customFormat="1" ht="13.5" thickBot="1" x14ac:dyDescent="0.25">
      <c r="A82" s="128"/>
      <c r="E82" s="1144" t="s">
        <v>589</v>
      </c>
      <c r="F82" s="1145"/>
      <c r="G82" s="1145"/>
      <c r="H82" s="1145"/>
      <c r="I82" s="985">
        <f>+I81/(1-0.16)</f>
        <v>553.54884524844829</v>
      </c>
    </row>
    <row r="83" spans="1:9" s="37" customFormat="1" ht="13.5" thickBot="1" x14ac:dyDescent="0.25">
      <c r="A83" s="128"/>
      <c r="B83" s="83"/>
      <c r="C83" s="134"/>
      <c r="D83" s="135"/>
      <c r="E83" s="1130" t="s">
        <v>590</v>
      </c>
      <c r="F83" s="1131"/>
      <c r="G83" s="1131"/>
      <c r="H83" s="1131"/>
      <c r="I83" s="983">
        <v>522</v>
      </c>
    </row>
    <row r="84" spans="1:9" s="27" customFormat="1" ht="13.5" thickBot="1" x14ac:dyDescent="0.25">
      <c r="A84" s="441"/>
      <c r="B84" s="28"/>
      <c r="C84" s="134"/>
      <c r="D84" s="135"/>
      <c r="E84" s="984"/>
      <c r="F84" s="984"/>
      <c r="G84" s="984"/>
      <c r="H84" s="984"/>
    </row>
    <row r="85" spans="1:9" s="37" customFormat="1" ht="13.5" thickBot="1" x14ac:dyDescent="0.25">
      <c r="A85" s="128"/>
      <c r="B85" s="83"/>
      <c r="E85" s="1132"/>
      <c r="F85" s="1132"/>
      <c r="G85" s="1132"/>
      <c r="H85" s="1132"/>
      <c r="I85" s="969" t="s">
        <v>108</v>
      </c>
    </row>
    <row r="86" spans="1:9" s="37" customFormat="1" x14ac:dyDescent="0.2">
      <c r="A86" s="128"/>
      <c r="B86" s="83"/>
      <c r="E86" s="1133" t="s">
        <v>579</v>
      </c>
      <c r="F86" s="1134"/>
      <c r="G86" s="1134"/>
      <c r="H86" s="1134"/>
      <c r="I86" s="964">
        <f>+C80*I83</f>
        <v>14094</v>
      </c>
    </row>
    <row r="87" spans="1:9" s="37" customFormat="1" ht="13.5" thickBot="1" x14ac:dyDescent="0.25">
      <c r="A87" s="128"/>
      <c r="B87" s="83"/>
      <c r="E87" s="1135" t="s">
        <v>585</v>
      </c>
      <c r="F87" s="1136"/>
      <c r="G87" s="1136"/>
      <c r="H87" s="1136"/>
      <c r="I87" s="793">
        <f>+I86*0.87</f>
        <v>12261.78</v>
      </c>
    </row>
    <row r="88" spans="1:9" s="37" customFormat="1" x14ac:dyDescent="0.2">
      <c r="A88" s="128"/>
      <c r="B88" s="83"/>
    </row>
    <row r="89" spans="1:9" x14ac:dyDescent="0.2">
      <c r="E89" s="37"/>
      <c r="F89" s="37"/>
      <c r="G89" s="1080" t="s">
        <v>100</v>
      </c>
      <c r="H89" s="1080"/>
    </row>
    <row r="90" spans="1:9" x14ac:dyDescent="0.2">
      <c r="E90" s="1081" t="str">
        <f>+E86</f>
        <v>INGRESOS BRUTOS DEL MODULO</v>
      </c>
      <c r="F90" s="1082"/>
      <c r="G90" s="888">
        <f>+I86</f>
        <v>14094</v>
      </c>
      <c r="H90" s="889">
        <v>1</v>
      </c>
    </row>
    <row r="91" spans="1:9" x14ac:dyDescent="0.2">
      <c r="E91" s="1075" t="s">
        <v>582</v>
      </c>
      <c r="F91" s="1076"/>
      <c r="G91" s="888">
        <f>-I78</f>
        <v>-864</v>
      </c>
      <c r="H91" s="889">
        <f t="shared" ref="H91:H96" si="8">+G91/$G$90</f>
        <v>-6.1302681992337162E-2</v>
      </c>
    </row>
    <row r="92" spans="1:9" ht="13.5" thickBot="1" x14ac:dyDescent="0.25">
      <c r="E92" s="1075" t="s">
        <v>583</v>
      </c>
      <c r="F92" s="1076"/>
      <c r="G92" s="892">
        <f>-I77</f>
        <v>-11062.763419723065</v>
      </c>
      <c r="H92" s="898">
        <f t="shared" si="8"/>
        <v>-0.78492716189322165</v>
      </c>
    </row>
    <row r="93" spans="1:9" x14ac:dyDescent="0.2">
      <c r="E93" s="1137" t="s">
        <v>423</v>
      </c>
      <c r="F93" s="1138"/>
      <c r="G93" s="972">
        <f>SUM(G90:G92)</f>
        <v>2167.2365802769345</v>
      </c>
      <c r="H93" s="973">
        <f t="shared" si="8"/>
        <v>0.15377015611444123</v>
      </c>
    </row>
    <row r="94" spans="1:9" x14ac:dyDescent="0.2">
      <c r="E94" s="1075" t="s">
        <v>419</v>
      </c>
      <c r="F94" s="1076"/>
      <c r="G94" s="888">
        <f>-G90*0.13</f>
        <v>-1832.22</v>
      </c>
      <c r="H94" s="889">
        <f t="shared" si="8"/>
        <v>-0.13</v>
      </c>
    </row>
    <row r="95" spans="1:9" ht="13.5" thickBot="1" x14ac:dyDescent="0.25">
      <c r="E95" s="1075" t="s">
        <v>420</v>
      </c>
      <c r="F95" s="1076"/>
      <c r="G95" s="892">
        <f>-G90*0.03</f>
        <v>-422.82</v>
      </c>
      <c r="H95" s="898">
        <f t="shared" si="8"/>
        <v>-0.03</v>
      </c>
    </row>
    <row r="96" spans="1:9" ht="13.5" thickBot="1" x14ac:dyDescent="0.25">
      <c r="E96" s="1139" t="s">
        <v>193</v>
      </c>
      <c r="F96" s="1139"/>
      <c r="G96" s="974">
        <f>SUM(G93:G95)</f>
        <v>-87.803419723065474</v>
      </c>
      <c r="H96" s="975">
        <f t="shared" si="8"/>
        <v>-6.2298438855587822E-3</v>
      </c>
    </row>
    <row r="97" spans="5:5" ht="13.5" thickTop="1" x14ac:dyDescent="0.2"/>
    <row r="98" spans="5:5" x14ac:dyDescent="0.2">
      <c r="E98"/>
    </row>
  </sheetData>
  <sheetProtection selectLockedCells="1"/>
  <mergeCells count="88">
    <mergeCell ref="B1:I2"/>
    <mergeCell ref="B3:I4"/>
    <mergeCell ref="B5:I6"/>
    <mergeCell ref="B9:B13"/>
    <mergeCell ref="C9:D9"/>
    <mergeCell ref="C10:D10"/>
    <mergeCell ref="C11:D11"/>
    <mergeCell ref="C12:D12"/>
    <mergeCell ref="C13:D13"/>
    <mergeCell ref="B24:C24"/>
    <mergeCell ref="B15:I15"/>
    <mergeCell ref="B17:C18"/>
    <mergeCell ref="D17:D18"/>
    <mergeCell ref="E17:E18"/>
    <mergeCell ref="G17:G18"/>
    <mergeCell ref="H17:I17"/>
    <mergeCell ref="B19:I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73:C73"/>
    <mergeCell ref="B61:C61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E80:H80"/>
    <mergeCell ref="E81:H81"/>
    <mergeCell ref="E82:H82"/>
    <mergeCell ref="B74:C74"/>
    <mergeCell ref="E77:H77"/>
    <mergeCell ref="E78:H78"/>
    <mergeCell ref="E79:H79"/>
    <mergeCell ref="E94:F94"/>
    <mergeCell ref="E95:F95"/>
    <mergeCell ref="E96:F96"/>
    <mergeCell ref="G89:H89"/>
    <mergeCell ref="E90:F90"/>
    <mergeCell ref="E91:F91"/>
    <mergeCell ref="E92:F92"/>
    <mergeCell ref="E83:H83"/>
    <mergeCell ref="E85:H85"/>
    <mergeCell ref="E86:H86"/>
    <mergeCell ref="E87:H87"/>
    <mergeCell ref="E93:F93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C00"/>
  </sheetPr>
  <dimension ref="A1:W109"/>
  <sheetViews>
    <sheetView topLeftCell="A16" workbookViewId="0">
      <selection activeCell="Q28" sqref="Q28"/>
    </sheetView>
  </sheetViews>
  <sheetFormatPr baseColWidth="10" defaultColWidth="10" defaultRowHeight="14.25" x14ac:dyDescent="0.2"/>
  <cols>
    <col min="1" max="1" width="9.7109375" style="171" bestFit="1" customWidth="1"/>
    <col min="2" max="2" width="40.140625" style="714" customWidth="1"/>
    <col min="3" max="14" width="10.7109375" style="171" hidden="1" customWidth="1"/>
    <col min="15" max="15" width="12.28515625" style="171" hidden="1" customWidth="1"/>
    <col min="16" max="16" width="15.42578125" style="715" customWidth="1"/>
    <col min="17" max="17" width="13" style="715" customWidth="1"/>
    <col min="18" max="19" width="10" style="715" customWidth="1"/>
    <col min="20" max="20" width="10" style="715"/>
    <col min="21" max="16384" width="10" style="171"/>
  </cols>
  <sheetData>
    <row r="1" spans="1:20" s="710" customFormat="1" ht="30" customHeight="1" x14ac:dyDescent="0.2">
      <c r="B1" s="1154" t="s">
        <v>208</v>
      </c>
      <c r="C1" s="1155"/>
      <c r="D1" s="1155"/>
      <c r="E1" s="1155"/>
      <c r="F1" s="1155"/>
      <c r="G1" s="1155"/>
      <c r="H1" s="1155"/>
      <c r="I1" s="1155"/>
      <c r="J1" s="1155"/>
      <c r="K1" s="1155"/>
      <c r="L1" s="1155"/>
      <c r="M1" s="1155"/>
      <c r="N1" s="1155"/>
      <c r="O1" s="1156"/>
      <c r="P1" s="711"/>
      <c r="Q1" s="711"/>
      <c r="R1" s="711"/>
      <c r="S1" s="711"/>
      <c r="T1" s="711"/>
    </row>
    <row r="2" spans="1:20" s="710" customFormat="1" ht="30" customHeight="1" x14ac:dyDescent="0.2">
      <c r="A2" s="712"/>
      <c r="B2" s="1157"/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58"/>
      <c r="O2" s="1159"/>
      <c r="P2" s="711"/>
      <c r="Q2" s="711"/>
      <c r="R2" s="711"/>
      <c r="S2" s="711"/>
      <c r="T2" s="711"/>
    </row>
    <row r="3" spans="1:20" x14ac:dyDescent="0.2">
      <c r="A3" s="713"/>
    </row>
    <row r="4" spans="1:20" x14ac:dyDescent="0.2">
      <c r="A4" s="716"/>
      <c r="B4" s="716"/>
      <c r="C4" s="716"/>
      <c r="D4" s="716"/>
      <c r="E4" s="716"/>
      <c r="F4" s="716"/>
      <c r="G4" s="716"/>
    </row>
    <row r="5" spans="1:20" x14ac:dyDescent="0.2">
      <c r="A5" s="713"/>
      <c r="M5" s="717" t="s">
        <v>514</v>
      </c>
      <c r="N5" s="1160">
        <v>2019</v>
      </c>
      <c r="O5" s="1161"/>
    </row>
    <row r="6" spans="1:20" x14ac:dyDescent="0.2">
      <c r="A6" s="713" t="s">
        <v>209</v>
      </c>
      <c r="B6" s="718"/>
      <c r="M6" s="717" t="s">
        <v>515</v>
      </c>
      <c r="N6" s="1162"/>
      <c r="O6" s="1163"/>
    </row>
    <row r="8" spans="1:20" ht="12.75" customHeight="1" x14ac:dyDescent="0.2">
      <c r="A8" s="1164" t="s">
        <v>210</v>
      </c>
      <c r="B8" s="1165"/>
      <c r="C8" s="1168" t="s">
        <v>516</v>
      </c>
      <c r="D8" s="1168" t="s">
        <v>212</v>
      </c>
      <c r="E8" s="1168" t="s">
        <v>213</v>
      </c>
      <c r="F8" s="1168" t="s">
        <v>214</v>
      </c>
      <c r="G8" s="1168" t="s">
        <v>215</v>
      </c>
      <c r="H8" s="1168" t="s">
        <v>216</v>
      </c>
      <c r="I8" s="1168" t="s">
        <v>517</v>
      </c>
      <c r="J8" s="1168" t="s">
        <v>218</v>
      </c>
      <c r="K8" s="1168" t="s">
        <v>518</v>
      </c>
      <c r="L8" s="1150" t="s">
        <v>519</v>
      </c>
      <c r="M8" s="1150" t="s">
        <v>520</v>
      </c>
      <c r="N8" s="1150" t="s">
        <v>222</v>
      </c>
      <c r="O8" s="1150" t="s">
        <v>152</v>
      </c>
      <c r="P8" s="1152" t="s">
        <v>377</v>
      </c>
    </row>
    <row r="9" spans="1:20" ht="15" thickBot="1" x14ac:dyDescent="0.25">
      <c r="A9" s="1166"/>
      <c r="B9" s="1167"/>
      <c r="C9" s="1169"/>
      <c r="D9" s="1169"/>
      <c r="E9" s="1169"/>
      <c r="F9" s="1169"/>
      <c r="G9" s="1169"/>
      <c r="H9" s="1169"/>
      <c r="I9" s="1169"/>
      <c r="J9" s="1169"/>
      <c r="K9" s="1169"/>
      <c r="L9" s="1151"/>
      <c r="M9" s="1151"/>
      <c r="N9" s="1151"/>
      <c r="O9" s="1151"/>
      <c r="P9" s="1153"/>
    </row>
    <row r="10" spans="1:20" s="724" customFormat="1" ht="13.5" customHeight="1" x14ac:dyDescent="0.2">
      <c r="A10" s="719" t="s">
        <v>223</v>
      </c>
      <c r="B10" s="720" t="s">
        <v>224</v>
      </c>
      <c r="C10" s="721">
        <f>C11+C24+C27</f>
        <v>67388.460000000006</v>
      </c>
      <c r="D10" s="721">
        <f t="shared" ref="D10:N10" si="0">D11+D24+D27</f>
        <v>152783.74</v>
      </c>
      <c r="E10" s="721">
        <f t="shared" si="0"/>
        <v>176787.53</v>
      </c>
      <c r="F10" s="721">
        <f t="shared" si="0"/>
        <v>252222.54</v>
      </c>
      <c r="G10" s="721">
        <f t="shared" si="0"/>
        <v>182221.29</v>
      </c>
      <c r="H10" s="721">
        <f t="shared" si="0"/>
        <v>195687.67999999999</v>
      </c>
      <c r="I10" s="721">
        <f t="shared" si="0"/>
        <v>223473.24</v>
      </c>
      <c r="J10" s="721">
        <f t="shared" si="0"/>
        <v>180592.2</v>
      </c>
      <c r="K10" s="721">
        <f t="shared" si="0"/>
        <v>185458.82</v>
      </c>
      <c r="L10" s="721">
        <f t="shared" si="0"/>
        <v>267880</v>
      </c>
      <c r="M10" s="721">
        <f t="shared" si="0"/>
        <v>161350</v>
      </c>
      <c r="N10" s="721">
        <f t="shared" si="0"/>
        <v>83500</v>
      </c>
      <c r="O10" s="721">
        <f t="shared" ref="O10:O41" si="1">SUM(C10:N10)</f>
        <v>2129345.5</v>
      </c>
      <c r="P10" s="722">
        <f t="shared" ref="P10:P41" si="2">+AVERAGE(C10:K10)</f>
        <v>179623.94444444444</v>
      </c>
      <c r="Q10" s="723"/>
      <c r="R10" s="723"/>
      <c r="S10" s="723"/>
      <c r="T10" s="723"/>
    </row>
    <row r="11" spans="1:20" s="730" customFormat="1" ht="13.5" customHeight="1" x14ac:dyDescent="0.2">
      <c r="A11" s="725" t="s">
        <v>225</v>
      </c>
      <c r="B11" s="726" t="s">
        <v>226</v>
      </c>
      <c r="C11" s="727">
        <f>C12+C17+C20+C22</f>
        <v>67388.460000000006</v>
      </c>
      <c r="D11" s="727">
        <f t="shared" ref="D11:N11" si="3">D12+D17+D20+D22</f>
        <v>152783.74</v>
      </c>
      <c r="E11" s="727">
        <f t="shared" si="3"/>
        <v>176787.53</v>
      </c>
      <c r="F11" s="727">
        <f t="shared" si="3"/>
        <v>252222.54</v>
      </c>
      <c r="G11" s="727">
        <f t="shared" si="3"/>
        <v>182221.29</v>
      </c>
      <c r="H11" s="727">
        <f t="shared" si="3"/>
        <v>195687.67999999999</v>
      </c>
      <c r="I11" s="727">
        <f t="shared" si="3"/>
        <v>223473.24</v>
      </c>
      <c r="J11" s="727">
        <f t="shared" si="3"/>
        <v>180592.2</v>
      </c>
      <c r="K11" s="727">
        <f t="shared" si="3"/>
        <v>185458.82</v>
      </c>
      <c r="L11" s="727">
        <f t="shared" si="3"/>
        <v>267880</v>
      </c>
      <c r="M11" s="727">
        <f t="shared" si="3"/>
        <v>161350</v>
      </c>
      <c r="N11" s="727">
        <f t="shared" si="3"/>
        <v>83500</v>
      </c>
      <c r="O11" s="728">
        <f t="shared" si="1"/>
        <v>2129345.5</v>
      </c>
      <c r="P11" s="729">
        <f t="shared" si="2"/>
        <v>179623.94444444444</v>
      </c>
      <c r="Q11" s="723"/>
      <c r="R11" s="723"/>
      <c r="S11" s="723"/>
      <c r="T11" s="723"/>
    </row>
    <row r="12" spans="1:20" s="730" customFormat="1" ht="13.5" customHeight="1" x14ac:dyDescent="0.2">
      <c r="A12" s="731" t="s">
        <v>227</v>
      </c>
      <c r="B12" s="732" t="s">
        <v>228</v>
      </c>
      <c r="C12" s="733">
        <f>C13+C14+C15+C16</f>
        <v>0</v>
      </c>
      <c r="D12" s="733">
        <f t="shared" ref="D12:N12" si="4">D13+D14+D15+D16</f>
        <v>0</v>
      </c>
      <c r="E12" s="733">
        <f t="shared" si="4"/>
        <v>0</v>
      </c>
      <c r="F12" s="733">
        <f t="shared" si="4"/>
        <v>0</v>
      </c>
      <c r="G12" s="733">
        <f t="shared" si="4"/>
        <v>0</v>
      </c>
      <c r="H12" s="733">
        <f t="shared" si="4"/>
        <v>0</v>
      </c>
      <c r="I12" s="733">
        <f t="shared" si="4"/>
        <v>0</v>
      </c>
      <c r="J12" s="733">
        <f t="shared" si="4"/>
        <v>0</v>
      </c>
      <c r="K12" s="733">
        <f t="shared" si="4"/>
        <v>0</v>
      </c>
      <c r="L12" s="733">
        <f t="shared" si="4"/>
        <v>0</v>
      </c>
      <c r="M12" s="733">
        <f t="shared" si="4"/>
        <v>0</v>
      </c>
      <c r="N12" s="733">
        <f t="shared" si="4"/>
        <v>0</v>
      </c>
      <c r="O12" s="728">
        <f t="shared" si="1"/>
        <v>0</v>
      </c>
      <c r="P12" s="734">
        <f t="shared" si="2"/>
        <v>0</v>
      </c>
      <c r="Q12" s="723"/>
      <c r="R12" s="723"/>
      <c r="S12" s="723"/>
      <c r="T12" s="723"/>
    </row>
    <row r="13" spans="1:20" s="740" customFormat="1" ht="13.5" customHeight="1" x14ac:dyDescent="0.2">
      <c r="A13" s="735" t="s">
        <v>229</v>
      </c>
      <c r="B13" s="736" t="s">
        <v>230</v>
      </c>
      <c r="C13" s="737">
        <v>0</v>
      </c>
      <c r="D13" s="737">
        <v>0</v>
      </c>
      <c r="E13" s="737">
        <v>0</v>
      </c>
      <c r="F13" s="737">
        <v>0</v>
      </c>
      <c r="G13" s="737">
        <v>0</v>
      </c>
      <c r="H13" s="737">
        <v>0</v>
      </c>
      <c r="I13" s="737">
        <v>0</v>
      </c>
      <c r="J13" s="737">
        <v>0</v>
      </c>
      <c r="K13" s="737">
        <v>0</v>
      </c>
      <c r="L13" s="737">
        <v>0</v>
      </c>
      <c r="M13" s="737">
        <v>0</v>
      </c>
      <c r="N13" s="737">
        <v>0</v>
      </c>
      <c r="O13" s="728">
        <f t="shared" si="1"/>
        <v>0</v>
      </c>
      <c r="P13" s="738">
        <f t="shared" si="2"/>
        <v>0</v>
      </c>
      <c r="Q13" s="723"/>
      <c r="R13" s="739"/>
      <c r="S13" s="739"/>
      <c r="T13" s="739"/>
    </row>
    <row r="14" spans="1:20" s="740" customFormat="1" ht="13.5" customHeight="1" x14ac:dyDescent="0.2">
      <c r="A14" s="735" t="s">
        <v>231</v>
      </c>
      <c r="B14" s="736" t="s">
        <v>232</v>
      </c>
      <c r="C14" s="737">
        <v>0</v>
      </c>
      <c r="D14" s="737">
        <v>0</v>
      </c>
      <c r="E14" s="737">
        <v>0</v>
      </c>
      <c r="F14" s="737">
        <v>0</v>
      </c>
      <c r="G14" s="737">
        <v>0</v>
      </c>
      <c r="H14" s="737">
        <v>0</v>
      </c>
      <c r="I14" s="737">
        <v>0</v>
      </c>
      <c r="J14" s="737">
        <v>0</v>
      </c>
      <c r="K14" s="737">
        <v>0</v>
      </c>
      <c r="L14" s="737">
        <v>0</v>
      </c>
      <c r="M14" s="737">
        <v>0</v>
      </c>
      <c r="N14" s="737">
        <v>0</v>
      </c>
      <c r="O14" s="728">
        <f t="shared" si="1"/>
        <v>0</v>
      </c>
      <c r="P14" s="738">
        <f t="shared" si="2"/>
        <v>0</v>
      </c>
      <c r="Q14" s="723"/>
      <c r="R14" s="739"/>
      <c r="S14" s="739"/>
      <c r="T14" s="739"/>
    </row>
    <row r="15" spans="1:20" s="740" customFormat="1" ht="13.5" customHeight="1" x14ac:dyDescent="0.2">
      <c r="A15" s="735" t="s">
        <v>233</v>
      </c>
      <c r="B15" s="736" t="s">
        <v>234</v>
      </c>
      <c r="C15" s="741">
        <v>0</v>
      </c>
      <c r="D15" s="741">
        <v>0</v>
      </c>
      <c r="E15" s="741">
        <v>0</v>
      </c>
      <c r="F15" s="741">
        <v>0</v>
      </c>
      <c r="G15" s="741">
        <v>0</v>
      </c>
      <c r="H15" s="741">
        <v>0</v>
      </c>
      <c r="I15" s="741">
        <v>0</v>
      </c>
      <c r="J15" s="741">
        <v>0</v>
      </c>
      <c r="K15" s="741">
        <v>0</v>
      </c>
      <c r="L15" s="741">
        <v>0</v>
      </c>
      <c r="M15" s="741">
        <v>0</v>
      </c>
      <c r="N15" s="741">
        <v>0</v>
      </c>
      <c r="O15" s="728">
        <f t="shared" si="1"/>
        <v>0</v>
      </c>
      <c r="P15" s="742">
        <f t="shared" si="2"/>
        <v>0</v>
      </c>
      <c r="Q15" s="723"/>
      <c r="R15" s="739"/>
      <c r="S15" s="739"/>
      <c r="T15" s="739"/>
    </row>
    <row r="16" spans="1:20" s="730" customFormat="1" ht="13.5" customHeight="1" x14ac:dyDescent="0.2">
      <c r="A16" s="735" t="s">
        <v>235</v>
      </c>
      <c r="B16" s="736" t="s">
        <v>236</v>
      </c>
      <c r="C16" s="737">
        <v>0</v>
      </c>
      <c r="D16" s="737">
        <v>0</v>
      </c>
      <c r="E16" s="737">
        <v>0</v>
      </c>
      <c r="F16" s="737">
        <v>0</v>
      </c>
      <c r="G16" s="737">
        <v>0</v>
      </c>
      <c r="H16" s="737">
        <v>0</v>
      </c>
      <c r="I16" s="737">
        <v>0</v>
      </c>
      <c r="J16" s="737">
        <v>0</v>
      </c>
      <c r="K16" s="737">
        <v>0</v>
      </c>
      <c r="L16" s="737">
        <v>0</v>
      </c>
      <c r="M16" s="737">
        <v>0</v>
      </c>
      <c r="N16" s="737">
        <v>0</v>
      </c>
      <c r="O16" s="728">
        <f t="shared" si="1"/>
        <v>0</v>
      </c>
      <c r="P16" s="738">
        <f t="shared" si="2"/>
        <v>0</v>
      </c>
      <c r="Q16" s="723"/>
      <c r="R16" s="723"/>
      <c r="S16" s="723"/>
      <c r="T16" s="723"/>
    </row>
    <row r="17" spans="1:20" s="730" customFormat="1" ht="13.5" customHeight="1" x14ac:dyDescent="0.2">
      <c r="A17" s="731" t="s">
        <v>237</v>
      </c>
      <c r="B17" s="732" t="s">
        <v>238</v>
      </c>
      <c r="C17" s="733">
        <f>C18+C19</f>
        <v>0</v>
      </c>
      <c r="D17" s="733">
        <f t="shared" ref="D17:N17" si="5">D18+D19</f>
        <v>0</v>
      </c>
      <c r="E17" s="733">
        <f t="shared" si="5"/>
        <v>0</v>
      </c>
      <c r="F17" s="733">
        <f t="shared" si="5"/>
        <v>0</v>
      </c>
      <c r="G17" s="733">
        <f t="shared" si="5"/>
        <v>0</v>
      </c>
      <c r="H17" s="733">
        <f t="shared" si="5"/>
        <v>0</v>
      </c>
      <c r="I17" s="733">
        <f t="shared" si="5"/>
        <v>0</v>
      </c>
      <c r="J17" s="733">
        <f t="shared" si="5"/>
        <v>0</v>
      </c>
      <c r="K17" s="733">
        <f t="shared" si="5"/>
        <v>0</v>
      </c>
      <c r="L17" s="733">
        <f t="shared" si="5"/>
        <v>0</v>
      </c>
      <c r="M17" s="733">
        <f t="shared" si="5"/>
        <v>0</v>
      </c>
      <c r="N17" s="733">
        <f t="shared" si="5"/>
        <v>0</v>
      </c>
      <c r="O17" s="728">
        <f t="shared" si="1"/>
        <v>0</v>
      </c>
      <c r="P17" s="734">
        <f t="shared" si="2"/>
        <v>0</v>
      </c>
      <c r="Q17" s="723"/>
      <c r="R17" s="723"/>
      <c r="S17" s="723"/>
      <c r="T17" s="723"/>
    </row>
    <row r="18" spans="1:20" s="730" customFormat="1" ht="13.5" customHeight="1" x14ac:dyDescent="0.2">
      <c r="A18" s="735" t="s">
        <v>239</v>
      </c>
      <c r="B18" s="736" t="s">
        <v>240</v>
      </c>
      <c r="C18" s="737">
        <v>0</v>
      </c>
      <c r="D18" s="737">
        <v>0</v>
      </c>
      <c r="E18" s="737">
        <v>0</v>
      </c>
      <c r="F18" s="737">
        <v>0</v>
      </c>
      <c r="G18" s="737">
        <v>0</v>
      </c>
      <c r="H18" s="737">
        <v>0</v>
      </c>
      <c r="I18" s="737">
        <v>0</v>
      </c>
      <c r="J18" s="737">
        <v>0</v>
      </c>
      <c r="K18" s="737">
        <v>0</v>
      </c>
      <c r="L18" s="737">
        <v>0</v>
      </c>
      <c r="M18" s="737">
        <v>0</v>
      </c>
      <c r="N18" s="737">
        <v>0</v>
      </c>
      <c r="O18" s="728">
        <f t="shared" si="1"/>
        <v>0</v>
      </c>
      <c r="P18" s="738">
        <f t="shared" si="2"/>
        <v>0</v>
      </c>
      <c r="Q18" s="723"/>
      <c r="R18" s="723"/>
      <c r="S18" s="723"/>
      <c r="T18" s="723"/>
    </row>
    <row r="19" spans="1:20" s="730" customFormat="1" ht="13.5" customHeight="1" x14ac:dyDescent="0.2">
      <c r="A19" s="735" t="s">
        <v>241</v>
      </c>
      <c r="B19" s="736" t="s">
        <v>242</v>
      </c>
      <c r="C19" s="737">
        <v>0</v>
      </c>
      <c r="D19" s="737">
        <v>0</v>
      </c>
      <c r="E19" s="737">
        <v>0</v>
      </c>
      <c r="F19" s="737">
        <v>0</v>
      </c>
      <c r="G19" s="737">
        <v>0</v>
      </c>
      <c r="H19" s="737">
        <v>0</v>
      </c>
      <c r="I19" s="737">
        <v>0</v>
      </c>
      <c r="J19" s="737">
        <v>0</v>
      </c>
      <c r="K19" s="737">
        <v>0</v>
      </c>
      <c r="L19" s="737">
        <v>0</v>
      </c>
      <c r="M19" s="737">
        <v>0</v>
      </c>
      <c r="N19" s="737">
        <v>0</v>
      </c>
      <c r="O19" s="728">
        <f t="shared" si="1"/>
        <v>0</v>
      </c>
      <c r="P19" s="738">
        <f t="shared" si="2"/>
        <v>0</v>
      </c>
      <c r="Q19" s="723"/>
      <c r="R19" s="723"/>
      <c r="S19" s="723"/>
      <c r="T19" s="723"/>
    </row>
    <row r="20" spans="1:20" s="730" customFormat="1" ht="13.5" customHeight="1" x14ac:dyDescent="0.2">
      <c r="A20" s="731" t="s">
        <v>243</v>
      </c>
      <c r="B20" s="732" t="s">
        <v>244</v>
      </c>
      <c r="C20" s="733">
        <f>C21</f>
        <v>67388.460000000006</v>
      </c>
      <c r="D20" s="733">
        <f t="shared" ref="D20:N20" si="6">D21</f>
        <v>152783.74</v>
      </c>
      <c r="E20" s="733">
        <f t="shared" si="6"/>
        <v>176787.53</v>
      </c>
      <c r="F20" s="733">
        <f t="shared" si="6"/>
        <v>252222.54</v>
      </c>
      <c r="G20" s="733">
        <f t="shared" si="6"/>
        <v>182221.29</v>
      </c>
      <c r="H20" s="733">
        <f t="shared" si="6"/>
        <v>195687.67999999999</v>
      </c>
      <c r="I20" s="733">
        <f t="shared" si="6"/>
        <v>223473.24</v>
      </c>
      <c r="J20" s="733">
        <f t="shared" si="6"/>
        <v>180592.2</v>
      </c>
      <c r="K20" s="733">
        <f t="shared" si="6"/>
        <v>185458.82</v>
      </c>
      <c r="L20" s="733">
        <f t="shared" si="6"/>
        <v>267880</v>
      </c>
      <c r="M20" s="733">
        <f t="shared" si="6"/>
        <v>161350</v>
      </c>
      <c r="N20" s="733">
        <f t="shared" si="6"/>
        <v>83500</v>
      </c>
      <c r="O20" s="728">
        <f t="shared" si="1"/>
        <v>2129345.5</v>
      </c>
      <c r="P20" s="734">
        <f t="shared" si="2"/>
        <v>179623.94444444444</v>
      </c>
      <c r="Q20" s="723"/>
      <c r="R20" s="723"/>
      <c r="S20" s="723"/>
      <c r="T20" s="723"/>
    </row>
    <row r="21" spans="1:20" s="730" customFormat="1" ht="13.5" customHeight="1" x14ac:dyDescent="0.2">
      <c r="A21" s="735" t="s">
        <v>245</v>
      </c>
      <c r="B21" s="736" t="s">
        <v>246</v>
      </c>
      <c r="C21" s="737">
        <v>67388.460000000006</v>
      </c>
      <c r="D21" s="737">
        <v>152783.74</v>
      </c>
      <c r="E21" s="737">
        <v>176787.53</v>
      </c>
      <c r="F21" s="737">
        <v>252222.54</v>
      </c>
      <c r="G21" s="737">
        <v>182221.29</v>
      </c>
      <c r="H21" s="737">
        <v>195687.67999999999</v>
      </c>
      <c r="I21" s="737">
        <v>223473.24</v>
      </c>
      <c r="J21" s="737">
        <v>180592.2</v>
      </c>
      <c r="K21" s="737">
        <v>185458.82</v>
      </c>
      <c r="L21" s="737">
        <f>255380+12500</f>
        <v>267880</v>
      </c>
      <c r="M21" s="737">
        <f>138850+22500</f>
        <v>161350</v>
      </c>
      <c r="N21" s="737">
        <f>82875+625</f>
        <v>83500</v>
      </c>
      <c r="O21" s="728">
        <f t="shared" si="1"/>
        <v>2129345.5</v>
      </c>
      <c r="P21" s="738">
        <f t="shared" si="2"/>
        <v>179623.94444444444</v>
      </c>
      <c r="Q21" s="723"/>
      <c r="R21" s="723"/>
      <c r="S21" s="723"/>
      <c r="T21" s="723"/>
    </row>
    <row r="22" spans="1:20" s="730" customFormat="1" ht="13.5" customHeight="1" x14ac:dyDescent="0.2">
      <c r="A22" s="731" t="s">
        <v>247</v>
      </c>
      <c r="B22" s="732" t="s">
        <v>248</v>
      </c>
      <c r="C22" s="733">
        <f>C23</f>
        <v>0</v>
      </c>
      <c r="D22" s="733">
        <f t="shared" ref="D22:N22" si="7">D23</f>
        <v>0</v>
      </c>
      <c r="E22" s="733">
        <f t="shared" si="7"/>
        <v>0</v>
      </c>
      <c r="F22" s="733">
        <f t="shared" si="7"/>
        <v>0</v>
      </c>
      <c r="G22" s="733">
        <f t="shared" si="7"/>
        <v>0</v>
      </c>
      <c r="H22" s="733">
        <f t="shared" si="7"/>
        <v>0</v>
      </c>
      <c r="I22" s="733">
        <f t="shared" si="7"/>
        <v>0</v>
      </c>
      <c r="J22" s="733">
        <f t="shared" si="7"/>
        <v>0</v>
      </c>
      <c r="K22" s="733">
        <f t="shared" si="7"/>
        <v>0</v>
      </c>
      <c r="L22" s="733">
        <f t="shared" si="7"/>
        <v>0</v>
      </c>
      <c r="M22" s="733">
        <f t="shared" si="7"/>
        <v>0</v>
      </c>
      <c r="N22" s="733">
        <f t="shared" si="7"/>
        <v>0</v>
      </c>
      <c r="O22" s="728">
        <f t="shared" si="1"/>
        <v>0</v>
      </c>
      <c r="P22" s="734">
        <f t="shared" si="2"/>
        <v>0</v>
      </c>
      <c r="Q22" s="723"/>
      <c r="R22" s="723"/>
      <c r="S22" s="723"/>
      <c r="T22" s="723"/>
    </row>
    <row r="23" spans="1:20" s="730" customFormat="1" ht="13.5" customHeight="1" x14ac:dyDescent="0.2">
      <c r="A23" s="735" t="s">
        <v>249</v>
      </c>
      <c r="B23" s="736" t="s">
        <v>250</v>
      </c>
      <c r="C23" s="737">
        <v>0</v>
      </c>
      <c r="D23" s="737">
        <v>0</v>
      </c>
      <c r="E23" s="737">
        <v>0</v>
      </c>
      <c r="F23" s="737">
        <v>0</v>
      </c>
      <c r="G23" s="737">
        <v>0</v>
      </c>
      <c r="H23" s="737">
        <v>0</v>
      </c>
      <c r="I23" s="737">
        <v>0</v>
      </c>
      <c r="J23" s="737">
        <v>0</v>
      </c>
      <c r="K23" s="737">
        <v>0</v>
      </c>
      <c r="L23" s="737">
        <v>0</v>
      </c>
      <c r="M23" s="737">
        <v>0</v>
      </c>
      <c r="N23" s="737">
        <v>0</v>
      </c>
      <c r="O23" s="728">
        <f t="shared" si="1"/>
        <v>0</v>
      </c>
      <c r="P23" s="738">
        <f t="shared" si="2"/>
        <v>0</v>
      </c>
      <c r="Q23" s="723"/>
      <c r="R23" s="723"/>
      <c r="S23" s="723"/>
      <c r="T23" s="723"/>
    </row>
    <row r="24" spans="1:20" s="730" customFormat="1" ht="13.5" customHeight="1" x14ac:dyDescent="0.2">
      <c r="A24" s="725" t="s">
        <v>251</v>
      </c>
      <c r="B24" s="726" t="s">
        <v>252</v>
      </c>
      <c r="C24" s="727">
        <f>C25</f>
        <v>0</v>
      </c>
      <c r="D24" s="727">
        <f t="shared" ref="D24:N25" si="8">D25</f>
        <v>0</v>
      </c>
      <c r="E24" s="727">
        <f t="shared" si="8"/>
        <v>0</v>
      </c>
      <c r="F24" s="727">
        <f t="shared" si="8"/>
        <v>0</v>
      </c>
      <c r="G24" s="727">
        <f t="shared" si="8"/>
        <v>0</v>
      </c>
      <c r="H24" s="727">
        <f t="shared" si="8"/>
        <v>0</v>
      </c>
      <c r="I24" s="727">
        <f t="shared" si="8"/>
        <v>0</v>
      </c>
      <c r="J24" s="727">
        <f t="shared" si="8"/>
        <v>0</v>
      </c>
      <c r="K24" s="727">
        <f t="shared" si="8"/>
        <v>0</v>
      </c>
      <c r="L24" s="727">
        <f t="shared" si="8"/>
        <v>0</v>
      </c>
      <c r="M24" s="727">
        <f t="shared" si="8"/>
        <v>0</v>
      </c>
      <c r="N24" s="727">
        <f t="shared" si="8"/>
        <v>0</v>
      </c>
      <c r="O24" s="728">
        <f t="shared" si="1"/>
        <v>0</v>
      </c>
      <c r="P24" s="729">
        <f t="shared" si="2"/>
        <v>0</v>
      </c>
      <c r="Q24" s="723"/>
      <c r="R24" s="723"/>
      <c r="S24" s="723"/>
      <c r="T24" s="723"/>
    </row>
    <row r="25" spans="1:20" s="730" customFormat="1" ht="13.5" customHeight="1" x14ac:dyDescent="0.2">
      <c r="A25" s="731" t="s">
        <v>253</v>
      </c>
      <c r="B25" s="732" t="s">
        <v>254</v>
      </c>
      <c r="C25" s="733">
        <f>C26</f>
        <v>0</v>
      </c>
      <c r="D25" s="733">
        <f t="shared" si="8"/>
        <v>0</v>
      </c>
      <c r="E25" s="733">
        <f t="shared" si="8"/>
        <v>0</v>
      </c>
      <c r="F25" s="733">
        <f t="shared" si="8"/>
        <v>0</v>
      </c>
      <c r="G25" s="733">
        <f t="shared" si="8"/>
        <v>0</v>
      </c>
      <c r="H25" s="733">
        <f t="shared" si="8"/>
        <v>0</v>
      </c>
      <c r="I25" s="733">
        <f t="shared" si="8"/>
        <v>0</v>
      </c>
      <c r="J25" s="733">
        <f t="shared" si="8"/>
        <v>0</v>
      </c>
      <c r="K25" s="733">
        <f t="shared" si="8"/>
        <v>0</v>
      </c>
      <c r="L25" s="733">
        <f t="shared" si="8"/>
        <v>0</v>
      </c>
      <c r="M25" s="733">
        <f t="shared" si="8"/>
        <v>0</v>
      </c>
      <c r="N25" s="733">
        <f t="shared" si="8"/>
        <v>0</v>
      </c>
      <c r="O25" s="728">
        <f t="shared" si="1"/>
        <v>0</v>
      </c>
      <c r="P25" s="734">
        <f t="shared" si="2"/>
        <v>0</v>
      </c>
      <c r="Q25" s="723"/>
      <c r="R25" s="723"/>
      <c r="S25" s="723"/>
      <c r="T25" s="723"/>
    </row>
    <row r="26" spans="1:20" s="730" customFormat="1" ht="13.5" customHeight="1" x14ac:dyDescent="0.2">
      <c r="A26" s="735" t="s">
        <v>255</v>
      </c>
      <c r="B26" s="736" t="s">
        <v>256</v>
      </c>
      <c r="C26" s="737">
        <v>0</v>
      </c>
      <c r="D26" s="737">
        <v>0</v>
      </c>
      <c r="E26" s="737">
        <v>0</v>
      </c>
      <c r="F26" s="737">
        <v>0</v>
      </c>
      <c r="G26" s="737">
        <v>0</v>
      </c>
      <c r="H26" s="737">
        <v>0</v>
      </c>
      <c r="I26" s="737">
        <v>0</v>
      </c>
      <c r="J26" s="737">
        <v>0</v>
      </c>
      <c r="K26" s="737">
        <v>0</v>
      </c>
      <c r="L26" s="737">
        <v>0</v>
      </c>
      <c r="M26" s="737">
        <v>0</v>
      </c>
      <c r="N26" s="737">
        <v>0</v>
      </c>
      <c r="O26" s="728">
        <f t="shared" si="1"/>
        <v>0</v>
      </c>
      <c r="P26" s="738">
        <f t="shared" si="2"/>
        <v>0</v>
      </c>
      <c r="Q26" s="723"/>
      <c r="R26" s="723"/>
      <c r="S26" s="723"/>
      <c r="T26" s="723"/>
    </row>
    <row r="27" spans="1:20" s="730" customFormat="1" ht="13.5" customHeight="1" x14ac:dyDescent="0.2">
      <c r="A27" s="725" t="s">
        <v>257</v>
      </c>
      <c r="B27" s="726" t="s">
        <v>258</v>
      </c>
      <c r="C27" s="727">
        <f>C28+C31</f>
        <v>0</v>
      </c>
      <c r="D27" s="727">
        <f t="shared" ref="D27:N27" si="9">D28+D31</f>
        <v>0</v>
      </c>
      <c r="E27" s="727">
        <f t="shared" si="9"/>
        <v>0</v>
      </c>
      <c r="F27" s="727">
        <f t="shared" si="9"/>
        <v>0</v>
      </c>
      <c r="G27" s="727">
        <f t="shared" si="9"/>
        <v>0</v>
      </c>
      <c r="H27" s="727">
        <f t="shared" si="9"/>
        <v>0</v>
      </c>
      <c r="I27" s="727">
        <f t="shared" si="9"/>
        <v>0</v>
      </c>
      <c r="J27" s="727">
        <f t="shared" si="9"/>
        <v>0</v>
      </c>
      <c r="K27" s="727">
        <f t="shared" si="9"/>
        <v>0</v>
      </c>
      <c r="L27" s="727">
        <f t="shared" si="9"/>
        <v>0</v>
      </c>
      <c r="M27" s="727">
        <f t="shared" si="9"/>
        <v>0</v>
      </c>
      <c r="N27" s="727">
        <f t="shared" si="9"/>
        <v>0</v>
      </c>
      <c r="O27" s="728">
        <f t="shared" si="1"/>
        <v>0</v>
      </c>
      <c r="P27" s="729">
        <f t="shared" si="2"/>
        <v>0</v>
      </c>
      <c r="Q27" s="723"/>
      <c r="R27" s="723"/>
      <c r="S27" s="723"/>
      <c r="T27" s="723"/>
    </row>
    <row r="28" spans="1:20" s="730" customFormat="1" ht="13.5" customHeight="1" x14ac:dyDescent="0.2">
      <c r="A28" s="731" t="s">
        <v>259</v>
      </c>
      <c r="B28" s="732" t="s">
        <v>260</v>
      </c>
      <c r="C28" s="733">
        <f>C29+C30</f>
        <v>0</v>
      </c>
      <c r="D28" s="733">
        <f t="shared" ref="D28:N28" si="10">D29+D30</f>
        <v>0</v>
      </c>
      <c r="E28" s="733">
        <f t="shared" si="10"/>
        <v>0</v>
      </c>
      <c r="F28" s="733">
        <f t="shared" si="10"/>
        <v>0</v>
      </c>
      <c r="G28" s="733">
        <f t="shared" si="10"/>
        <v>0</v>
      </c>
      <c r="H28" s="733">
        <f t="shared" si="10"/>
        <v>0</v>
      </c>
      <c r="I28" s="733">
        <f t="shared" si="10"/>
        <v>0</v>
      </c>
      <c r="J28" s="733">
        <f t="shared" si="10"/>
        <v>0</v>
      </c>
      <c r="K28" s="733">
        <f t="shared" si="10"/>
        <v>0</v>
      </c>
      <c r="L28" s="733">
        <f t="shared" si="10"/>
        <v>0</v>
      </c>
      <c r="M28" s="733">
        <f t="shared" si="10"/>
        <v>0</v>
      </c>
      <c r="N28" s="733">
        <f t="shared" si="10"/>
        <v>0</v>
      </c>
      <c r="O28" s="728">
        <f t="shared" si="1"/>
        <v>0</v>
      </c>
      <c r="P28" s="734">
        <f t="shared" si="2"/>
        <v>0</v>
      </c>
      <c r="Q28" s="723"/>
      <c r="R28" s="723"/>
      <c r="S28" s="723"/>
      <c r="T28" s="723"/>
    </row>
    <row r="29" spans="1:20" s="740" customFormat="1" ht="13.5" customHeight="1" x14ac:dyDescent="0.2">
      <c r="A29" s="735" t="s">
        <v>261</v>
      </c>
      <c r="B29" s="736" t="s">
        <v>262</v>
      </c>
      <c r="C29" s="737">
        <v>0</v>
      </c>
      <c r="D29" s="737">
        <v>0</v>
      </c>
      <c r="E29" s="737">
        <v>0</v>
      </c>
      <c r="F29" s="737">
        <v>0</v>
      </c>
      <c r="G29" s="737">
        <v>0</v>
      </c>
      <c r="H29" s="737">
        <v>0</v>
      </c>
      <c r="I29" s="737">
        <v>0</v>
      </c>
      <c r="J29" s="737">
        <v>0</v>
      </c>
      <c r="K29" s="737">
        <v>0</v>
      </c>
      <c r="L29" s="737">
        <v>0</v>
      </c>
      <c r="M29" s="737">
        <v>0</v>
      </c>
      <c r="N29" s="737">
        <v>0</v>
      </c>
      <c r="O29" s="728">
        <f t="shared" si="1"/>
        <v>0</v>
      </c>
      <c r="P29" s="738">
        <f t="shared" si="2"/>
        <v>0</v>
      </c>
      <c r="Q29" s="723"/>
      <c r="R29" s="739"/>
      <c r="S29" s="739"/>
      <c r="T29" s="739"/>
    </row>
    <row r="30" spans="1:20" s="730" customFormat="1" ht="13.5" customHeight="1" x14ac:dyDescent="0.2">
      <c r="A30" s="735" t="s">
        <v>263</v>
      </c>
      <c r="B30" s="736" t="s">
        <v>264</v>
      </c>
      <c r="C30" s="737">
        <v>0</v>
      </c>
      <c r="D30" s="737">
        <v>0</v>
      </c>
      <c r="E30" s="737">
        <v>0</v>
      </c>
      <c r="F30" s="737">
        <v>0</v>
      </c>
      <c r="G30" s="737">
        <v>0</v>
      </c>
      <c r="H30" s="737">
        <v>0</v>
      </c>
      <c r="I30" s="737">
        <v>0</v>
      </c>
      <c r="J30" s="737">
        <v>0</v>
      </c>
      <c r="K30" s="737">
        <v>0</v>
      </c>
      <c r="L30" s="737">
        <v>0</v>
      </c>
      <c r="M30" s="737">
        <v>0</v>
      </c>
      <c r="N30" s="737">
        <v>0</v>
      </c>
      <c r="O30" s="728">
        <f t="shared" si="1"/>
        <v>0</v>
      </c>
      <c r="P30" s="738">
        <f t="shared" si="2"/>
        <v>0</v>
      </c>
      <c r="Q30" s="723"/>
      <c r="R30" s="723"/>
      <c r="S30" s="723"/>
      <c r="T30" s="723"/>
    </row>
    <row r="31" spans="1:20" s="730" customFormat="1" ht="13.5" customHeight="1" x14ac:dyDescent="0.2">
      <c r="A31" s="731" t="s">
        <v>265</v>
      </c>
      <c r="B31" s="732" t="s">
        <v>266</v>
      </c>
      <c r="C31" s="733">
        <f>C32</f>
        <v>0</v>
      </c>
      <c r="D31" s="733">
        <f t="shared" ref="D31:N31" si="11">D32</f>
        <v>0</v>
      </c>
      <c r="E31" s="733">
        <f t="shared" si="11"/>
        <v>0</v>
      </c>
      <c r="F31" s="733">
        <f t="shared" si="11"/>
        <v>0</v>
      </c>
      <c r="G31" s="733">
        <f t="shared" si="11"/>
        <v>0</v>
      </c>
      <c r="H31" s="733">
        <f t="shared" si="11"/>
        <v>0</v>
      </c>
      <c r="I31" s="733">
        <f t="shared" si="11"/>
        <v>0</v>
      </c>
      <c r="J31" s="733">
        <f t="shared" si="11"/>
        <v>0</v>
      </c>
      <c r="K31" s="733">
        <f t="shared" si="11"/>
        <v>0</v>
      </c>
      <c r="L31" s="733">
        <f t="shared" si="11"/>
        <v>0</v>
      </c>
      <c r="M31" s="733">
        <f t="shared" si="11"/>
        <v>0</v>
      </c>
      <c r="N31" s="733">
        <f t="shared" si="11"/>
        <v>0</v>
      </c>
      <c r="O31" s="728">
        <f t="shared" si="1"/>
        <v>0</v>
      </c>
      <c r="P31" s="734">
        <f t="shared" si="2"/>
        <v>0</v>
      </c>
      <c r="Q31" s="723"/>
      <c r="R31" s="723"/>
      <c r="S31" s="723"/>
      <c r="T31" s="723"/>
    </row>
    <row r="32" spans="1:20" s="740" customFormat="1" ht="13.5" customHeight="1" x14ac:dyDescent="0.2">
      <c r="A32" s="735" t="s">
        <v>267</v>
      </c>
      <c r="B32" s="736" t="s">
        <v>256</v>
      </c>
      <c r="C32" s="737">
        <v>0</v>
      </c>
      <c r="D32" s="737">
        <v>0</v>
      </c>
      <c r="E32" s="737">
        <v>0</v>
      </c>
      <c r="F32" s="737">
        <v>0</v>
      </c>
      <c r="G32" s="737">
        <v>0</v>
      </c>
      <c r="H32" s="737">
        <v>0</v>
      </c>
      <c r="I32" s="737">
        <v>0</v>
      </c>
      <c r="J32" s="737">
        <v>0</v>
      </c>
      <c r="K32" s="737">
        <v>0</v>
      </c>
      <c r="L32" s="737">
        <v>0</v>
      </c>
      <c r="M32" s="737">
        <v>0</v>
      </c>
      <c r="N32" s="737">
        <v>0</v>
      </c>
      <c r="O32" s="728">
        <f t="shared" si="1"/>
        <v>0</v>
      </c>
      <c r="P32" s="738">
        <f t="shared" si="2"/>
        <v>0</v>
      </c>
      <c r="Q32" s="723"/>
      <c r="R32" s="739"/>
      <c r="S32" s="739"/>
      <c r="T32" s="739"/>
    </row>
    <row r="33" spans="1:23" s="724" customFormat="1" ht="13.5" customHeight="1" x14ac:dyDescent="0.2">
      <c r="A33" s="719" t="s">
        <v>268</v>
      </c>
      <c r="B33" s="720" t="s">
        <v>269</v>
      </c>
      <c r="C33" s="721">
        <f t="shared" ref="C33:M33" si="12">C34+C37+C50+C85</f>
        <v>103694.931</v>
      </c>
      <c r="D33" s="721">
        <f t="shared" si="12"/>
        <v>148859.99652758619</v>
      </c>
      <c r="E33" s="721">
        <f t="shared" si="12"/>
        <v>201281.16802413791</v>
      </c>
      <c r="F33" s="721">
        <f t="shared" si="12"/>
        <v>210703.62896551724</v>
      </c>
      <c r="G33" s="721">
        <f t="shared" si="12"/>
        <v>178624.9393586207</v>
      </c>
      <c r="H33" s="721">
        <f t="shared" si="12"/>
        <v>214033.0741344828</v>
      </c>
      <c r="I33" s="721">
        <f t="shared" si="12"/>
        <v>189691.03959310346</v>
      </c>
      <c r="J33" s="721">
        <f t="shared" si="12"/>
        <v>179002.18464137931</v>
      </c>
      <c r="K33" s="721">
        <f t="shared" si="12"/>
        <v>243988.33222413794</v>
      </c>
      <c r="L33" s="721">
        <f t="shared" si="12"/>
        <v>236899.14585096433</v>
      </c>
      <c r="M33" s="721">
        <f t="shared" si="12"/>
        <v>161088.04347510228</v>
      </c>
      <c r="N33" s="721">
        <f>N34+N37+N50+N85</f>
        <v>184301.89101648159</v>
      </c>
      <c r="O33" s="721">
        <f t="shared" si="1"/>
        <v>2252168.3748115138</v>
      </c>
      <c r="P33" s="744">
        <f t="shared" si="2"/>
        <v>185542.14382988506</v>
      </c>
      <c r="Q33" s="723"/>
      <c r="R33" s="723"/>
      <c r="S33" s="723"/>
      <c r="T33" s="723"/>
    </row>
    <row r="34" spans="1:23" s="730" customFormat="1" ht="13.5" customHeight="1" x14ac:dyDescent="0.2">
      <c r="A34" s="725" t="s">
        <v>270</v>
      </c>
      <c r="B34" s="726" t="s">
        <v>271</v>
      </c>
      <c r="C34" s="745">
        <f>C35</f>
        <v>0</v>
      </c>
      <c r="D34" s="745">
        <f t="shared" ref="D34:N35" si="13">D35</f>
        <v>0</v>
      </c>
      <c r="E34" s="745">
        <f t="shared" si="13"/>
        <v>0</v>
      </c>
      <c r="F34" s="745">
        <f t="shared" si="13"/>
        <v>0</v>
      </c>
      <c r="G34" s="745">
        <f t="shared" si="13"/>
        <v>0</v>
      </c>
      <c r="H34" s="745">
        <f t="shared" si="13"/>
        <v>0</v>
      </c>
      <c r="I34" s="745">
        <f t="shared" si="13"/>
        <v>0</v>
      </c>
      <c r="J34" s="745">
        <f t="shared" si="13"/>
        <v>0</v>
      </c>
      <c r="K34" s="745">
        <f t="shared" si="13"/>
        <v>0</v>
      </c>
      <c r="L34" s="745">
        <f t="shared" si="13"/>
        <v>0</v>
      </c>
      <c r="M34" s="745">
        <f t="shared" si="13"/>
        <v>0</v>
      </c>
      <c r="N34" s="745">
        <f>N35</f>
        <v>0</v>
      </c>
      <c r="O34" s="728">
        <f t="shared" si="1"/>
        <v>0</v>
      </c>
      <c r="P34" s="746">
        <f t="shared" si="2"/>
        <v>0</v>
      </c>
      <c r="Q34" s="723"/>
      <c r="R34" s="723"/>
      <c r="S34" s="723"/>
      <c r="T34" s="723"/>
    </row>
    <row r="35" spans="1:23" s="730" customFormat="1" ht="13.5" customHeight="1" x14ac:dyDescent="0.2">
      <c r="A35" s="731" t="s">
        <v>272</v>
      </c>
      <c r="B35" s="732" t="s">
        <v>273</v>
      </c>
      <c r="C35" s="747">
        <f>C36</f>
        <v>0</v>
      </c>
      <c r="D35" s="747">
        <f t="shared" si="13"/>
        <v>0</v>
      </c>
      <c r="E35" s="747">
        <f t="shared" si="13"/>
        <v>0</v>
      </c>
      <c r="F35" s="747">
        <f t="shared" si="13"/>
        <v>0</v>
      </c>
      <c r="G35" s="747">
        <f t="shared" si="13"/>
        <v>0</v>
      </c>
      <c r="H35" s="747">
        <f t="shared" si="13"/>
        <v>0</v>
      </c>
      <c r="I35" s="747">
        <f t="shared" si="13"/>
        <v>0</v>
      </c>
      <c r="J35" s="747">
        <f t="shared" si="13"/>
        <v>0</v>
      </c>
      <c r="K35" s="747">
        <f t="shared" si="13"/>
        <v>0</v>
      </c>
      <c r="L35" s="747">
        <f t="shared" si="13"/>
        <v>0</v>
      </c>
      <c r="M35" s="747">
        <f t="shared" si="13"/>
        <v>0</v>
      </c>
      <c r="N35" s="747">
        <f t="shared" si="13"/>
        <v>0</v>
      </c>
      <c r="O35" s="728">
        <f t="shared" si="1"/>
        <v>0</v>
      </c>
      <c r="P35" s="748">
        <f t="shared" si="2"/>
        <v>0</v>
      </c>
      <c r="Q35" s="723"/>
      <c r="R35" s="723"/>
      <c r="S35" s="723"/>
      <c r="T35" s="723"/>
    </row>
    <row r="36" spans="1:23" s="740" customFormat="1" ht="13.5" customHeight="1" x14ac:dyDescent="0.2">
      <c r="A36" s="735" t="s">
        <v>274</v>
      </c>
      <c r="B36" s="736" t="s">
        <v>275</v>
      </c>
      <c r="C36" s="743">
        <v>0</v>
      </c>
      <c r="D36" s="743">
        <v>0</v>
      </c>
      <c r="E36" s="743">
        <v>0</v>
      </c>
      <c r="F36" s="743">
        <v>0</v>
      </c>
      <c r="G36" s="743">
        <v>0</v>
      </c>
      <c r="H36" s="743">
        <v>0</v>
      </c>
      <c r="I36" s="743">
        <v>0</v>
      </c>
      <c r="J36" s="743">
        <v>0</v>
      </c>
      <c r="K36" s="743">
        <v>0</v>
      </c>
      <c r="L36" s="737">
        <v>0</v>
      </c>
      <c r="M36" s="737">
        <v>0</v>
      </c>
      <c r="N36" s="737">
        <v>0</v>
      </c>
      <c r="O36" s="728">
        <f t="shared" si="1"/>
        <v>0</v>
      </c>
      <c r="P36" s="749">
        <f t="shared" si="2"/>
        <v>0</v>
      </c>
      <c r="Q36" s="723"/>
      <c r="R36" s="739"/>
      <c r="S36" s="739"/>
      <c r="T36" s="739"/>
    </row>
    <row r="37" spans="1:23" s="730" customFormat="1" ht="13.5" customHeight="1" x14ac:dyDescent="0.2">
      <c r="A37" s="725" t="s">
        <v>276</v>
      </c>
      <c r="B37" s="726" t="s">
        <v>277</v>
      </c>
      <c r="C37" s="727">
        <f>C38+C46</f>
        <v>47699.619999999995</v>
      </c>
      <c r="D37" s="727">
        <f t="shared" ref="D37:N37" si="14">D38+D46</f>
        <v>76728.98</v>
      </c>
      <c r="E37" s="727">
        <f t="shared" si="14"/>
        <v>80148.34</v>
      </c>
      <c r="F37" s="727">
        <f t="shared" si="14"/>
        <v>97110.99</v>
      </c>
      <c r="G37" s="727">
        <f t="shared" si="14"/>
        <v>88302.91</v>
      </c>
      <c r="H37" s="727">
        <f t="shared" si="14"/>
        <v>80722.37</v>
      </c>
      <c r="I37" s="727">
        <f t="shared" si="14"/>
        <v>83887.83</v>
      </c>
      <c r="J37" s="727">
        <f t="shared" si="14"/>
        <v>82456.2</v>
      </c>
      <c r="K37" s="727">
        <f t="shared" si="14"/>
        <v>87034.16</v>
      </c>
      <c r="L37" s="727">
        <f t="shared" si="14"/>
        <v>97082.844004199986</v>
      </c>
      <c r="M37" s="727">
        <f t="shared" si="14"/>
        <v>69362.844004199986</v>
      </c>
      <c r="N37" s="727">
        <f t="shared" si="14"/>
        <v>58778.844004199993</v>
      </c>
      <c r="O37" s="728">
        <f t="shared" si="1"/>
        <v>949315.93201259978</v>
      </c>
      <c r="P37" s="729">
        <f t="shared" si="2"/>
        <v>80454.599999999991</v>
      </c>
      <c r="Q37" s="723"/>
      <c r="R37" s="723"/>
      <c r="S37" s="723"/>
      <c r="T37" s="723"/>
    </row>
    <row r="38" spans="1:23" s="740" customFormat="1" ht="13.5" customHeight="1" x14ac:dyDescent="0.2">
      <c r="A38" s="731" t="s">
        <v>276</v>
      </c>
      <c r="B38" s="732" t="s">
        <v>278</v>
      </c>
      <c r="C38" s="733">
        <f>C39+C40+C41+C42+C43+C44+C45</f>
        <v>37947.219999999994</v>
      </c>
      <c r="D38" s="733">
        <f t="shared" ref="D38:N38" si="15">D39+D40+D41+D42+D43+D44+D45</f>
        <v>39029.78</v>
      </c>
      <c r="E38" s="733">
        <f t="shared" si="15"/>
        <v>38822.899999999994</v>
      </c>
      <c r="F38" s="733">
        <f t="shared" si="15"/>
        <v>39071.19</v>
      </c>
      <c r="G38" s="733">
        <f t="shared" si="15"/>
        <v>45806.31</v>
      </c>
      <c r="H38" s="733">
        <f t="shared" si="15"/>
        <v>41288.519999999997</v>
      </c>
      <c r="I38" s="733">
        <f t="shared" si="15"/>
        <v>38868.65</v>
      </c>
      <c r="J38" s="733">
        <f t="shared" si="15"/>
        <v>39447.96</v>
      </c>
      <c r="K38" s="733">
        <f t="shared" si="15"/>
        <v>39385.89</v>
      </c>
      <c r="L38" s="733">
        <f t="shared" si="15"/>
        <v>42650.844004199993</v>
      </c>
      <c r="M38" s="733">
        <f t="shared" si="15"/>
        <v>42650.844004199993</v>
      </c>
      <c r="N38" s="733">
        <f t="shared" si="15"/>
        <v>42650.844004199993</v>
      </c>
      <c r="O38" s="728">
        <f t="shared" si="1"/>
        <v>487620.95201260009</v>
      </c>
      <c r="P38" s="734">
        <f t="shared" si="2"/>
        <v>39963.157777777786</v>
      </c>
      <c r="Q38" s="723"/>
      <c r="R38" s="739"/>
      <c r="S38" s="739"/>
      <c r="T38" s="739"/>
    </row>
    <row r="39" spans="1:23" s="740" customFormat="1" ht="13.5" customHeight="1" x14ac:dyDescent="0.2">
      <c r="A39" s="735" t="s">
        <v>279</v>
      </c>
      <c r="B39" s="736" t="s">
        <v>280</v>
      </c>
      <c r="C39" s="750">
        <v>25816.3</v>
      </c>
      <c r="D39" s="750">
        <v>26434.3</v>
      </c>
      <c r="E39" s="750">
        <v>26434.3</v>
      </c>
      <c r="F39" s="750">
        <v>26434.3</v>
      </c>
      <c r="G39" s="750">
        <v>31201.98</v>
      </c>
      <c r="H39" s="750">
        <v>28072.1</v>
      </c>
      <c r="I39" s="750">
        <v>26568.78</v>
      </c>
      <c r="J39" s="750">
        <v>26568.78</v>
      </c>
      <c r="K39" s="750">
        <v>26568.78</v>
      </c>
      <c r="L39" s="743">
        <v>26630.962599999999</v>
      </c>
      <c r="M39" s="743">
        <v>26630.962599999999</v>
      </c>
      <c r="N39" s="743">
        <v>26630.962599999999</v>
      </c>
      <c r="O39" s="728">
        <f t="shared" si="1"/>
        <v>323992.5077999999</v>
      </c>
      <c r="P39" s="751">
        <f t="shared" si="2"/>
        <v>27122.18</v>
      </c>
      <c r="Q39" s="723">
        <f>K38*5%</f>
        <v>1969.2945</v>
      </c>
      <c r="R39" s="739"/>
      <c r="S39" s="739"/>
      <c r="T39" s="739"/>
      <c r="U39" s="894"/>
      <c r="V39" s="894"/>
      <c r="W39" s="929"/>
    </row>
    <row r="40" spans="1:23" s="740" customFormat="1" ht="13.5" customHeight="1" x14ac:dyDescent="0.2">
      <c r="A40" s="752" t="s">
        <v>281</v>
      </c>
      <c r="B40" s="753" t="s">
        <v>282</v>
      </c>
      <c r="C40" s="755">
        <v>4313.8999999999996</v>
      </c>
      <c r="D40" s="755">
        <v>4417.18</v>
      </c>
      <c r="E40" s="755">
        <v>4417.17</v>
      </c>
      <c r="F40" s="755">
        <v>4417.17</v>
      </c>
      <c r="G40" s="755">
        <v>5213.8500000000004</v>
      </c>
      <c r="H40" s="755">
        <v>4690.8500000000004</v>
      </c>
      <c r="I40" s="755">
        <v>4439.6400000000003</v>
      </c>
      <c r="J40" s="755">
        <v>4439.6400000000003</v>
      </c>
      <c r="K40" s="755">
        <v>4439.6400000000003</v>
      </c>
      <c r="L40" s="754">
        <v>4450.0338504599995</v>
      </c>
      <c r="M40" s="754">
        <v>4450.0338504599995</v>
      </c>
      <c r="N40" s="754">
        <v>4450.0338504599995</v>
      </c>
      <c r="O40" s="728">
        <f t="shared" si="1"/>
        <v>54139.141551379995</v>
      </c>
      <c r="P40" s="756">
        <f t="shared" si="2"/>
        <v>4532.1155555555551</v>
      </c>
      <c r="Q40" s="723">
        <f>K38+Q39</f>
        <v>41355.184500000003</v>
      </c>
      <c r="R40" s="739"/>
      <c r="S40" s="739"/>
      <c r="T40" s="739"/>
      <c r="U40" s="894"/>
      <c r="V40" s="894"/>
    </row>
    <row r="41" spans="1:23" s="740" customFormat="1" ht="13.5" customHeight="1" x14ac:dyDescent="0.2">
      <c r="A41" s="752" t="s">
        <v>283</v>
      </c>
      <c r="B41" s="753" t="s">
        <v>284</v>
      </c>
      <c r="C41" s="755">
        <v>4301</v>
      </c>
      <c r="D41" s="755">
        <v>4403.95</v>
      </c>
      <c r="E41" s="755">
        <v>4403.95</v>
      </c>
      <c r="F41" s="755">
        <v>4403.95</v>
      </c>
      <c r="G41" s="755">
        <v>5198.24</v>
      </c>
      <c r="H41" s="755">
        <v>4676.8100000000004</v>
      </c>
      <c r="I41" s="755">
        <v>4426.3599999999997</v>
      </c>
      <c r="J41" s="755">
        <v>4426.3599999999997</v>
      </c>
      <c r="K41" s="755">
        <v>4426.3599999999997</v>
      </c>
      <c r="L41" s="754">
        <v>4436.7183691599994</v>
      </c>
      <c r="M41" s="754">
        <v>4436.7183691599994</v>
      </c>
      <c r="N41" s="754">
        <v>4436.7183691599994</v>
      </c>
      <c r="O41" s="728">
        <f t="shared" si="1"/>
        <v>53977.135107480004</v>
      </c>
      <c r="P41" s="756">
        <f t="shared" si="2"/>
        <v>4518.5533333333333</v>
      </c>
      <c r="Q41" s="723"/>
      <c r="R41" s="739"/>
      <c r="S41" s="739"/>
      <c r="T41" s="739"/>
      <c r="U41" s="894"/>
      <c r="V41" s="894"/>
    </row>
    <row r="42" spans="1:23" s="740" customFormat="1" ht="13.5" customHeight="1" x14ac:dyDescent="0.2">
      <c r="A42" s="752" t="s">
        <v>285</v>
      </c>
      <c r="B42" s="753" t="s">
        <v>286</v>
      </c>
      <c r="C42" s="755">
        <v>2150.5</v>
      </c>
      <c r="D42" s="755">
        <v>2201.9499999999998</v>
      </c>
      <c r="E42" s="755">
        <v>2201.9499999999998</v>
      </c>
      <c r="F42" s="755">
        <v>2201.98</v>
      </c>
      <c r="G42" s="755">
        <v>2599.14</v>
      </c>
      <c r="H42" s="755">
        <v>2338.41</v>
      </c>
      <c r="I42" s="755">
        <v>2213.1799999999998</v>
      </c>
      <c r="J42" s="755">
        <v>2213.1799999999998</v>
      </c>
      <c r="K42" s="755">
        <v>2213.1799999999998</v>
      </c>
      <c r="L42" s="754">
        <v>2218.3591845799997</v>
      </c>
      <c r="M42" s="754">
        <v>2218.3591845799997</v>
      </c>
      <c r="N42" s="754">
        <v>2218.3591845799997</v>
      </c>
      <c r="O42" s="728">
        <f t="shared" ref="O42:O73" si="16">SUM(C42:N42)</f>
        <v>26988.547553739998</v>
      </c>
      <c r="P42" s="756">
        <f t="shared" ref="P42:P73" si="17">+AVERAGE(C42:K42)</f>
        <v>2259.2744444444443</v>
      </c>
      <c r="Q42" s="723"/>
      <c r="R42" s="739"/>
      <c r="S42" s="739"/>
      <c r="T42" s="739"/>
      <c r="U42" s="894"/>
      <c r="V42" s="894"/>
    </row>
    <row r="43" spans="1:23" s="740" customFormat="1" ht="13.5" customHeight="1" x14ac:dyDescent="0.2">
      <c r="A43" s="735" t="s">
        <v>287</v>
      </c>
      <c r="B43" s="736" t="s">
        <v>288</v>
      </c>
      <c r="C43" s="750">
        <v>0</v>
      </c>
      <c r="D43" s="750">
        <v>0</v>
      </c>
      <c r="E43" s="750">
        <v>0</v>
      </c>
      <c r="F43" s="750">
        <v>0</v>
      </c>
      <c r="G43" s="750">
        <v>0</v>
      </c>
      <c r="H43" s="750">
        <v>0</v>
      </c>
      <c r="I43" s="750">
        <v>0</v>
      </c>
      <c r="J43" s="750">
        <v>0</v>
      </c>
      <c r="K43" s="750">
        <v>0</v>
      </c>
      <c r="L43" s="743">
        <v>0</v>
      </c>
      <c r="M43" s="743">
        <v>0</v>
      </c>
      <c r="N43" s="743">
        <v>0</v>
      </c>
      <c r="O43" s="728">
        <f t="shared" si="16"/>
        <v>0</v>
      </c>
      <c r="P43" s="751">
        <f t="shared" si="17"/>
        <v>0</v>
      </c>
      <c r="Q43" s="723"/>
      <c r="R43" s="739"/>
      <c r="S43" s="739"/>
      <c r="T43" s="739"/>
      <c r="U43" s="894"/>
      <c r="V43" s="894"/>
    </row>
    <row r="44" spans="1:23" s="740" customFormat="1" ht="13.5" customHeight="1" x14ac:dyDescent="0.2">
      <c r="A44" s="735" t="s">
        <v>289</v>
      </c>
      <c r="B44" s="736" t="s">
        <v>290</v>
      </c>
      <c r="C44" s="750">
        <v>0</v>
      </c>
      <c r="D44" s="750">
        <v>0</v>
      </c>
      <c r="E44" s="750">
        <v>0</v>
      </c>
      <c r="F44" s="750">
        <v>0</v>
      </c>
      <c r="G44" s="750">
        <v>0</v>
      </c>
      <c r="H44" s="750">
        <v>0</v>
      </c>
      <c r="I44" s="750">
        <v>0</v>
      </c>
      <c r="J44" s="750">
        <v>0</v>
      </c>
      <c r="K44" s="750">
        <v>0</v>
      </c>
      <c r="L44" s="743">
        <v>2163</v>
      </c>
      <c r="M44" s="743">
        <v>2163</v>
      </c>
      <c r="N44" s="743">
        <v>2163</v>
      </c>
      <c r="O44" s="728">
        <f t="shared" si="16"/>
        <v>6489</v>
      </c>
      <c r="P44" s="751">
        <f t="shared" si="17"/>
        <v>0</v>
      </c>
      <c r="Q44" s="723"/>
      <c r="R44" s="739"/>
      <c r="S44" s="739"/>
      <c r="T44" s="739"/>
      <c r="U44" s="894"/>
      <c r="V44" s="894"/>
    </row>
    <row r="45" spans="1:23" s="740" customFormat="1" ht="13.5" customHeight="1" x14ac:dyDescent="0.2">
      <c r="A45" s="735" t="s">
        <v>291</v>
      </c>
      <c r="B45" s="736" t="s">
        <v>292</v>
      </c>
      <c r="C45" s="750">
        <v>1365.52</v>
      </c>
      <c r="D45" s="750">
        <v>1572.4</v>
      </c>
      <c r="E45" s="750">
        <v>1365.53</v>
      </c>
      <c r="F45" s="750">
        <v>1613.79</v>
      </c>
      <c r="G45" s="750">
        <v>1593.1</v>
      </c>
      <c r="H45" s="750">
        <v>1510.35</v>
      </c>
      <c r="I45" s="750">
        <v>1220.69</v>
      </c>
      <c r="J45" s="750">
        <v>1800</v>
      </c>
      <c r="K45" s="750">
        <v>1737.93</v>
      </c>
      <c r="L45" s="743">
        <v>2751.77</v>
      </c>
      <c r="M45" s="743">
        <v>2751.77</v>
      </c>
      <c r="N45" s="743">
        <v>2751.77</v>
      </c>
      <c r="O45" s="728">
        <f t="shared" si="16"/>
        <v>22034.620000000003</v>
      </c>
      <c r="P45" s="751">
        <f t="shared" si="17"/>
        <v>1531.0344444444445</v>
      </c>
      <c r="Q45" s="723"/>
      <c r="R45" s="739"/>
      <c r="S45" s="739"/>
      <c r="T45" s="739"/>
      <c r="U45" s="894"/>
      <c r="V45" s="894"/>
    </row>
    <row r="46" spans="1:23" s="740" customFormat="1" ht="13.5" customHeight="1" x14ac:dyDescent="0.2">
      <c r="A46" s="731" t="s">
        <v>293</v>
      </c>
      <c r="B46" s="732" t="s">
        <v>294</v>
      </c>
      <c r="C46" s="733">
        <f>C47+C48+C49</f>
        <v>9752.4</v>
      </c>
      <c r="D46" s="733">
        <f t="shared" ref="D46:N46" si="18">D47+D48+D49</f>
        <v>37699.199999999997</v>
      </c>
      <c r="E46" s="733">
        <f t="shared" si="18"/>
        <v>41325.440000000002</v>
      </c>
      <c r="F46" s="733">
        <f t="shared" si="18"/>
        <v>58039.8</v>
      </c>
      <c r="G46" s="733">
        <f t="shared" si="18"/>
        <v>42496.6</v>
      </c>
      <c r="H46" s="733">
        <f t="shared" si="18"/>
        <v>39433.85</v>
      </c>
      <c r="I46" s="733">
        <f t="shared" si="18"/>
        <v>45019.18</v>
      </c>
      <c r="J46" s="733">
        <f t="shared" si="18"/>
        <v>43008.24</v>
      </c>
      <c r="K46" s="733">
        <f t="shared" si="18"/>
        <v>47648.27</v>
      </c>
      <c r="L46" s="733">
        <f t="shared" si="18"/>
        <v>54432</v>
      </c>
      <c r="M46" s="733">
        <f t="shared" si="18"/>
        <v>26712</v>
      </c>
      <c r="N46" s="733">
        <f t="shared" si="18"/>
        <v>16128</v>
      </c>
      <c r="O46" s="728">
        <f t="shared" si="16"/>
        <v>461694.98000000004</v>
      </c>
      <c r="P46" s="734">
        <f t="shared" si="17"/>
        <v>40491.442222222227</v>
      </c>
      <c r="Q46" s="723"/>
      <c r="R46" s="739"/>
      <c r="S46" s="739"/>
      <c r="T46" s="739"/>
    </row>
    <row r="47" spans="1:23" s="740" customFormat="1" ht="13.5" customHeight="1" x14ac:dyDescent="0.2">
      <c r="A47" s="735" t="s">
        <v>295</v>
      </c>
      <c r="B47" s="736" t="s">
        <v>296</v>
      </c>
      <c r="C47" s="750">
        <v>0</v>
      </c>
      <c r="D47" s="750">
        <v>0</v>
      </c>
      <c r="E47" s="750">
        <v>0</v>
      </c>
      <c r="F47" s="750">
        <v>0</v>
      </c>
      <c r="G47" s="750">
        <v>0</v>
      </c>
      <c r="H47" s="750">
        <v>0</v>
      </c>
      <c r="I47" s="750">
        <v>0</v>
      </c>
      <c r="J47" s="750">
        <v>0</v>
      </c>
      <c r="K47" s="750">
        <v>0</v>
      </c>
      <c r="L47" s="743">
        <v>0</v>
      </c>
      <c r="M47" s="743">
        <v>0</v>
      </c>
      <c r="N47" s="743">
        <v>0</v>
      </c>
      <c r="O47" s="728">
        <f t="shared" si="16"/>
        <v>0</v>
      </c>
      <c r="P47" s="751">
        <f t="shared" si="17"/>
        <v>0</v>
      </c>
      <c r="Q47" s="723"/>
      <c r="R47" s="739"/>
      <c r="S47" s="739"/>
      <c r="T47" s="739"/>
    </row>
    <row r="48" spans="1:23" s="740" customFormat="1" ht="13.5" customHeight="1" x14ac:dyDescent="0.2">
      <c r="A48" s="735" t="s">
        <v>297</v>
      </c>
      <c r="B48" s="736" t="s">
        <v>298</v>
      </c>
      <c r="C48" s="750">
        <v>9752.4</v>
      </c>
      <c r="D48" s="750">
        <v>37699.199999999997</v>
      </c>
      <c r="E48" s="750">
        <v>41325.440000000002</v>
      </c>
      <c r="F48" s="750">
        <v>58039.8</v>
      </c>
      <c r="G48" s="750">
        <v>42496.6</v>
      </c>
      <c r="H48" s="750">
        <v>39433.85</v>
      </c>
      <c r="I48" s="750">
        <v>45019.18</v>
      </c>
      <c r="J48" s="750">
        <v>43008.24</v>
      </c>
      <c r="K48" s="750">
        <v>47648.27</v>
      </c>
      <c r="L48" s="743">
        <v>54432</v>
      </c>
      <c r="M48" s="743">
        <v>26712</v>
      </c>
      <c r="N48" s="743">
        <v>16128</v>
      </c>
      <c r="O48" s="728">
        <f t="shared" si="16"/>
        <v>461694.98000000004</v>
      </c>
      <c r="P48" s="751">
        <f t="shared" si="17"/>
        <v>40491.442222222227</v>
      </c>
      <c r="Q48" s="723"/>
      <c r="R48" s="739"/>
      <c r="S48" s="739"/>
      <c r="T48" s="739"/>
    </row>
    <row r="49" spans="1:20" s="740" customFormat="1" ht="13.5" customHeight="1" x14ac:dyDescent="0.2">
      <c r="A49" s="735" t="s">
        <v>299</v>
      </c>
      <c r="B49" s="736" t="s">
        <v>300</v>
      </c>
      <c r="C49" s="750">
        <v>0</v>
      </c>
      <c r="D49" s="750">
        <v>0</v>
      </c>
      <c r="E49" s="750">
        <v>0</v>
      </c>
      <c r="F49" s="750">
        <v>0</v>
      </c>
      <c r="G49" s="750">
        <v>0</v>
      </c>
      <c r="H49" s="750">
        <v>0</v>
      </c>
      <c r="I49" s="750">
        <v>0</v>
      </c>
      <c r="J49" s="750">
        <v>0</v>
      </c>
      <c r="K49" s="750">
        <v>0</v>
      </c>
      <c r="L49" s="743">
        <v>0</v>
      </c>
      <c r="M49" s="743">
        <v>0</v>
      </c>
      <c r="N49" s="743">
        <v>0</v>
      </c>
      <c r="O49" s="728">
        <f t="shared" si="16"/>
        <v>0</v>
      </c>
      <c r="P49" s="751">
        <f t="shared" si="17"/>
        <v>0</v>
      </c>
      <c r="Q49" s="723"/>
      <c r="R49" s="739"/>
      <c r="S49" s="739"/>
      <c r="T49" s="739"/>
    </row>
    <row r="50" spans="1:20" s="730" customFormat="1" ht="13.5" customHeight="1" x14ac:dyDescent="0.2">
      <c r="A50" s="757" t="s">
        <v>301</v>
      </c>
      <c r="B50" s="726" t="s">
        <v>302</v>
      </c>
      <c r="C50" s="727">
        <f>C51</f>
        <v>55995.311000000002</v>
      </c>
      <c r="D50" s="727">
        <f t="shared" ref="D50:N50" si="19">D51</f>
        <v>72131.016527586209</v>
      </c>
      <c r="E50" s="727">
        <f t="shared" si="19"/>
        <v>121132.82802413791</v>
      </c>
      <c r="F50" s="727">
        <f t="shared" si="19"/>
        <v>113592.63896551724</v>
      </c>
      <c r="G50" s="727">
        <f t="shared" si="19"/>
        <v>90322.029358620697</v>
      </c>
      <c r="H50" s="727">
        <f t="shared" si="19"/>
        <v>133310.7041344828</v>
      </c>
      <c r="I50" s="727">
        <f t="shared" si="19"/>
        <v>105803.20959310344</v>
      </c>
      <c r="J50" s="727">
        <f t="shared" si="19"/>
        <v>96545.984641379313</v>
      </c>
      <c r="K50" s="727">
        <f t="shared" si="19"/>
        <v>156954.17222413793</v>
      </c>
      <c r="L50" s="727">
        <f t="shared" si="19"/>
        <v>139816.30184676434</v>
      </c>
      <c r="M50" s="727">
        <f t="shared" si="19"/>
        <v>91725.199470902284</v>
      </c>
      <c r="N50" s="727">
        <f t="shared" si="19"/>
        <v>125523.0470122816</v>
      </c>
      <c r="O50" s="728">
        <f t="shared" si="16"/>
        <v>1302852.4427989139</v>
      </c>
      <c r="P50" s="729">
        <f t="shared" si="17"/>
        <v>105087.54382988506</v>
      </c>
      <c r="Q50" s="723"/>
      <c r="R50" s="723"/>
      <c r="S50" s="723"/>
      <c r="T50" s="723"/>
    </row>
    <row r="51" spans="1:20" s="730" customFormat="1" ht="13.5" customHeight="1" x14ac:dyDescent="0.2">
      <c r="A51" s="758" t="s">
        <v>303</v>
      </c>
      <c r="B51" s="732" t="s">
        <v>304</v>
      </c>
      <c r="C51" s="733">
        <f>SUM(C52:C84)</f>
        <v>55995.311000000002</v>
      </c>
      <c r="D51" s="733">
        <f t="shared" ref="D51:N51" si="20">SUM(D52:D84)</f>
        <v>72131.016527586209</v>
      </c>
      <c r="E51" s="733">
        <f t="shared" si="20"/>
        <v>121132.82802413791</v>
      </c>
      <c r="F51" s="733">
        <f t="shared" si="20"/>
        <v>113592.63896551724</v>
      </c>
      <c r="G51" s="733">
        <f t="shared" si="20"/>
        <v>90322.029358620697</v>
      </c>
      <c r="H51" s="733">
        <f t="shared" si="20"/>
        <v>133310.7041344828</v>
      </c>
      <c r="I51" s="733">
        <f t="shared" si="20"/>
        <v>105803.20959310344</v>
      </c>
      <c r="J51" s="733">
        <f t="shared" si="20"/>
        <v>96545.984641379313</v>
      </c>
      <c r="K51" s="733">
        <f t="shared" si="20"/>
        <v>156954.17222413793</v>
      </c>
      <c r="L51" s="733">
        <f t="shared" si="20"/>
        <v>139816.30184676434</v>
      </c>
      <c r="M51" s="733">
        <f t="shared" si="20"/>
        <v>91725.199470902284</v>
      </c>
      <c r="N51" s="733">
        <f t="shared" si="20"/>
        <v>125523.0470122816</v>
      </c>
      <c r="O51" s="728">
        <f t="shared" si="16"/>
        <v>1302852.4427989139</v>
      </c>
      <c r="P51" s="734">
        <f t="shared" si="17"/>
        <v>105087.54382988506</v>
      </c>
      <c r="Q51" s="723"/>
      <c r="R51" s="723"/>
      <c r="S51" s="723"/>
      <c r="T51" s="723"/>
    </row>
    <row r="52" spans="1:20" s="740" customFormat="1" ht="13.5" customHeight="1" x14ac:dyDescent="0.2">
      <c r="A52" s="735" t="s">
        <v>305</v>
      </c>
      <c r="B52" s="736" t="s">
        <v>59</v>
      </c>
      <c r="C52" s="750">
        <v>0</v>
      </c>
      <c r="D52" s="750">
        <v>435.09</v>
      </c>
      <c r="E52" s="750">
        <v>1498.14</v>
      </c>
      <c r="F52" s="750">
        <v>3777.98</v>
      </c>
      <c r="G52" s="750">
        <v>3915.86</v>
      </c>
      <c r="H52" s="750">
        <v>748.89</v>
      </c>
      <c r="I52" s="750">
        <v>1776.67</v>
      </c>
      <c r="J52" s="750">
        <v>4187.7299999999996</v>
      </c>
      <c r="K52" s="750">
        <v>2693.35</v>
      </c>
      <c r="L52" s="743">
        <v>2329.04</v>
      </c>
      <c r="M52" s="743">
        <v>1908.25</v>
      </c>
      <c r="N52" s="743">
        <v>2233.7199999999998</v>
      </c>
      <c r="O52" s="728">
        <f t="shared" si="16"/>
        <v>25504.720000000001</v>
      </c>
      <c r="P52" s="751">
        <f t="shared" si="17"/>
        <v>2114.8566666666666</v>
      </c>
      <c r="Q52" s="723"/>
      <c r="R52" s="739"/>
      <c r="S52" s="739"/>
      <c r="T52" s="739"/>
    </row>
    <row r="53" spans="1:20" s="740" customFormat="1" ht="13.5" customHeight="1" x14ac:dyDescent="0.2">
      <c r="A53" s="735" t="s">
        <v>306</v>
      </c>
      <c r="B53" s="736" t="s">
        <v>61</v>
      </c>
      <c r="C53" s="750">
        <v>0</v>
      </c>
      <c r="D53" s="750">
        <v>0</v>
      </c>
      <c r="E53" s="750">
        <v>0</v>
      </c>
      <c r="F53" s="750">
        <v>20055.78</v>
      </c>
      <c r="G53" s="750">
        <v>286.23</v>
      </c>
      <c r="H53" s="750">
        <v>416.83</v>
      </c>
      <c r="I53" s="750">
        <v>348</v>
      </c>
      <c r="J53" s="750">
        <v>0</v>
      </c>
      <c r="K53" s="750">
        <v>21016.7</v>
      </c>
      <c r="L53" s="743">
        <v>32000</v>
      </c>
      <c r="M53" s="743">
        <v>0</v>
      </c>
      <c r="N53" s="743">
        <v>0</v>
      </c>
      <c r="O53" s="728">
        <f t="shared" si="16"/>
        <v>74123.540000000008</v>
      </c>
      <c r="P53" s="751">
        <f t="shared" si="17"/>
        <v>4680.3933333333334</v>
      </c>
      <c r="Q53" s="723"/>
      <c r="R53" s="739"/>
      <c r="S53" s="739"/>
      <c r="T53" s="739"/>
    </row>
    <row r="54" spans="1:20" s="740" customFormat="1" ht="13.5" customHeight="1" x14ac:dyDescent="0.2">
      <c r="A54" s="735" t="s">
        <v>307</v>
      </c>
      <c r="B54" s="736" t="s">
        <v>62</v>
      </c>
      <c r="C54" s="750">
        <v>6.96</v>
      </c>
      <c r="D54" s="750">
        <v>0</v>
      </c>
      <c r="E54" s="750">
        <v>33.93</v>
      </c>
      <c r="F54" s="750">
        <v>40.89</v>
      </c>
      <c r="G54" s="750">
        <v>13.05</v>
      </c>
      <c r="H54" s="750">
        <v>76.56</v>
      </c>
      <c r="I54" s="750">
        <v>26.1</v>
      </c>
      <c r="J54" s="750">
        <v>20.010000000000002</v>
      </c>
      <c r="K54" s="750">
        <v>263.61</v>
      </c>
      <c r="L54" s="743">
        <v>200</v>
      </c>
      <c r="M54" s="743">
        <v>200</v>
      </c>
      <c r="N54" s="743">
        <v>200</v>
      </c>
      <c r="O54" s="728">
        <f t="shared" si="16"/>
        <v>1081.1100000000001</v>
      </c>
      <c r="P54" s="751">
        <f t="shared" si="17"/>
        <v>53.456666666666671</v>
      </c>
      <c r="Q54" s="723"/>
      <c r="R54" s="739"/>
      <c r="S54" s="739"/>
      <c r="T54" s="739"/>
    </row>
    <row r="55" spans="1:20" s="740" customFormat="1" ht="13.5" customHeight="1" x14ac:dyDescent="0.2">
      <c r="A55" s="735" t="s">
        <v>308</v>
      </c>
      <c r="B55" s="736" t="s">
        <v>63</v>
      </c>
      <c r="C55" s="750">
        <v>1957.41</v>
      </c>
      <c r="D55" s="750">
        <v>1954.28</v>
      </c>
      <c r="E55" s="750">
        <v>2146.34</v>
      </c>
      <c r="F55" s="750">
        <v>2611.0300000000002</v>
      </c>
      <c r="G55" s="750">
        <v>2026.9</v>
      </c>
      <c r="H55" s="750">
        <v>2238.9299999999998</v>
      </c>
      <c r="I55" s="750">
        <v>2182.65</v>
      </c>
      <c r="J55" s="750">
        <v>2643.6</v>
      </c>
      <c r="K55" s="750">
        <v>2582.61</v>
      </c>
      <c r="L55" s="743">
        <v>3057</v>
      </c>
      <c r="M55" s="743">
        <v>3057</v>
      </c>
      <c r="N55" s="743">
        <v>3057</v>
      </c>
      <c r="O55" s="728">
        <f t="shared" si="16"/>
        <v>29514.75</v>
      </c>
      <c r="P55" s="751">
        <f t="shared" si="17"/>
        <v>2260.4166666666665</v>
      </c>
      <c r="Q55" s="723"/>
      <c r="R55" s="739"/>
      <c r="S55" s="739"/>
      <c r="T55" s="739"/>
    </row>
    <row r="56" spans="1:20" s="740" customFormat="1" ht="13.5" customHeight="1" x14ac:dyDescent="0.2">
      <c r="A56" s="735" t="s">
        <v>309</v>
      </c>
      <c r="B56" s="736" t="s">
        <v>64</v>
      </c>
      <c r="C56" s="750">
        <v>626.4</v>
      </c>
      <c r="D56" s="750">
        <v>1357.75</v>
      </c>
      <c r="E56" s="750">
        <v>1357.75</v>
      </c>
      <c r="F56" s="750">
        <v>1357.75</v>
      </c>
      <c r="G56" s="750">
        <v>626.4</v>
      </c>
      <c r="H56" s="750">
        <v>626.4</v>
      </c>
      <c r="I56" s="750">
        <v>626.4</v>
      </c>
      <c r="J56" s="750">
        <v>626.4</v>
      </c>
      <c r="K56" s="750">
        <v>626.4</v>
      </c>
      <c r="L56" s="743">
        <v>1566</v>
      </c>
      <c r="M56" s="743">
        <v>1566</v>
      </c>
      <c r="N56" s="743">
        <v>1566</v>
      </c>
      <c r="O56" s="728">
        <f t="shared" si="16"/>
        <v>12529.649999999998</v>
      </c>
      <c r="P56" s="751">
        <f t="shared" si="17"/>
        <v>870.18333333333305</v>
      </c>
      <c r="Q56" s="723"/>
      <c r="R56" s="739"/>
      <c r="S56" s="739"/>
      <c r="T56" s="739"/>
    </row>
    <row r="57" spans="1:20" s="740" customFormat="1" ht="13.5" customHeight="1" x14ac:dyDescent="0.2">
      <c r="A57" s="735" t="s">
        <v>310</v>
      </c>
      <c r="B57" s="736" t="s">
        <v>311</v>
      </c>
      <c r="C57" s="750">
        <v>1635.79</v>
      </c>
      <c r="D57" s="750">
        <v>5868.07</v>
      </c>
      <c r="E57" s="750">
        <v>5931.37</v>
      </c>
      <c r="F57" s="750">
        <v>8705.31</v>
      </c>
      <c r="G57" s="750">
        <v>8262.7000000000007</v>
      </c>
      <c r="H57" s="750">
        <v>5800.8</v>
      </c>
      <c r="I57" s="750">
        <f>11027.37+165.13</f>
        <v>11192.5</v>
      </c>
      <c r="J57" s="750">
        <v>6975.98</v>
      </c>
      <c r="K57" s="750">
        <v>6404.21</v>
      </c>
      <c r="L57" s="743">
        <v>10830</v>
      </c>
      <c r="M57" s="743">
        <v>5214</v>
      </c>
      <c r="N57" s="743">
        <v>3294</v>
      </c>
      <c r="O57" s="728">
        <f t="shared" si="16"/>
        <v>80114.73000000001</v>
      </c>
      <c r="P57" s="751">
        <f t="shared" si="17"/>
        <v>6752.97</v>
      </c>
      <c r="Q57" s="723"/>
      <c r="R57" s="739"/>
      <c r="S57" s="739"/>
      <c r="T57" s="739"/>
    </row>
    <row r="58" spans="1:20" s="740" customFormat="1" ht="13.5" customHeight="1" x14ac:dyDescent="0.2">
      <c r="A58" s="735" t="s">
        <v>312</v>
      </c>
      <c r="B58" s="736" t="s">
        <v>313</v>
      </c>
      <c r="C58" s="750">
        <v>0</v>
      </c>
      <c r="D58" s="750">
        <v>0</v>
      </c>
      <c r="E58" s="750">
        <v>0</v>
      </c>
      <c r="F58" s="750">
        <v>130.5</v>
      </c>
      <c r="G58" s="750">
        <v>113.1</v>
      </c>
      <c r="H58" s="750">
        <v>0</v>
      </c>
      <c r="I58" s="750">
        <v>0</v>
      </c>
      <c r="J58" s="750">
        <v>0</v>
      </c>
      <c r="K58" s="750">
        <v>0</v>
      </c>
      <c r="L58" s="743">
        <v>0</v>
      </c>
      <c r="M58" s="743">
        <v>0</v>
      </c>
      <c r="N58" s="743">
        <v>0</v>
      </c>
      <c r="O58" s="728">
        <f t="shared" si="16"/>
        <v>243.6</v>
      </c>
      <c r="P58" s="751">
        <f t="shared" si="17"/>
        <v>27.066666666666666</v>
      </c>
      <c r="Q58" s="723"/>
      <c r="R58" s="739"/>
      <c r="S58" s="739"/>
      <c r="T58" s="739"/>
    </row>
    <row r="59" spans="1:20" s="740" customFormat="1" ht="13.5" customHeight="1" x14ac:dyDescent="0.2">
      <c r="A59" s="735" t="s">
        <v>314</v>
      </c>
      <c r="B59" s="736" t="s">
        <v>150</v>
      </c>
      <c r="C59" s="750">
        <v>0</v>
      </c>
      <c r="D59" s="750">
        <v>0</v>
      </c>
      <c r="E59" s="750">
        <v>0</v>
      </c>
      <c r="F59" s="750">
        <v>0</v>
      </c>
      <c r="G59" s="750">
        <v>0</v>
      </c>
      <c r="H59" s="750">
        <v>0</v>
      </c>
      <c r="I59" s="750">
        <v>0</v>
      </c>
      <c r="J59" s="750">
        <v>0</v>
      </c>
      <c r="K59" s="750">
        <v>0</v>
      </c>
      <c r="L59" s="743">
        <v>0</v>
      </c>
      <c r="M59" s="743">
        <v>0</v>
      </c>
      <c r="N59" s="743">
        <v>0</v>
      </c>
      <c r="O59" s="728">
        <f t="shared" si="16"/>
        <v>0</v>
      </c>
      <c r="P59" s="751">
        <f t="shared" si="17"/>
        <v>0</v>
      </c>
      <c r="Q59" s="723"/>
      <c r="R59" s="739"/>
      <c r="S59" s="739"/>
      <c r="T59" s="739"/>
    </row>
    <row r="60" spans="1:20" s="740" customFormat="1" ht="13.5" customHeight="1" x14ac:dyDescent="0.2">
      <c r="A60" s="735" t="s">
        <v>315</v>
      </c>
      <c r="B60" s="736" t="s">
        <v>65</v>
      </c>
      <c r="C60" s="750">
        <v>0</v>
      </c>
      <c r="D60" s="750">
        <v>0</v>
      </c>
      <c r="E60" s="750">
        <v>261</v>
      </c>
      <c r="F60" s="750">
        <v>0</v>
      </c>
      <c r="G60" s="750">
        <v>0</v>
      </c>
      <c r="H60" s="750">
        <v>304.5</v>
      </c>
      <c r="I60" s="750">
        <v>0</v>
      </c>
      <c r="J60" s="750">
        <v>0</v>
      </c>
      <c r="K60" s="750">
        <v>0</v>
      </c>
      <c r="L60" s="743">
        <v>0</v>
      </c>
      <c r="M60" s="743">
        <v>0</v>
      </c>
      <c r="N60" s="743">
        <v>0</v>
      </c>
      <c r="O60" s="728">
        <f t="shared" si="16"/>
        <v>565.5</v>
      </c>
      <c r="P60" s="751">
        <f t="shared" si="17"/>
        <v>62.833333333333336</v>
      </c>
      <c r="Q60" s="723"/>
      <c r="R60" s="739"/>
      <c r="S60" s="739"/>
      <c r="T60" s="739"/>
    </row>
    <row r="61" spans="1:20" s="740" customFormat="1" ht="13.5" customHeight="1" x14ac:dyDescent="0.2">
      <c r="A61" s="735" t="s">
        <v>316</v>
      </c>
      <c r="B61" s="736" t="s">
        <v>317</v>
      </c>
      <c r="C61" s="750">
        <v>0</v>
      </c>
      <c r="D61" s="750">
        <v>0</v>
      </c>
      <c r="E61" s="750">
        <v>0</v>
      </c>
      <c r="F61" s="750">
        <v>0</v>
      </c>
      <c r="G61" s="750">
        <v>0</v>
      </c>
      <c r="H61" s="750">
        <v>0</v>
      </c>
      <c r="I61" s="750">
        <v>0</v>
      </c>
      <c r="J61" s="750">
        <v>0</v>
      </c>
      <c r="K61" s="750">
        <v>0</v>
      </c>
      <c r="L61" s="743">
        <v>0</v>
      </c>
      <c r="M61" s="743">
        <v>0</v>
      </c>
      <c r="N61" s="743">
        <v>0</v>
      </c>
      <c r="O61" s="728">
        <f t="shared" si="16"/>
        <v>0</v>
      </c>
      <c r="P61" s="751">
        <f t="shared" si="17"/>
        <v>0</v>
      </c>
      <c r="Q61" s="723"/>
      <c r="R61" s="739"/>
      <c r="S61" s="739"/>
      <c r="T61" s="739"/>
    </row>
    <row r="62" spans="1:20" s="740" customFormat="1" ht="13.5" customHeight="1" x14ac:dyDescent="0.2">
      <c r="A62" s="735" t="s">
        <v>318</v>
      </c>
      <c r="B62" s="736" t="s">
        <v>151</v>
      </c>
      <c r="C62" s="750">
        <f>C10*100/87*3%-12</f>
        <v>2311.7400000000002</v>
      </c>
      <c r="D62" s="750">
        <f>CONCATENATE(D10*100)/87*3%+970.64</f>
        <v>6239.0448275862072</v>
      </c>
      <c r="E62" s="750">
        <f>CONCATENATE(E10*100)/87*3%+0.35</f>
        <v>6096.4717241379312</v>
      </c>
      <c r="F62" s="750">
        <f>F10*100/87*3%-696.79</f>
        <v>8000.5389655172412</v>
      </c>
      <c r="G62" s="750">
        <f>G10*100/87*3%-556.37</f>
        <v>5727.1227586206896</v>
      </c>
      <c r="H62" s="750">
        <f>H10*100/87*3%+169.67</f>
        <v>6917.5210344827583</v>
      </c>
      <c r="I62" s="750">
        <f>I10*100/87*3%+1776.65</f>
        <v>9482.6237931034484</v>
      </c>
      <c r="J62" s="750">
        <f>J10*100/87*3%+74.83</f>
        <v>6302.1472413793099</v>
      </c>
      <c r="K62" s="750">
        <f>K10*100/87*3%+8.98</f>
        <v>6404.1117241379297</v>
      </c>
      <c r="L62" s="743">
        <v>9237.2413793103442</v>
      </c>
      <c r="M62" s="743">
        <v>5563.7931034482763</v>
      </c>
      <c r="N62" s="743">
        <v>2879.3103448275861</v>
      </c>
      <c r="O62" s="728">
        <f t="shared" si="16"/>
        <v>75161.666896551716</v>
      </c>
      <c r="P62" s="751">
        <f t="shared" si="17"/>
        <v>6386.8135632183903</v>
      </c>
      <c r="Q62" s="723"/>
      <c r="R62" s="739"/>
      <c r="S62" s="739"/>
      <c r="T62" s="739"/>
    </row>
    <row r="63" spans="1:20" s="740" customFormat="1" ht="13.5" customHeight="1" x14ac:dyDescent="0.2">
      <c r="A63" s="735" t="s">
        <v>319</v>
      </c>
      <c r="B63" s="736" t="s">
        <v>320</v>
      </c>
      <c r="C63" s="750">
        <v>0</v>
      </c>
      <c r="D63" s="750">
        <v>0</v>
      </c>
      <c r="E63" s="750">
        <v>0</v>
      </c>
      <c r="F63" s="750">
        <v>0</v>
      </c>
      <c r="G63" s="750">
        <v>0</v>
      </c>
      <c r="H63" s="750">
        <v>0</v>
      </c>
      <c r="I63" s="750">
        <v>0</v>
      </c>
      <c r="J63" s="750">
        <v>0</v>
      </c>
      <c r="K63" s="750">
        <v>0</v>
      </c>
      <c r="L63" s="743">
        <v>0</v>
      </c>
      <c r="M63" s="743">
        <v>0</v>
      </c>
      <c r="N63" s="743">
        <v>0</v>
      </c>
      <c r="O63" s="728">
        <f t="shared" si="16"/>
        <v>0</v>
      </c>
      <c r="P63" s="751">
        <f t="shared" si="17"/>
        <v>0</v>
      </c>
      <c r="Q63" s="723"/>
      <c r="R63" s="739"/>
      <c r="S63" s="739"/>
      <c r="T63" s="739"/>
    </row>
    <row r="64" spans="1:20" s="740" customFormat="1" ht="13.5" customHeight="1" x14ac:dyDescent="0.2">
      <c r="A64" s="735" t="s">
        <v>321</v>
      </c>
      <c r="B64" s="736" t="s">
        <v>322</v>
      </c>
      <c r="C64" s="750">
        <v>0</v>
      </c>
      <c r="D64" s="750">
        <v>0</v>
      </c>
      <c r="E64" s="750">
        <v>0</v>
      </c>
      <c r="F64" s="750">
        <v>0</v>
      </c>
      <c r="G64" s="750">
        <v>0</v>
      </c>
      <c r="H64" s="750">
        <v>0</v>
      </c>
      <c r="I64" s="750">
        <v>0</v>
      </c>
      <c r="J64" s="750">
        <v>0</v>
      </c>
      <c r="K64" s="750">
        <v>0</v>
      </c>
      <c r="L64" s="743">
        <v>0</v>
      </c>
      <c r="M64" s="743">
        <v>0</v>
      </c>
      <c r="N64" s="743">
        <v>0</v>
      </c>
      <c r="O64" s="728">
        <f t="shared" si="16"/>
        <v>0</v>
      </c>
      <c r="P64" s="751">
        <f t="shared" si="17"/>
        <v>0</v>
      </c>
      <c r="Q64" s="723"/>
      <c r="R64" s="739"/>
      <c r="S64" s="739"/>
      <c r="T64" s="739"/>
    </row>
    <row r="65" spans="1:20" s="740" customFormat="1" ht="13.5" customHeight="1" x14ac:dyDescent="0.2">
      <c r="A65" s="735" t="s">
        <v>323</v>
      </c>
      <c r="B65" s="736" t="s">
        <v>324</v>
      </c>
      <c r="C65" s="750">
        <v>948.04</v>
      </c>
      <c r="D65" s="750">
        <v>4031.01</v>
      </c>
      <c r="E65" s="750">
        <v>4075.06</v>
      </c>
      <c r="F65" s="750">
        <v>4204.12</v>
      </c>
      <c r="G65" s="750">
        <v>1627.76</v>
      </c>
      <c r="H65" s="750">
        <v>2018.92</v>
      </c>
      <c r="I65" s="750">
        <v>1475.52</v>
      </c>
      <c r="J65" s="750">
        <v>2128.75</v>
      </c>
      <c r="K65" s="750">
        <v>1693.67</v>
      </c>
      <c r="L65" s="743">
        <v>4770</v>
      </c>
      <c r="M65" s="743">
        <v>2430</v>
      </c>
      <c r="N65" s="743">
        <v>1530</v>
      </c>
      <c r="O65" s="728">
        <f t="shared" si="16"/>
        <v>30932.85</v>
      </c>
      <c r="P65" s="751">
        <f t="shared" si="17"/>
        <v>2466.9833333333331</v>
      </c>
      <c r="Q65" s="723"/>
      <c r="R65" s="739"/>
      <c r="S65" s="739"/>
      <c r="T65" s="739"/>
    </row>
    <row r="66" spans="1:20" s="760" customFormat="1" ht="13.5" customHeight="1" x14ac:dyDescent="0.2">
      <c r="A66" s="735" t="s">
        <v>325</v>
      </c>
      <c r="B66" s="736" t="s">
        <v>326</v>
      </c>
      <c r="C66" s="750">
        <v>0</v>
      </c>
      <c r="D66" s="750">
        <v>289.66000000000003</v>
      </c>
      <c r="E66" s="750">
        <v>0</v>
      </c>
      <c r="F66" s="750">
        <v>351.72</v>
      </c>
      <c r="G66" s="750">
        <v>351.72</v>
      </c>
      <c r="H66" s="750">
        <v>275.86</v>
      </c>
      <c r="I66" s="750">
        <v>7536.84</v>
      </c>
      <c r="J66" s="750">
        <v>3852.19</v>
      </c>
      <c r="K66" s="750">
        <v>1259.79</v>
      </c>
      <c r="L66" s="743">
        <v>0</v>
      </c>
      <c r="M66" s="743">
        <v>0</v>
      </c>
      <c r="N66" s="743">
        <v>0</v>
      </c>
      <c r="O66" s="728">
        <f t="shared" si="16"/>
        <v>13917.779999999999</v>
      </c>
      <c r="P66" s="751">
        <f t="shared" si="17"/>
        <v>1546.4199999999998</v>
      </c>
      <c r="Q66" s="723"/>
      <c r="R66" s="759"/>
      <c r="S66" s="759"/>
      <c r="T66" s="759"/>
    </row>
    <row r="67" spans="1:20" s="740" customFormat="1" ht="13.5" customHeight="1" x14ac:dyDescent="0.2">
      <c r="A67" s="735" t="s">
        <v>327</v>
      </c>
      <c r="B67" s="736" t="s">
        <v>328</v>
      </c>
      <c r="C67" s="750">
        <v>0</v>
      </c>
      <c r="D67" s="750">
        <v>0</v>
      </c>
      <c r="E67" s="750">
        <v>0</v>
      </c>
      <c r="F67" s="750">
        <v>475.57</v>
      </c>
      <c r="G67" s="750">
        <v>0</v>
      </c>
      <c r="H67" s="750">
        <v>0</v>
      </c>
      <c r="I67" s="750">
        <v>0</v>
      </c>
      <c r="J67" s="750">
        <v>0</v>
      </c>
      <c r="K67" s="750">
        <v>0</v>
      </c>
      <c r="L67" s="743">
        <v>0</v>
      </c>
      <c r="M67" s="743">
        <v>0</v>
      </c>
      <c r="N67" s="743">
        <v>0</v>
      </c>
      <c r="O67" s="728">
        <f t="shared" si="16"/>
        <v>475.57</v>
      </c>
      <c r="P67" s="751">
        <f t="shared" si="17"/>
        <v>52.841111111111111</v>
      </c>
      <c r="Q67" s="723"/>
      <c r="R67" s="739"/>
      <c r="S67" s="739"/>
      <c r="T67" s="739"/>
    </row>
    <row r="68" spans="1:20" s="740" customFormat="1" ht="13.5" customHeight="1" x14ac:dyDescent="0.2">
      <c r="A68" s="735" t="s">
        <v>329</v>
      </c>
      <c r="B68" s="736" t="s">
        <v>330</v>
      </c>
      <c r="C68" s="750">
        <v>0</v>
      </c>
      <c r="D68" s="750">
        <v>0</v>
      </c>
      <c r="E68" s="750">
        <v>0</v>
      </c>
      <c r="F68" s="750">
        <v>0</v>
      </c>
      <c r="G68" s="750">
        <v>0</v>
      </c>
      <c r="H68" s="750">
        <v>156.6</v>
      </c>
      <c r="I68" s="750">
        <v>478.5</v>
      </c>
      <c r="J68" s="750">
        <v>0</v>
      </c>
      <c r="K68" s="750">
        <v>0</v>
      </c>
      <c r="L68" s="743">
        <v>300</v>
      </c>
      <c r="M68" s="743">
        <v>300</v>
      </c>
      <c r="N68" s="743">
        <v>300</v>
      </c>
      <c r="O68" s="728">
        <f t="shared" si="16"/>
        <v>1535.1</v>
      </c>
      <c r="P68" s="751">
        <f t="shared" si="17"/>
        <v>70.566666666666663</v>
      </c>
      <c r="Q68" s="723"/>
      <c r="R68" s="739"/>
      <c r="S68" s="739"/>
      <c r="T68" s="739"/>
    </row>
    <row r="69" spans="1:20" s="740" customFormat="1" ht="13.5" customHeight="1" x14ac:dyDescent="0.2">
      <c r="A69" s="735" t="s">
        <v>331</v>
      </c>
      <c r="B69" s="736" t="s">
        <v>70</v>
      </c>
      <c r="C69" s="750">
        <v>402.37</v>
      </c>
      <c r="D69" s="750">
        <v>1116.23</v>
      </c>
      <c r="E69" s="750">
        <v>553.04999999999995</v>
      </c>
      <c r="F69" s="750">
        <v>1303.47</v>
      </c>
      <c r="G69" s="750">
        <v>1549.61</v>
      </c>
      <c r="H69" s="750">
        <v>710.33</v>
      </c>
      <c r="I69" s="750">
        <v>931.87</v>
      </c>
      <c r="J69" s="750">
        <v>1324.75</v>
      </c>
      <c r="K69" s="750">
        <v>1496.57</v>
      </c>
      <c r="L69" s="743">
        <v>1292</v>
      </c>
      <c r="M69" s="743">
        <v>1292</v>
      </c>
      <c r="N69" s="743">
        <v>1292</v>
      </c>
      <c r="O69" s="728">
        <f t="shared" si="16"/>
        <v>13264.25</v>
      </c>
      <c r="P69" s="751">
        <f t="shared" si="17"/>
        <v>1043.1388888888889</v>
      </c>
      <c r="Q69" s="723"/>
      <c r="R69" s="739"/>
      <c r="S69" s="739"/>
      <c r="T69" s="739"/>
    </row>
    <row r="70" spans="1:20" s="740" customFormat="1" ht="13.5" customHeight="1" x14ac:dyDescent="0.2">
      <c r="A70" s="735" t="s">
        <v>332</v>
      </c>
      <c r="B70" s="736" t="s">
        <v>71</v>
      </c>
      <c r="C70" s="750">
        <v>1562.19</v>
      </c>
      <c r="D70" s="750">
        <v>1506.74</v>
      </c>
      <c r="E70" s="750">
        <v>1471.78</v>
      </c>
      <c r="F70" s="750">
        <v>1494.54</v>
      </c>
      <c r="G70" s="750">
        <v>1142.06</v>
      </c>
      <c r="H70" s="750">
        <v>1123.3900000000001</v>
      </c>
      <c r="I70" s="750">
        <v>1166.3399999999999</v>
      </c>
      <c r="J70" s="750">
        <v>1148.26</v>
      </c>
      <c r="K70" s="750">
        <v>1192.5</v>
      </c>
      <c r="L70" s="743">
        <v>1590</v>
      </c>
      <c r="M70" s="743">
        <v>1590</v>
      </c>
      <c r="N70" s="743">
        <v>1590</v>
      </c>
      <c r="O70" s="728">
        <f t="shared" si="16"/>
        <v>16577.8</v>
      </c>
      <c r="P70" s="751">
        <f t="shared" si="17"/>
        <v>1311.9777777777776</v>
      </c>
      <c r="Q70" s="723"/>
      <c r="R70" s="739"/>
      <c r="S70" s="739"/>
      <c r="T70" s="739"/>
    </row>
    <row r="71" spans="1:20" s="740" customFormat="1" ht="13.5" customHeight="1" x14ac:dyDescent="0.2">
      <c r="A71" s="735" t="s">
        <v>333</v>
      </c>
      <c r="B71" s="736" t="s">
        <v>334</v>
      </c>
      <c r="C71" s="750">
        <v>0</v>
      </c>
      <c r="D71" s="750">
        <v>0</v>
      </c>
      <c r="E71" s="750">
        <v>0</v>
      </c>
      <c r="F71" s="750">
        <v>0</v>
      </c>
      <c r="G71" s="750">
        <v>0</v>
      </c>
      <c r="H71" s="750">
        <v>0</v>
      </c>
      <c r="I71" s="750">
        <v>0</v>
      </c>
      <c r="J71" s="750">
        <v>0</v>
      </c>
      <c r="K71" s="750">
        <v>0</v>
      </c>
      <c r="L71" s="743">
        <v>0</v>
      </c>
      <c r="M71" s="743">
        <v>0</v>
      </c>
      <c r="N71" s="743">
        <v>0</v>
      </c>
      <c r="O71" s="728">
        <f t="shared" si="16"/>
        <v>0</v>
      </c>
      <c r="P71" s="751">
        <f t="shared" si="17"/>
        <v>0</v>
      </c>
      <c r="Q71" s="723"/>
      <c r="R71" s="739"/>
      <c r="S71" s="739"/>
      <c r="T71" s="739"/>
    </row>
    <row r="72" spans="1:20" s="740" customFormat="1" ht="13.5" customHeight="1" x14ac:dyDescent="0.2">
      <c r="A72" s="735" t="s">
        <v>335</v>
      </c>
      <c r="B72" s="736" t="s">
        <v>73</v>
      </c>
      <c r="C72" s="750">
        <v>0</v>
      </c>
      <c r="D72" s="750">
        <v>0</v>
      </c>
      <c r="E72" s="750">
        <v>0</v>
      </c>
      <c r="F72" s="750">
        <v>0</v>
      </c>
      <c r="G72" s="750">
        <v>807.75</v>
      </c>
      <c r="H72" s="750">
        <v>807.75</v>
      </c>
      <c r="I72" s="750">
        <v>807.75</v>
      </c>
      <c r="J72" s="750">
        <v>807.75</v>
      </c>
      <c r="K72" s="750">
        <v>807.75</v>
      </c>
      <c r="L72" s="743">
        <v>575</v>
      </c>
      <c r="M72" s="743">
        <v>575</v>
      </c>
      <c r="N72" s="743">
        <v>575</v>
      </c>
      <c r="O72" s="728">
        <f t="shared" si="16"/>
        <v>5763.75</v>
      </c>
      <c r="P72" s="751">
        <f t="shared" si="17"/>
        <v>448.75</v>
      </c>
      <c r="Q72" s="723"/>
      <c r="R72" s="739"/>
      <c r="S72" s="739"/>
      <c r="T72" s="739"/>
    </row>
    <row r="73" spans="1:20" s="740" customFormat="1" ht="13.5" customHeight="1" x14ac:dyDescent="0.2">
      <c r="A73" s="735" t="s">
        <v>336</v>
      </c>
      <c r="B73" s="736" t="s">
        <v>337</v>
      </c>
      <c r="C73" s="750">
        <v>0</v>
      </c>
      <c r="D73" s="750">
        <v>0</v>
      </c>
      <c r="E73" s="750">
        <v>0</v>
      </c>
      <c r="F73" s="750">
        <v>0</v>
      </c>
      <c r="G73" s="750">
        <v>0</v>
      </c>
      <c r="H73" s="750">
        <v>0</v>
      </c>
      <c r="I73" s="750">
        <v>0</v>
      </c>
      <c r="J73" s="750">
        <v>0</v>
      </c>
      <c r="K73" s="750">
        <v>0</v>
      </c>
      <c r="L73" s="743">
        <v>0</v>
      </c>
      <c r="M73" s="743">
        <v>0</v>
      </c>
      <c r="N73" s="743">
        <v>0</v>
      </c>
      <c r="O73" s="728">
        <f t="shared" si="16"/>
        <v>0</v>
      </c>
      <c r="P73" s="751">
        <f t="shared" si="17"/>
        <v>0</v>
      </c>
      <c r="Q73" s="723"/>
      <c r="R73" s="739"/>
      <c r="S73" s="739"/>
      <c r="T73" s="739"/>
    </row>
    <row r="74" spans="1:20" s="740" customFormat="1" ht="13.5" customHeight="1" x14ac:dyDescent="0.2">
      <c r="A74" s="735" t="s">
        <v>338</v>
      </c>
      <c r="B74" s="736" t="s">
        <v>339</v>
      </c>
      <c r="C74" s="750">
        <v>0</v>
      </c>
      <c r="D74" s="750">
        <v>0</v>
      </c>
      <c r="E74" s="750">
        <v>0</v>
      </c>
      <c r="F74" s="750">
        <v>0</v>
      </c>
      <c r="G74" s="750">
        <v>0</v>
      </c>
      <c r="H74" s="750">
        <v>0</v>
      </c>
      <c r="I74" s="750">
        <v>0</v>
      </c>
      <c r="J74" s="750">
        <v>0</v>
      </c>
      <c r="K74" s="750">
        <v>0</v>
      </c>
      <c r="L74" s="743">
        <v>0</v>
      </c>
      <c r="M74" s="743">
        <v>0</v>
      </c>
      <c r="N74" s="743">
        <v>0</v>
      </c>
      <c r="O74" s="728">
        <f t="shared" ref="O74:O96" si="21">SUM(C74:N74)</f>
        <v>0</v>
      </c>
      <c r="P74" s="751">
        <f t="shared" ref="P74:P96" si="22">+AVERAGE(C74:K74)</f>
        <v>0</v>
      </c>
      <c r="Q74" s="723"/>
      <c r="R74" s="739"/>
      <c r="S74" s="739"/>
      <c r="T74" s="739"/>
    </row>
    <row r="75" spans="1:20" s="740" customFormat="1" ht="13.5" customHeight="1" x14ac:dyDescent="0.2">
      <c r="A75" s="735" t="s">
        <v>340</v>
      </c>
      <c r="B75" s="736" t="s">
        <v>341</v>
      </c>
      <c r="C75" s="750">
        <v>0</v>
      </c>
      <c r="D75" s="750">
        <v>0</v>
      </c>
      <c r="E75" s="750">
        <v>0</v>
      </c>
      <c r="F75" s="750">
        <v>0</v>
      </c>
      <c r="G75" s="750">
        <v>0</v>
      </c>
      <c r="H75" s="750">
        <v>0</v>
      </c>
      <c r="I75" s="750">
        <v>0</v>
      </c>
      <c r="J75" s="750">
        <v>0</v>
      </c>
      <c r="K75" s="750">
        <v>0</v>
      </c>
      <c r="L75" s="743">
        <v>1000</v>
      </c>
      <c r="M75" s="743">
        <v>1000</v>
      </c>
      <c r="N75" s="743">
        <v>0</v>
      </c>
      <c r="O75" s="728">
        <f t="shared" si="21"/>
        <v>2000</v>
      </c>
      <c r="P75" s="751">
        <f t="shared" si="22"/>
        <v>0</v>
      </c>
      <c r="Q75" s="723"/>
      <c r="R75" s="739"/>
      <c r="S75" s="739"/>
      <c r="T75" s="739"/>
    </row>
    <row r="76" spans="1:20" s="740" customFormat="1" ht="13.5" customHeight="1" x14ac:dyDescent="0.2">
      <c r="A76" s="735" t="s">
        <v>342</v>
      </c>
      <c r="B76" s="736" t="s">
        <v>74</v>
      </c>
      <c r="C76" s="750">
        <v>0</v>
      </c>
      <c r="D76" s="750">
        <v>0</v>
      </c>
      <c r="E76" s="750">
        <v>0</v>
      </c>
      <c r="F76" s="750">
        <v>0</v>
      </c>
      <c r="G76" s="750">
        <v>0</v>
      </c>
      <c r="H76" s="750">
        <v>0</v>
      </c>
      <c r="I76" s="750">
        <v>0</v>
      </c>
      <c r="J76" s="750">
        <v>0</v>
      </c>
      <c r="K76" s="750">
        <v>0</v>
      </c>
      <c r="L76" s="743">
        <v>1000</v>
      </c>
      <c r="M76" s="743">
        <v>1000</v>
      </c>
      <c r="N76" s="743">
        <v>1000</v>
      </c>
      <c r="O76" s="728">
        <f t="shared" si="21"/>
        <v>3000</v>
      </c>
      <c r="P76" s="751">
        <f t="shared" si="22"/>
        <v>0</v>
      </c>
      <c r="Q76" s="723"/>
      <c r="R76" s="739"/>
      <c r="S76" s="739"/>
      <c r="T76" s="739"/>
    </row>
    <row r="77" spans="1:20" s="740" customFormat="1" ht="13.5" customHeight="1" x14ac:dyDescent="0.2">
      <c r="A77" s="735" t="s">
        <v>343</v>
      </c>
      <c r="B77" s="736" t="s">
        <v>75</v>
      </c>
      <c r="C77" s="750">
        <v>1573.23</v>
      </c>
      <c r="D77" s="750">
        <v>1561.83</v>
      </c>
      <c r="E77" s="750">
        <v>0</v>
      </c>
      <c r="F77" s="750">
        <v>1435.53</v>
      </c>
      <c r="G77" s="750">
        <v>6661.38</v>
      </c>
      <c r="H77" s="750">
        <v>8445.4699999999993</v>
      </c>
      <c r="I77" s="750">
        <v>3727.72</v>
      </c>
      <c r="J77" s="750">
        <v>874.61</v>
      </c>
      <c r="K77" s="750">
        <v>2483.7600000000002</v>
      </c>
      <c r="L77" s="743">
        <v>4050</v>
      </c>
      <c r="M77" s="743">
        <v>4050</v>
      </c>
      <c r="N77" s="743">
        <v>4050</v>
      </c>
      <c r="O77" s="728">
        <f t="shared" si="21"/>
        <v>38913.530000000006</v>
      </c>
      <c r="P77" s="751">
        <f t="shared" si="22"/>
        <v>2973.7255555555562</v>
      </c>
      <c r="Q77" s="723"/>
      <c r="R77" s="739"/>
      <c r="S77" s="739"/>
      <c r="T77" s="739"/>
    </row>
    <row r="78" spans="1:20" s="740" customFormat="1" ht="13.5" customHeight="1" x14ac:dyDescent="0.2">
      <c r="A78" s="735" t="s">
        <v>344</v>
      </c>
      <c r="B78" s="736" t="s">
        <v>345</v>
      </c>
      <c r="C78" s="750">
        <v>0</v>
      </c>
      <c r="D78" s="750">
        <v>0</v>
      </c>
      <c r="E78" s="750">
        <v>0</v>
      </c>
      <c r="F78" s="750">
        <v>0</v>
      </c>
      <c r="G78" s="750">
        <v>0</v>
      </c>
      <c r="H78" s="750">
        <v>0</v>
      </c>
      <c r="I78" s="750">
        <v>0</v>
      </c>
      <c r="J78" s="750">
        <v>0</v>
      </c>
      <c r="K78" s="750">
        <v>0</v>
      </c>
      <c r="L78" s="743">
        <v>0</v>
      </c>
      <c r="M78" s="743">
        <v>0</v>
      </c>
      <c r="N78" s="743">
        <v>0</v>
      </c>
      <c r="O78" s="728">
        <f t="shared" si="21"/>
        <v>0</v>
      </c>
      <c r="P78" s="751">
        <f t="shared" si="22"/>
        <v>0</v>
      </c>
      <c r="Q78" s="723"/>
      <c r="R78" s="739"/>
      <c r="S78" s="739"/>
      <c r="T78" s="739"/>
    </row>
    <row r="79" spans="1:20" s="740" customFormat="1" ht="13.5" customHeight="1" x14ac:dyDescent="0.2">
      <c r="A79" s="735" t="s">
        <v>346</v>
      </c>
      <c r="B79" s="736" t="s">
        <v>347</v>
      </c>
      <c r="C79" s="750">
        <v>0</v>
      </c>
      <c r="D79" s="750">
        <v>0</v>
      </c>
      <c r="E79" s="750">
        <v>0</v>
      </c>
      <c r="F79" s="750">
        <v>0</v>
      </c>
      <c r="G79" s="750">
        <v>0</v>
      </c>
      <c r="H79" s="750">
        <v>0</v>
      </c>
      <c r="I79" s="750">
        <v>0</v>
      </c>
      <c r="J79" s="750">
        <v>0</v>
      </c>
      <c r="K79" s="750">
        <v>0</v>
      </c>
      <c r="L79" s="743">
        <v>0</v>
      </c>
      <c r="M79" s="743">
        <v>0</v>
      </c>
      <c r="N79" s="743">
        <v>0</v>
      </c>
      <c r="O79" s="728">
        <f t="shared" si="21"/>
        <v>0</v>
      </c>
      <c r="P79" s="751">
        <f t="shared" si="22"/>
        <v>0</v>
      </c>
      <c r="Q79" s="723"/>
      <c r="R79" s="739"/>
      <c r="S79" s="739"/>
      <c r="T79" s="739"/>
    </row>
    <row r="80" spans="1:20" s="740" customFormat="1" ht="13.5" customHeight="1" x14ac:dyDescent="0.2">
      <c r="A80" s="735" t="s">
        <v>348</v>
      </c>
      <c r="B80" s="736" t="s">
        <v>242</v>
      </c>
      <c r="C80" s="750">
        <v>0</v>
      </c>
      <c r="D80" s="750">
        <v>0</v>
      </c>
      <c r="E80" s="750">
        <v>0</v>
      </c>
      <c r="F80" s="750">
        <v>0</v>
      </c>
      <c r="G80" s="750">
        <v>0</v>
      </c>
      <c r="H80" s="750">
        <v>0</v>
      </c>
      <c r="I80" s="750">
        <v>0</v>
      </c>
      <c r="J80" s="750">
        <v>0</v>
      </c>
      <c r="K80" s="750">
        <v>0</v>
      </c>
      <c r="L80" s="743">
        <v>0</v>
      </c>
      <c r="M80" s="743">
        <v>0</v>
      </c>
      <c r="N80" s="743">
        <v>0</v>
      </c>
      <c r="O80" s="728">
        <f t="shared" si="21"/>
        <v>0</v>
      </c>
      <c r="P80" s="751">
        <f t="shared" si="22"/>
        <v>0</v>
      </c>
      <c r="Q80" s="723"/>
      <c r="R80" s="739"/>
      <c r="S80" s="739"/>
      <c r="T80" s="739"/>
    </row>
    <row r="81" spans="1:20" s="740" customFormat="1" ht="13.5" customHeight="1" x14ac:dyDescent="0.2">
      <c r="A81" s="735" t="s">
        <v>349</v>
      </c>
      <c r="B81" s="736" t="s">
        <v>69</v>
      </c>
      <c r="C81" s="750">
        <v>482.75</v>
      </c>
      <c r="D81" s="750">
        <v>0</v>
      </c>
      <c r="E81" s="750">
        <v>141.31299999999999</v>
      </c>
      <c r="F81" s="750">
        <v>3430.42</v>
      </c>
      <c r="G81" s="750">
        <v>1142.06</v>
      </c>
      <c r="H81" s="750">
        <v>2859.56</v>
      </c>
      <c r="I81" s="750">
        <v>1677.96</v>
      </c>
      <c r="J81" s="750">
        <v>2839.37</v>
      </c>
      <c r="K81" s="750">
        <v>1251.06</v>
      </c>
      <c r="L81" s="743">
        <v>1000</v>
      </c>
      <c r="M81" s="743">
        <v>1000</v>
      </c>
      <c r="N81" s="743">
        <v>1000</v>
      </c>
      <c r="O81" s="728">
        <f t="shared" si="21"/>
        <v>16824.492999999995</v>
      </c>
      <c r="P81" s="751">
        <f t="shared" si="22"/>
        <v>1536.0547777777774</v>
      </c>
      <c r="Q81" s="723"/>
      <c r="R81" s="739"/>
      <c r="S81" s="739"/>
      <c r="T81" s="739"/>
    </row>
    <row r="82" spans="1:20" s="740" customFormat="1" ht="13.5" customHeight="1" x14ac:dyDescent="0.2">
      <c r="A82" s="735" t="s">
        <v>349</v>
      </c>
      <c r="B82" s="736" t="s">
        <v>77</v>
      </c>
      <c r="C82" s="750">
        <v>9464.871000000001</v>
      </c>
      <c r="D82" s="750">
        <v>10678.991700000002</v>
      </c>
      <c r="E82" s="750">
        <v>52174.773299999993</v>
      </c>
      <c r="F82" s="750">
        <v>14537.32</v>
      </c>
      <c r="G82" s="750">
        <v>12383.728500000001</v>
      </c>
      <c r="H82" s="750">
        <v>53436.509100000017</v>
      </c>
      <c r="I82" s="750">
        <v>21171.571200000002</v>
      </c>
      <c r="J82" s="750">
        <v>20239.596000000001</v>
      </c>
      <c r="K82" s="750">
        <v>65022.219600000011</v>
      </c>
      <c r="L82" s="743">
        <v>18829.231667454002</v>
      </c>
      <c r="M82" s="743">
        <v>17882.787467454003</v>
      </c>
      <c r="N82" s="743">
        <v>58740.661667454006</v>
      </c>
      <c r="O82" s="728">
        <f t="shared" si="21"/>
        <v>354562.26120236202</v>
      </c>
      <c r="P82" s="751">
        <f t="shared" si="22"/>
        <v>28789.953377777783</v>
      </c>
      <c r="Q82" s="723"/>
      <c r="R82" s="739"/>
      <c r="S82" s="739"/>
      <c r="T82" s="739"/>
    </row>
    <row r="83" spans="1:20" s="740" customFormat="1" ht="13.5" customHeight="1" x14ac:dyDescent="0.2">
      <c r="A83" s="735" t="s">
        <v>349</v>
      </c>
      <c r="B83" s="736" t="s">
        <v>79</v>
      </c>
      <c r="C83" s="750">
        <v>35023.56</v>
      </c>
      <c r="D83" s="750">
        <v>37092.32</v>
      </c>
      <c r="E83" s="750">
        <v>45391.85</v>
      </c>
      <c r="F83" s="750">
        <v>41680.17</v>
      </c>
      <c r="G83" s="750">
        <v>43684.598100000003</v>
      </c>
      <c r="H83" s="750">
        <v>46345.884000000013</v>
      </c>
      <c r="I83" s="750">
        <v>41194.194599999995</v>
      </c>
      <c r="J83" s="750">
        <v>42574.841400000005</v>
      </c>
      <c r="K83" s="750">
        <v>41755.860899999992</v>
      </c>
      <c r="L83" s="743">
        <v>46190.788800000002</v>
      </c>
      <c r="M83" s="743">
        <v>43096.368900000001</v>
      </c>
      <c r="N83" s="743">
        <v>42215.355000000003</v>
      </c>
      <c r="O83" s="728">
        <f t="shared" si="21"/>
        <v>506245.79169999994</v>
      </c>
      <c r="P83" s="751">
        <f t="shared" si="22"/>
        <v>41638.142111111112</v>
      </c>
      <c r="Q83" s="723"/>
      <c r="R83" s="739"/>
      <c r="S83" s="739"/>
      <c r="T83" s="739"/>
    </row>
    <row r="84" spans="1:20" s="740" customFormat="1" ht="13.5" customHeight="1" x14ac:dyDescent="0.2">
      <c r="A84" s="735" t="s">
        <v>350</v>
      </c>
      <c r="B84" s="736" t="s">
        <v>351</v>
      </c>
      <c r="C84" s="750">
        <v>0</v>
      </c>
      <c r="D84" s="750">
        <v>0</v>
      </c>
      <c r="E84" s="750">
        <v>0</v>
      </c>
      <c r="F84" s="750">
        <v>0</v>
      </c>
      <c r="G84" s="750">
        <v>0</v>
      </c>
      <c r="H84" s="750">
        <v>0</v>
      </c>
      <c r="I84" s="750">
        <v>0</v>
      </c>
      <c r="J84" s="750">
        <v>0</v>
      </c>
      <c r="K84" s="750">
        <v>0</v>
      </c>
      <c r="L84" s="743">
        <v>0</v>
      </c>
      <c r="M84" s="743">
        <v>0</v>
      </c>
      <c r="N84" s="743">
        <v>0</v>
      </c>
      <c r="O84" s="728">
        <f t="shared" si="21"/>
        <v>0</v>
      </c>
      <c r="P84" s="751">
        <f t="shared" si="22"/>
        <v>0</v>
      </c>
      <c r="Q84" s="723"/>
      <c r="R84" s="739"/>
      <c r="S84" s="739"/>
      <c r="T84" s="739"/>
    </row>
    <row r="85" spans="1:20" s="730" customFormat="1" ht="13.5" customHeight="1" x14ac:dyDescent="0.2">
      <c r="A85" s="725" t="s">
        <v>354</v>
      </c>
      <c r="B85" s="726" t="s">
        <v>355</v>
      </c>
      <c r="C85" s="727">
        <f>C86+C88+C90+C92+C94</f>
        <v>0</v>
      </c>
      <c r="D85" s="727">
        <f t="shared" ref="D85:N85" si="23">D86+D88+D90+D92+D94</f>
        <v>0</v>
      </c>
      <c r="E85" s="727">
        <f t="shared" si="23"/>
        <v>0</v>
      </c>
      <c r="F85" s="727">
        <f t="shared" si="23"/>
        <v>0</v>
      </c>
      <c r="G85" s="727">
        <f t="shared" si="23"/>
        <v>0</v>
      </c>
      <c r="H85" s="727">
        <f t="shared" si="23"/>
        <v>0</v>
      </c>
      <c r="I85" s="727">
        <f t="shared" si="23"/>
        <v>0</v>
      </c>
      <c r="J85" s="727">
        <f t="shared" si="23"/>
        <v>0</v>
      </c>
      <c r="K85" s="727">
        <f t="shared" si="23"/>
        <v>0</v>
      </c>
      <c r="L85" s="727">
        <f t="shared" si="23"/>
        <v>0</v>
      </c>
      <c r="M85" s="727">
        <f t="shared" si="23"/>
        <v>0</v>
      </c>
      <c r="N85" s="727">
        <f t="shared" si="23"/>
        <v>0</v>
      </c>
      <c r="O85" s="728">
        <f t="shared" si="21"/>
        <v>0</v>
      </c>
      <c r="P85" s="729">
        <f t="shared" si="22"/>
        <v>0</v>
      </c>
      <c r="Q85" s="723"/>
      <c r="R85" s="723"/>
      <c r="S85" s="723"/>
      <c r="T85" s="723"/>
    </row>
    <row r="86" spans="1:20" s="730" customFormat="1" ht="13.5" customHeight="1" x14ac:dyDescent="0.2">
      <c r="A86" s="758" t="s">
        <v>356</v>
      </c>
      <c r="B86" s="732" t="s">
        <v>357</v>
      </c>
      <c r="C86" s="733">
        <f>C87</f>
        <v>0</v>
      </c>
      <c r="D86" s="733">
        <f t="shared" ref="D86:N86" si="24">D87</f>
        <v>0</v>
      </c>
      <c r="E86" s="733">
        <f t="shared" si="24"/>
        <v>0</v>
      </c>
      <c r="F86" s="733">
        <f t="shared" si="24"/>
        <v>0</v>
      </c>
      <c r="G86" s="733">
        <f t="shared" si="24"/>
        <v>0</v>
      </c>
      <c r="H86" s="733">
        <f t="shared" si="24"/>
        <v>0</v>
      </c>
      <c r="I86" s="733">
        <f t="shared" si="24"/>
        <v>0</v>
      </c>
      <c r="J86" s="733">
        <f t="shared" si="24"/>
        <v>0</v>
      </c>
      <c r="K86" s="733">
        <f t="shared" si="24"/>
        <v>0</v>
      </c>
      <c r="L86" s="733">
        <f t="shared" si="24"/>
        <v>0</v>
      </c>
      <c r="M86" s="733">
        <f t="shared" si="24"/>
        <v>0</v>
      </c>
      <c r="N86" s="733">
        <f t="shared" si="24"/>
        <v>0</v>
      </c>
      <c r="O86" s="728">
        <f t="shared" si="21"/>
        <v>0</v>
      </c>
      <c r="P86" s="734">
        <f t="shared" si="22"/>
        <v>0</v>
      </c>
      <c r="Q86" s="723"/>
      <c r="R86" s="723"/>
      <c r="S86" s="723"/>
      <c r="T86" s="723"/>
    </row>
    <row r="87" spans="1:20" s="740" customFormat="1" ht="13.5" customHeight="1" x14ac:dyDescent="0.2">
      <c r="A87" s="735" t="s">
        <v>358</v>
      </c>
      <c r="B87" s="736" t="s">
        <v>359</v>
      </c>
      <c r="C87" s="761">
        <v>0</v>
      </c>
      <c r="D87" s="761">
        <v>0</v>
      </c>
      <c r="E87" s="761">
        <v>0</v>
      </c>
      <c r="F87" s="761">
        <v>0</v>
      </c>
      <c r="G87" s="761">
        <v>0</v>
      </c>
      <c r="H87" s="761">
        <v>0</v>
      </c>
      <c r="I87" s="761">
        <v>0</v>
      </c>
      <c r="J87" s="761">
        <v>0</v>
      </c>
      <c r="K87" s="761">
        <v>0</v>
      </c>
      <c r="L87" s="761">
        <v>0</v>
      </c>
      <c r="M87" s="761">
        <v>0</v>
      </c>
      <c r="N87" s="761">
        <v>0</v>
      </c>
      <c r="O87" s="728">
        <f t="shared" si="21"/>
        <v>0</v>
      </c>
      <c r="P87" s="762">
        <f t="shared" si="22"/>
        <v>0</v>
      </c>
      <c r="Q87" s="723"/>
      <c r="R87" s="739"/>
      <c r="S87" s="739"/>
      <c r="T87" s="739"/>
    </row>
    <row r="88" spans="1:20" s="740" customFormat="1" ht="13.5" customHeight="1" x14ac:dyDescent="0.2">
      <c r="A88" s="758" t="s">
        <v>360</v>
      </c>
      <c r="B88" s="732" t="s">
        <v>361</v>
      </c>
      <c r="C88" s="733">
        <f>C89</f>
        <v>0</v>
      </c>
      <c r="D88" s="733">
        <f t="shared" ref="D88:N88" si="25">D89</f>
        <v>0</v>
      </c>
      <c r="E88" s="733">
        <f t="shared" si="25"/>
        <v>0</v>
      </c>
      <c r="F88" s="733">
        <f t="shared" si="25"/>
        <v>0</v>
      </c>
      <c r="G88" s="733">
        <f t="shared" si="25"/>
        <v>0</v>
      </c>
      <c r="H88" s="733">
        <f t="shared" si="25"/>
        <v>0</v>
      </c>
      <c r="I88" s="733">
        <f t="shared" si="25"/>
        <v>0</v>
      </c>
      <c r="J88" s="733">
        <f t="shared" si="25"/>
        <v>0</v>
      </c>
      <c r="K88" s="733">
        <f t="shared" si="25"/>
        <v>0</v>
      </c>
      <c r="L88" s="733">
        <f t="shared" si="25"/>
        <v>0</v>
      </c>
      <c r="M88" s="733">
        <f t="shared" si="25"/>
        <v>0</v>
      </c>
      <c r="N88" s="733">
        <f t="shared" si="25"/>
        <v>0</v>
      </c>
      <c r="O88" s="728">
        <f t="shared" si="21"/>
        <v>0</v>
      </c>
      <c r="P88" s="734">
        <f t="shared" si="22"/>
        <v>0</v>
      </c>
      <c r="Q88" s="723"/>
      <c r="R88" s="739"/>
      <c r="S88" s="739"/>
      <c r="T88" s="739"/>
    </row>
    <row r="89" spans="1:20" s="740" customFormat="1" ht="13.5" customHeight="1" x14ac:dyDescent="0.2">
      <c r="A89" s="735" t="s">
        <v>362</v>
      </c>
      <c r="B89" s="736" t="s">
        <v>363</v>
      </c>
      <c r="C89" s="761">
        <v>0</v>
      </c>
      <c r="D89" s="761">
        <v>0</v>
      </c>
      <c r="E89" s="761">
        <v>0</v>
      </c>
      <c r="F89" s="761">
        <v>0</v>
      </c>
      <c r="G89" s="761">
        <v>0</v>
      </c>
      <c r="H89" s="761">
        <v>0</v>
      </c>
      <c r="I89" s="761">
        <v>0</v>
      </c>
      <c r="J89" s="761">
        <v>0</v>
      </c>
      <c r="K89" s="761">
        <v>0</v>
      </c>
      <c r="L89" s="761">
        <v>0</v>
      </c>
      <c r="M89" s="761">
        <v>0</v>
      </c>
      <c r="N89" s="761">
        <v>0</v>
      </c>
      <c r="O89" s="728">
        <f t="shared" si="21"/>
        <v>0</v>
      </c>
      <c r="P89" s="762">
        <f t="shared" si="22"/>
        <v>0</v>
      </c>
      <c r="Q89" s="723"/>
      <c r="R89" s="739"/>
      <c r="S89" s="739"/>
      <c r="T89" s="739"/>
    </row>
    <row r="90" spans="1:20" s="740" customFormat="1" ht="13.5" customHeight="1" x14ac:dyDescent="0.2">
      <c r="A90" s="758" t="s">
        <v>364</v>
      </c>
      <c r="B90" s="732" t="s">
        <v>365</v>
      </c>
      <c r="C90" s="733">
        <f>C91</f>
        <v>0</v>
      </c>
      <c r="D90" s="733">
        <f t="shared" ref="D90:N90" si="26">D91</f>
        <v>0</v>
      </c>
      <c r="E90" s="733">
        <f t="shared" si="26"/>
        <v>0</v>
      </c>
      <c r="F90" s="733">
        <f t="shared" si="26"/>
        <v>0</v>
      </c>
      <c r="G90" s="733">
        <f t="shared" si="26"/>
        <v>0</v>
      </c>
      <c r="H90" s="733">
        <f t="shared" si="26"/>
        <v>0</v>
      </c>
      <c r="I90" s="733">
        <f t="shared" si="26"/>
        <v>0</v>
      </c>
      <c r="J90" s="733">
        <f t="shared" si="26"/>
        <v>0</v>
      </c>
      <c r="K90" s="733">
        <f t="shared" si="26"/>
        <v>0</v>
      </c>
      <c r="L90" s="733">
        <f t="shared" si="26"/>
        <v>0</v>
      </c>
      <c r="M90" s="733">
        <f t="shared" si="26"/>
        <v>0</v>
      </c>
      <c r="N90" s="733">
        <f t="shared" si="26"/>
        <v>0</v>
      </c>
      <c r="O90" s="728">
        <f t="shared" si="21"/>
        <v>0</v>
      </c>
      <c r="P90" s="734">
        <f t="shared" si="22"/>
        <v>0</v>
      </c>
      <c r="Q90" s="723"/>
      <c r="R90" s="739"/>
      <c r="S90" s="739"/>
      <c r="T90" s="739"/>
    </row>
    <row r="91" spans="1:20" s="730" customFormat="1" ht="13.5" customHeight="1" x14ac:dyDescent="0.2">
      <c r="A91" s="735" t="s">
        <v>366</v>
      </c>
      <c r="B91" s="736" t="s">
        <v>367</v>
      </c>
      <c r="C91" s="761">
        <v>0</v>
      </c>
      <c r="D91" s="761">
        <v>0</v>
      </c>
      <c r="E91" s="761">
        <v>0</v>
      </c>
      <c r="F91" s="761">
        <v>0</v>
      </c>
      <c r="G91" s="761">
        <v>0</v>
      </c>
      <c r="H91" s="761">
        <v>0</v>
      </c>
      <c r="I91" s="761">
        <v>0</v>
      </c>
      <c r="J91" s="761">
        <v>0</v>
      </c>
      <c r="K91" s="761">
        <v>0</v>
      </c>
      <c r="L91" s="761">
        <v>0</v>
      </c>
      <c r="M91" s="761">
        <v>0</v>
      </c>
      <c r="N91" s="761">
        <v>0</v>
      </c>
      <c r="O91" s="728">
        <f t="shared" si="21"/>
        <v>0</v>
      </c>
      <c r="P91" s="762">
        <f t="shared" si="22"/>
        <v>0</v>
      </c>
      <c r="Q91" s="723"/>
      <c r="R91" s="723"/>
      <c r="S91" s="723"/>
      <c r="T91" s="723"/>
    </row>
    <row r="92" spans="1:20" s="740" customFormat="1" ht="13.5" customHeight="1" x14ac:dyDescent="0.2">
      <c r="A92" s="758" t="s">
        <v>368</v>
      </c>
      <c r="B92" s="732" t="s">
        <v>369</v>
      </c>
      <c r="C92" s="733">
        <f>C93</f>
        <v>0</v>
      </c>
      <c r="D92" s="733">
        <f t="shared" ref="D92:N92" si="27">D93</f>
        <v>0</v>
      </c>
      <c r="E92" s="733">
        <f t="shared" si="27"/>
        <v>0</v>
      </c>
      <c r="F92" s="733">
        <f t="shared" si="27"/>
        <v>0</v>
      </c>
      <c r="G92" s="733">
        <f t="shared" si="27"/>
        <v>0</v>
      </c>
      <c r="H92" s="733">
        <f t="shared" si="27"/>
        <v>0</v>
      </c>
      <c r="I92" s="733">
        <f t="shared" si="27"/>
        <v>0</v>
      </c>
      <c r="J92" s="733">
        <f t="shared" si="27"/>
        <v>0</v>
      </c>
      <c r="K92" s="733">
        <f t="shared" si="27"/>
        <v>0</v>
      </c>
      <c r="L92" s="733">
        <f t="shared" si="27"/>
        <v>0</v>
      </c>
      <c r="M92" s="733">
        <f t="shared" si="27"/>
        <v>0</v>
      </c>
      <c r="N92" s="733">
        <f t="shared" si="27"/>
        <v>0</v>
      </c>
      <c r="O92" s="728">
        <f t="shared" si="21"/>
        <v>0</v>
      </c>
      <c r="P92" s="734">
        <f t="shared" si="22"/>
        <v>0</v>
      </c>
      <c r="Q92" s="723"/>
      <c r="R92" s="739"/>
      <c r="S92" s="739"/>
      <c r="T92" s="739"/>
    </row>
    <row r="93" spans="1:20" s="730" customFormat="1" ht="13.5" customHeight="1" x14ac:dyDescent="0.2">
      <c r="A93" s="735" t="s">
        <v>370</v>
      </c>
      <c r="B93" s="736" t="s">
        <v>371</v>
      </c>
      <c r="C93" s="761">
        <v>0</v>
      </c>
      <c r="D93" s="761">
        <v>0</v>
      </c>
      <c r="E93" s="761">
        <v>0</v>
      </c>
      <c r="F93" s="761">
        <v>0</v>
      </c>
      <c r="G93" s="761">
        <v>0</v>
      </c>
      <c r="H93" s="761">
        <v>0</v>
      </c>
      <c r="I93" s="761">
        <v>0</v>
      </c>
      <c r="J93" s="761">
        <v>0</v>
      </c>
      <c r="K93" s="761">
        <v>0</v>
      </c>
      <c r="L93" s="761">
        <v>0</v>
      </c>
      <c r="M93" s="761">
        <v>0</v>
      </c>
      <c r="N93" s="761">
        <v>0</v>
      </c>
      <c r="O93" s="728">
        <f t="shared" si="21"/>
        <v>0</v>
      </c>
      <c r="P93" s="762">
        <f t="shared" si="22"/>
        <v>0</v>
      </c>
      <c r="Q93" s="723"/>
      <c r="R93" s="723"/>
      <c r="S93" s="723"/>
      <c r="T93" s="723"/>
    </row>
    <row r="94" spans="1:20" s="740" customFormat="1" ht="13.5" customHeight="1" x14ac:dyDescent="0.2">
      <c r="A94" s="758" t="s">
        <v>372</v>
      </c>
      <c r="B94" s="732" t="s">
        <v>373</v>
      </c>
      <c r="C94" s="733">
        <f>C95</f>
        <v>0</v>
      </c>
      <c r="D94" s="733">
        <f t="shared" ref="D94:N94" si="28">D95</f>
        <v>0</v>
      </c>
      <c r="E94" s="733">
        <f t="shared" si="28"/>
        <v>0</v>
      </c>
      <c r="F94" s="733">
        <f t="shared" si="28"/>
        <v>0</v>
      </c>
      <c r="G94" s="733">
        <f t="shared" si="28"/>
        <v>0</v>
      </c>
      <c r="H94" s="733">
        <f t="shared" si="28"/>
        <v>0</v>
      </c>
      <c r="I94" s="733">
        <f t="shared" si="28"/>
        <v>0</v>
      </c>
      <c r="J94" s="733">
        <f t="shared" si="28"/>
        <v>0</v>
      </c>
      <c r="K94" s="733">
        <f t="shared" si="28"/>
        <v>0</v>
      </c>
      <c r="L94" s="733">
        <f t="shared" si="28"/>
        <v>0</v>
      </c>
      <c r="M94" s="733">
        <f t="shared" si="28"/>
        <v>0</v>
      </c>
      <c r="N94" s="733">
        <f t="shared" si="28"/>
        <v>0</v>
      </c>
      <c r="O94" s="728">
        <f t="shared" si="21"/>
        <v>0</v>
      </c>
      <c r="P94" s="734">
        <f t="shared" si="22"/>
        <v>0</v>
      </c>
      <c r="Q94" s="723"/>
      <c r="R94" s="739"/>
      <c r="S94" s="739"/>
      <c r="T94" s="739"/>
    </row>
    <row r="95" spans="1:20" s="730" customFormat="1" ht="13.5" customHeight="1" x14ac:dyDescent="0.2">
      <c r="A95" s="735" t="s">
        <v>374</v>
      </c>
      <c r="B95" s="736" t="s">
        <v>375</v>
      </c>
      <c r="C95" s="761">
        <v>0</v>
      </c>
      <c r="D95" s="761">
        <v>0</v>
      </c>
      <c r="E95" s="761">
        <v>0</v>
      </c>
      <c r="F95" s="761">
        <v>0</v>
      </c>
      <c r="G95" s="761">
        <v>0</v>
      </c>
      <c r="H95" s="761">
        <v>0</v>
      </c>
      <c r="I95" s="761">
        <v>0</v>
      </c>
      <c r="J95" s="761">
        <v>0</v>
      </c>
      <c r="K95" s="761">
        <v>0</v>
      </c>
      <c r="L95" s="761">
        <v>0</v>
      </c>
      <c r="M95" s="761">
        <v>0</v>
      </c>
      <c r="N95" s="761">
        <v>0</v>
      </c>
      <c r="O95" s="728">
        <f t="shared" si="21"/>
        <v>0</v>
      </c>
      <c r="P95" s="762">
        <f t="shared" si="22"/>
        <v>0</v>
      </c>
      <c r="Q95" s="723"/>
      <c r="R95" s="723"/>
      <c r="S95" s="723"/>
      <c r="T95" s="723"/>
    </row>
    <row r="96" spans="1:20" s="724" customFormat="1" ht="13.5" customHeight="1" thickBot="1" x14ac:dyDescent="0.25">
      <c r="A96" s="763"/>
      <c r="B96" s="720" t="s">
        <v>376</v>
      </c>
      <c r="C96" s="721">
        <f t="shared" ref="C96:M96" si="29">C10-C33</f>
        <v>-36306.47099999999</v>
      </c>
      <c r="D96" s="721">
        <f t="shared" si="29"/>
        <v>3923.7434724138002</v>
      </c>
      <c r="E96" s="721">
        <f t="shared" si="29"/>
        <v>-24493.638024137908</v>
      </c>
      <c r="F96" s="721">
        <f t="shared" si="29"/>
        <v>41518.911034482764</v>
      </c>
      <c r="G96" s="721">
        <f t="shared" si="29"/>
        <v>3596.3506413793075</v>
      </c>
      <c r="H96" s="721">
        <f t="shared" si="29"/>
        <v>-18345.394134482805</v>
      </c>
      <c r="I96" s="721">
        <f t="shared" si="29"/>
        <v>33782.200406896533</v>
      </c>
      <c r="J96" s="721">
        <f t="shared" si="29"/>
        <v>1590.0153586207016</v>
      </c>
      <c r="K96" s="721">
        <f t="shared" si="29"/>
        <v>-58529.512224137929</v>
      </c>
      <c r="L96" s="721">
        <f t="shared" si="29"/>
        <v>30980.854149035673</v>
      </c>
      <c r="M96" s="721">
        <f t="shared" si="29"/>
        <v>261.95652489771601</v>
      </c>
      <c r="N96" s="721">
        <f>N10-N33</f>
        <v>-100801.89101648159</v>
      </c>
      <c r="O96" s="721">
        <f t="shared" si="21"/>
        <v>-122822.87481151373</v>
      </c>
      <c r="P96" s="764">
        <f t="shared" si="22"/>
        <v>-5918.1993854406137</v>
      </c>
      <c r="Q96" s="723"/>
      <c r="R96" s="723"/>
      <c r="S96" s="723"/>
      <c r="T96" s="723"/>
    </row>
    <row r="97" spans="2:18" ht="13.5" customHeight="1" x14ac:dyDescent="0.2">
      <c r="O97" s="765"/>
    </row>
    <row r="98" spans="2:18" x14ac:dyDescent="0.2">
      <c r="O98" s="765"/>
    </row>
    <row r="99" spans="2:18" x14ac:dyDescent="0.2">
      <c r="B99" s="766"/>
      <c r="L99" s="767"/>
      <c r="M99" s="767"/>
      <c r="N99" s="767"/>
      <c r="O99" s="767"/>
      <c r="P99" s="768"/>
      <c r="Q99" s="768"/>
      <c r="R99" s="768"/>
    </row>
    <row r="100" spans="2:18" x14ac:dyDescent="0.2">
      <c r="B100" s="766"/>
      <c r="L100" s="767"/>
      <c r="M100" s="767"/>
      <c r="N100" s="767"/>
      <c r="O100" s="767"/>
      <c r="P100" s="768"/>
      <c r="Q100" s="768"/>
      <c r="R100" s="768"/>
    </row>
    <row r="101" spans="2:18" x14ac:dyDescent="0.2">
      <c r="B101" s="766"/>
      <c r="L101" s="767"/>
      <c r="M101" s="767"/>
      <c r="N101" s="767"/>
      <c r="O101" s="767"/>
      <c r="P101" s="768"/>
      <c r="Q101" s="768"/>
      <c r="R101" s="768"/>
    </row>
    <row r="102" spans="2:18" x14ac:dyDescent="0.2">
      <c r="B102" s="766"/>
      <c r="L102" s="769">
        <v>340730</v>
      </c>
      <c r="M102" s="769">
        <v>226538</v>
      </c>
      <c r="N102" s="769">
        <v>106000</v>
      </c>
      <c r="O102" s="769">
        <f>SUM(C102:N102)</f>
        <v>673268</v>
      </c>
      <c r="P102" s="768"/>
      <c r="Q102" s="768"/>
      <c r="R102" s="768"/>
    </row>
    <row r="103" spans="2:18" x14ac:dyDescent="0.2">
      <c r="B103" s="766"/>
      <c r="L103" s="767">
        <v>328230</v>
      </c>
      <c r="M103" s="767">
        <v>204037.5</v>
      </c>
      <c r="N103" s="767">
        <v>105375</v>
      </c>
      <c r="O103" s="767">
        <f>SUM(C103:N103)</f>
        <v>637642.5</v>
      </c>
      <c r="P103" s="768"/>
      <c r="Q103" s="768"/>
      <c r="R103" s="768"/>
    </row>
    <row r="104" spans="2:18" x14ac:dyDescent="0.2">
      <c r="B104" s="766"/>
      <c r="L104" s="769">
        <f t="shared" ref="L104:N104" si="30">L102-L103</f>
        <v>12500</v>
      </c>
      <c r="M104" s="769">
        <f t="shared" si="30"/>
        <v>22500.5</v>
      </c>
      <c r="N104" s="769">
        <f t="shared" si="30"/>
        <v>625</v>
      </c>
      <c r="O104" s="769">
        <f>SUM(C104:N104)</f>
        <v>35625.5</v>
      </c>
      <c r="P104" s="768"/>
      <c r="Q104" s="768"/>
      <c r="R104" s="768"/>
    </row>
    <row r="105" spans="2:18" x14ac:dyDescent="0.2">
      <c r="B105" s="766"/>
      <c r="L105" s="767"/>
      <c r="M105" s="767"/>
      <c r="N105" s="767"/>
      <c r="O105" s="767"/>
      <c r="P105" s="768"/>
      <c r="Q105" s="768"/>
      <c r="R105" s="768"/>
    </row>
    <row r="106" spans="2:18" x14ac:dyDescent="0.2">
      <c r="B106" s="766"/>
      <c r="L106" s="767"/>
      <c r="M106" s="767"/>
      <c r="N106" s="767"/>
      <c r="O106" s="767"/>
      <c r="P106" s="768"/>
      <c r="Q106" s="768"/>
      <c r="R106" s="768"/>
    </row>
    <row r="107" spans="2:18" x14ac:dyDescent="0.2">
      <c r="B107" s="766"/>
      <c r="L107" s="767"/>
      <c r="M107" s="767"/>
      <c r="N107" s="767"/>
      <c r="O107" s="767"/>
      <c r="P107" s="768"/>
      <c r="Q107" s="768"/>
      <c r="R107" s="768"/>
    </row>
    <row r="108" spans="2:18" x14ac:dyDescent="0.2">
      <c r="B108" s="766"/>
      <c r="L108" s="767"/>
      <c r="M108" s="767"/>
      <c r="N108" s="767"/>
      <c r="O108" s="767"/>
      <c r="P108" s="768"/>
      <c r="Q108" s="768"/>
      <c r="R108" s="768"/>
    </row>
    <row r="109" spans="2:18" x14ac:dyDescent="0.2">
      <c r="B109" s="766"/>
      <c r="L109" s="767"/>
      <c r="M109" s="767"/>
      <c r="N109" s="767"/>
      <c r="O109" s="767"/>
      <c r="P109" s="768"/>
      <c r="Q109" s="768"/>
      <c r="R109" s="768"/>
    </row>
  </sheetData>
  <autoFilter ref="A8:P96" xr:uid="{00000000-0009-0000-0000-000004000000}">
    <filterColumn colId="0" showButton="0"/>
  </autoFilter>
  <mergeCells count="18">
    <mergeCell ref="H8:H9"/>
    <mergeCell ref="L8:L9"/>
    <mergeCell ref="M8:M9"/>
    <mergeCell ref="N8:N9"/>
    <mergeCell ref="O8:O9"/>
    <mergeCell ref="P8:P9"/>
    <mergeCell ref="B1:O2"/>
    <mergeCell ref="N5:O5"/>
    <mergeCell ref="N6:O6"/>
    <mergeCell ref="A8:B9"/>
    <mergeCell ref="C8:C9"/>
    <mergeCell ref="D8:D9"/>
    <mergeCell ref="E8:E9"/>
    <mergeCell ref="I8:I9"/>
    <mergeCell ref="J8:J9"/>
    <mergeCell ref="K8:K9"/>
    <mergeCell ref="F8:F9"/>
    <mergeCell ref="G8:G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  <pageSetUpPr fitToPage="1"/>
  </sheetPr>
  <dimension ref="A1:R132"/>
  <sheetViews>
    <sheetView topLeftCell="A7" zoomScale="130" zoomScaleNormal="130" workbookViewId="0">
      <pane xSplit="3" ySplit="13" topLeftCell="D98" activePane="bottomRight" state="frozen"/>
      <selection activeCell="A7" sqref="A7"/>
      <selection pane="topRight" activeCell="D7" sqref="D7"/>
      <selection pane="bottomLeft" activeCell="A18" sqref="A18"/>
      <selection pane="bottomRight" activeCell="G103" sqref="G103"/>
    </sheetView>
  </sheetViews>
  <sheetFormatPr baseColWidth="10" defaultColWidth="11.42578125" defaultRowHeight="12.75" x14ac:dyDescent="0.2"/>
  <cols>
    <col min="1" max="1" width="4.5703125" style="1" bestFit="1" customWidth="1"/>
    <col min="2" max="2" width="31.42578125" style="1" bestFit="1" customWidth="1"/>
    <col min="3" max="3" width="19.140625" style="1" bestFit="1" customWidth="1"/>
    <col min="4" max="4" width="13.28515625" style="1" customWidth="1"/>
    <col min="5" max="5" width="8.42578125" style="1" customWidth="1"/>
    <col min="6" max="6" width="15.5703125" style="1" bestFit="1" customWidth="1"/>
    <col min="7" max="7" width="11.42578125" style="1" customWidth="1"/>
    <col min="8" max="8" width="11.28515625" style="1" bestFit="1" customWidth="1"/>
    <col min="9" max="9" width="13.140625" style="1" bestFit="1" customWidth="1"/>
    <col min="10" max="10" width="11.28515625" style="1" bestFit="1" customWidth="1"/>
    <col min="11" max="11" width="13.140625" style="1" bestFit="1" customWidth="1"/>
    <col min="12" max="12" width="11.42578125" style="1"/>
    <col min="13" max="13" width="12.85546875" style="1" bestFit="1" customWidth="1"/>
    <col min="14" max="16384" width="11.42578125" style="1"/>
  </cols>
  <sheetData>
    <row r="1" spans="1:16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</row>
    <row r="2" spans="1:16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</row>
    <row r="3" spans="1:16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</row>
    <row r="4" spans="1:16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</row>
    <row r="5" spans="1:16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</row>
    <row r="6" spans="1:16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L6" s="2"/>
      <c r="M6" s="2"/>
    </row>
    <row r="7" spans="1:16" x14ac:dyDescent="0.2">
      <c r="F7" s="820"/>
      <c r="L7" s="17"/>
      <c r="M7" s="2"/>
    </row>
    <row r="8" spans="1:16" ht="30" x14ac:dyDescent="0.2">
      <c r="F8" s="821"/>
      <c r="I8" s="893" t="s">
        <v>26</v>
      </c>
      <c r="J8" s="941" t="s">
        <v>570</v>
      </c>
      <c r="K8" s="943" t="s">
        <v>576</v>
      </c>
      <c r="L8" s="944" t="s">
        <v>575</v>
      </c>
      <c r="M8" s="944" t="s">
        <v>577</v>
      </c>
      <c r="N8" s="944" t="s">
        <v>578</v>
      </c>
    </row>
    <row r="9" spans="1:16" x14ac:dyDescent="0.2">
      <c r="F9" s="1124" t="s">
        <v>549</v>
      </c>
      <c r="G9" s="1127" t="s">
        <v>550</v>
      </c>
      <c r="H9" s="1127"/>
      <c r="I9" s="933">
        <v>43</v>
      </c>
      <c r="J9" s="942">
        <f>+I9/12</f>
        <v>3.5833333333333335</v>
      </c>
      <c r="K9" s="939">
        <v>522</v>
      </c>
      <c r="L9" s="940">
        <v>15</v>
      </c>
      <c r="M9" s="24">
        <f>+K9*I9</f>
        <v>22446</v>
      </c>
      <c r="N9" s="949">
        <f>+M9/$M$14</f>
        <v>6.4574260399459377E-2</v>
      </c>
      <c r="O9" s="147"/>
    </row>
    <row r="10" spans="1:16" x14ac:dyDescent="0.2">
      <c r="F10" s="1125"/>
      <c r="G10" s="1127" t="s">
        <v>551</v>
      </c>
      <c r="H10" s="1127"/>
      <c r="I10" s="371">
        <v>3</v>
      </c>
      <c r="J10" s="942">
        <f t="shared" ref="J10:J13" si="0">+I10/12</f>
        <v>0.25</v>
      </c>
      <c r="K10" s="939">
        <v>3027.6</v>
      </c>
      <c r="L10" s="945">
        <v>6</v>
      </c>
      <c r="M10" s="24">
        <f t="shared" ref="M10:M13" si="1">+K10*I10</f>
        <v>9082.7999999999993</v>
      </c>
      <c r="N10" s="949">
        <f t="shared" ref="N10:N13" si="2">+M10/$M$14</f>
        <v>2.6130049556990539E-2</v>
      </c>
      <c r="O10" s="147"/>
    </row>
    <row r="11" spans="1:16" x14ac:dyDescent="0.2">
      <c r="F11" s="1125"/>
      <c r="G11" s="1127" t="s">
        <v>552</v>
      </c>
      <c r="H11" s="1127"/>
      <c r="I11" s="371">
        <v>27</v>
      </c>
      <c r="J11" s="942">
        <f t="shared" si="0"/>
        <v>2.25</v>
      </c>
      <c r="K11" s="939">
        <v>9135</v>
      </c>
      <c r="L11" s="940">
        <v>1</v>
      </c>
      <c r="M11" s="24">
        <f t="shared" si="1"/>
        <v>246645</v>
      </c>
      <c r="N11" s="949">
        <f t="shared" si="2"/>
        <v>0.70956600090103616</v>
      </c>
      <c r="O11" s="147"/>
    </row>
    <row r="12" spans="1:16" x14ac:dyDescent="0.2">
      <c r="F12" s="1125"/>
      <c r="G12" s="1127" t="s">
        <v>553</v>
      </c>
      <c r="H12" s="1127"/>
      <c r="I12" s="371">
        <v>43</v>
      </c>
      <c r="J12" s="942">
        <f t="shared" si="0"/>
        <v>3.5833333333333335</v>
      </c>
      <c r="K12" s="939">
        <v>522</v>
      </c>
      <c r="L12" s="945">
        <v>10</v>
      </c>
      <c r="M12" s="24">
        <f t="shared" si="1"/>
        <v>22446</v>
      </c>
      <c r="N12" s="949">
        <f t="shared" si="2"/>
        <v>6.4574260399459377E-2</v>
      </c>
      <c r="O12" s="147"/>
    </row>
    <row r="13" spans="1:16" s="30" customFormat="1" x14ac:dyDescent="0.2">
      <c r="A13" s="27"/>
      <c r="F13" s="1126"/>
      <c r="G13" s="1127" t="s">
        <v>554</v>
      </c>
      <c r="H13" s="1127"/>
      <c r="I13" s="370">
        <v>72</v>
      </c>
      <c r="J13" s="942">
        <f t="shared" si="0"/>
        <v>6</v>
      </c>
      <c r="K13" s="939">
        <v>652.5</v>
      </c>
      <c r="L13" s="940">
        <v>15</v>
      </c>
      <c r="M13" s="24">
        <f t="shared" si="1"/>
        <v>46980</v>
      </c>
      <c r="N13" s="949">
        <f t="shared" si="2"/>
        <v>0.13515542874305453</v>
      </c>
      <c r="O13" s="147"/>
    </row>
    <row r="14" spans="1:16" s="30" customFormat="1" ht="13.5" thickBot="1" x14ac:dyDescent="0.25">
      <c r="A14" s="27"/>
      <c r="B14" s="28"/>
      <c r="C14" s="29"/>
      <c r="F14" s="31"/>
      <c r="G14" s="31"/>
      <c r="I14" s="374">
        <f>SUM(I9:I13)</f>
        <v>188</v>
      </c>
      <c r="J14" s="374">
        <f>SUM(J9:J13)</f>
        <v>15.666666666666668</v>
      </c>
      <c r="K14" s="947"/>
      <c r="M14" s="948">
        <f>SUM(M9:M13)</f>
        <v>347599.8</v>
      </c>
      <c r="N14" s="946">
        <f>SUM(N9:N13)</f>
        <v>1</v>
      </c>
    </row>
    <row r="15" spans="1:16" ht="15" thickTop="1" x14ac:dyDescent="0.2">
      <c r="A15" s="424"/>
      <c r="B15" s="1024" t="s">
        <v>36</v>
      </c>
      <c r="C15" s="1024"/>
      <c r="D15" s="1024"/>
      <c r="E15" s="1024"/>
      <c r="F15" s="1024"/>
      <c r="G15" s="1024"/>
      <c r="H15" s="1024"/>
      <c r="I15" s="1024"/>
      <c r="J15" s="1024"/>
      <c r="K15" s="1024"/>
      <c r="P15" s="508"/>
    </row>
    <row r="16" spans="1:16" ht="13.5" thickBot="1" x14ac:dyDescent="0.25">
      <c r="B16" s="15"/>
      <c r="J16" s="37"/>
      <c r="P16" s="508"/>
    </row>
    <row r="17" spans="2:16" s="38" customFormat="1" ht="31.5" customHeight="1" x14ac:dyDescent="0.2">
      <c r="B17" s="1032" t="s">
        <v>40</v>
      </c>
      <c r="C17" s="1033"/>
      <c r="D17" s="1036" t="s">
        <v>42</v>
      </c>
      <c r="E17" s="1033" t="s">
        <v>43</v>
      </c>
      <c r="F17" s="533" t="s">
        <v>565</v>
      </c>
      <c r="G17" s="1033" t="s">
        <v>43</v>
      </c>
      <c r="H17" s="1038" t="s">
        <v>46</v>
      </c>
      <c r="I17" s="1039"/>
      <c r="J17" s="1040" t="s">
        <v>47</v>
      </c>
      <c r="K17" s="1041"/>
      <c r="P17" s="508"/>
    </row>
    <row r="18" spans="2:16" x14ac:dyDescent="0.2">
      <c r="B18" s="1034"/>
      <c r="C18" s="1035"/>
      <c r="D18" s="1037"/>
      <c r="E18" s="1035"/>
      <c r="F18" s="534" t="s">
        <v>48</v>
      </c>
      <c r="G18" s="1035"/>
      <c r="H18" s="930" t="s">
        <v>49</v>
      </c>
      <c r="I18" s="932" t="s">
        <v>48</v>
      </c>
      <c r="J18" s="930" t="s">
        <v>49</v>
      </c>
      <c r="K18" s="931" t="s">
        <v>48</v>
      </c>
      <c r="P18" s="507"/>
    </row>
    <row r="19" spans="2:16" ht="13.5" thickBot="1" x14ac:dyDescent="0.25">
      <c r="B19" s="1118" t="s">
        <v>50</v>
      </c>
      <c r="C19" s="1119"/>
      <c r="D19" s="1119"/>
      <c r="E19" s="1119"/>
      <c r="F19" s="1119"/>
      <c r="G19" s="1119"/>
      <c r="H19" s="1119"/>
      <c r="I19" s="1119"/>
      <c r="J19" s="1119"/>
      <c r="K19" s="1119"/>
      <c r="L19" s="30"/>
      <c r="M19" s="366"/>
      <c r="N19" s="366"/>
      <c r="O19" s="367"/>
      <c r="P19" s="33"/>
    </row>
    <row r="20" spans="2:16" s="31" customFormat="1" ht="13.5" thickBot="1" x14ac:dyDescent="0.25">
      <c r="B20" s="1115" t="s">
        <v>51</v>
      </c>
      <c r="C20" s="1116"/>
      <c r="D20" s="912">
        <f>SUM(D21:D27)</f>
        <v>39963.157777777778</v>
      </c>
      <c r="E20" s="448"/>
      <c r="F20" s="448">
        <f>SUM(F21:F27)</f>
        <v>2550.8398581560277</v>
      </c>
      <c r="G20" s="448"/>
      <c r="H20" s="448"/>
      <c r="I20" s="448">
        <f>SUM(I21:I27)</f>
        <v>2550.8398581560277</v>
      </c>
      <c r="J20" s="448"/>
      <c r="K20" s="416">
        <f>SUM(K21:K27)</f>
        <v>2550.8398581560277</v>
      </c>
      <c r="L20" s="937"/>
    </row>
    <row r="21" spans="2:16" x14ac:dyDescent="0.2">
      <c r="B21" s="1060" t="s">
        <v>280</v>
      </c>
      <c r="C21" s="1117"/>
      <c r="D21" s="905">
        <v>27122.18</v>
      </c>
      <c r="E21" s="906"/>
      <c r="F21" s="905">
        <f>+D21/$J$14</f>
        <v>1731.2029787234042</v>
      </c>
      <c r="G21" s="906" t="s">
        <v>378</v>
      </c>
      <c r="H21" s="907" t="s">
        <v>54</v>
      </c>
      <c r="I21" s="908">
        <f t="shared" ref="I21:I27" si="3">IF($H21="S",F21,0)</f>
        <v>1731.2029787234042</v>
      </c>
      <c r="J21" s="907" t="s">
        <v>54</v>
      </c>
      <c r="K21" s="62">
        <f>IF($J21="S",F21,0)</f>
        <v>1731.2029787234042</v>
      </c>
    </row>
    <row r="22" spans="2:16" x14ac:dyDescent="0.2">
      <c r="B22" s="1110" t="s">
        <v>282</v>
      </c>
      <c r="C22" s="1111"/>
      <c r="D22" s="882">
        <v>4532.1155555555551</v>
      </c>
      <c r="E22" s="877"/>
      <c r="F22" s="905">
        <f t="shared" ref="F22:F27" si="4">+D22/$J$14</f>
        <v>289.28397163120565</v>
      </c>
      <c r="G22" s="877" t="s">
        <v>378</v>
      </c>
      <c r="H22" s="880" t="s">
        <v>54</v>
      </c>
      <c r="I22" s="881">
        <f t="shared" si="3"/>
        <v>289.28397163120565</v>
      </c>
      <c r="J22" s="883" t="s">
        <v>54</v>
      </c>
      <c r="K22" s="62">
        <f t="shared" ref="K22:K27" si="5">IF($J22="S",F22,0)</f>
        <v>289.28397163120565</v>
      </c>
    </row>
    <row r="23" spans="2:16" x14ac:dyDescent="0.2">
      <c r="B23" s="1110" t="s">
        <v>284</v>
      </c>
      <c r="C23" s="1111"/>
      <c r="D23" s="882">
        <v>4518.5533333333333</v>
      </c>
      <c r="E23" s="877"/>
      <c r="F23" s="905">
        <f t="shared" si="4"/>
        <v>288.41829787234042</v>
      </c>
      <c r="G23" s="877" t="s">
        <v>378</v>
      </c>
      <c r="H23" s="880" t="s">
        <v>54</v>
      </c>
      <c r="I23" s="881">
        <f t="shared" si="3"/>
        <v>288.41829787234042</v>
      </c>
      <c r="J23" s="880" t="s">
        <v>54</v>
      </c>
      <c r="K23" s="62">
        <f t="shared" si="5"/>
        <v>288.41829787234042</v>
      </c>
    </row>
    <row r="24" spans="2:16" x14ac:dyDescent="0.2">
      <c r="B24" s="1110" t="s">
        <v>286</v>
      </c>
      <c r="C24" s="1111"/>
      <c r="D24" s="882">
        <v>2259.2744444444443</v>
      </c>
      <c r="E24" s="877"/>
      <c r="F24" s="905">
        <f t="shared" si="4"/>
        <v>144.20900709219856</v>
      </c>
      <c r="G24" s="877" t="s">
        <v>378</v>
      </c>
      <c r="H24" s="880" t="s">
        <v>54</v>
      </c>
      <c r="I24" s="881">
        <f t="shared" si="3"/>
        <v>144.20900709219856</v>
      </c>
      <c r="J24" s="880" t="s">
        <v>54</v>
      </c>
      <c r="K24" s="62">
        <f t="shared" si="5"/>
        <v>144.20900709219856</v>
      </c>
    </row>
    <row r="25" spans="2:16" s="895" customFormat="1" x14ac:dyDescent="0.2">
      <c r="B25" s="1110" t="s">
        <v>288</v>
      </c>
      <c r="C25" s="1111"/>
      <c r="D25" s="882">
        <v>0</v>
      </c>
      <c r="E25" s="896"/>
      <c r="F25" s="905">
        <f t="shared" si="4"/>
        <v>0</v>
      </c>
      <c r="G25" s="896" t="s">
        <v>378</v>
      </c>
      <c r="H25" s="897" t="s">
        <v>57</v>
      </c>
      <c r="I25" s="881">
        <f t="shared" si="3"/>
        <v>0</v>
      </c>
      <c r="J25" s="897" t="s">
        <v>57</v>
      </c>
      <c r="K25" s="62">
        <f t="shared" si="5"/>
        <v>0</v>
      </c>
    </row>
    <row r="26" spans="2:16" s="895" customFormat="1" x14ac:dyDescent="0.2">
      <c r="B26" s="1110" t="s">
        <v>290</v>
      </c>
      <c r="C26" s="1111"/>
      <c r="D26" s="882">
        <v>0</v>
      </c>
      <c r="E26" s="896"/>
      <c r="F26" s="905">
        <f t="shared" si="4"/>
        <v>0</v>
      </c>
      <c r="G26" s="896" t="s">
        <v>378</v>
      </c>
      <c r="H26" s="897" t="s">
        <v>57</v>
      </c>
      <c r="I26" s="881">
        <f t="shared" si="3"/>
        <v>0</v>
      </c>
      <c r="J26" s="897" t="s">
        <v>57</v>
      </c>
      <c r="K26" s="62">
        <f t="shared" si="5"/>
        <v>0</v>
      </c>
    </row>
    <row r="27" spans="2:16" ht="13.5" thickBot="1" x14ac:dyDescent="0.25">
      <c r="B27" s="1102" t="s">
        <v>292</v>
      </c>
      <c r="C27" s="1103"/>
      <c r="D27" s="901">
        <v>1531.0344444444445</v>
      </c>
      <c r="E27" s="902"/>
      <c r="F27" s="905">
        <f t="shared" si="4"/>
        <v>97.725602836879432</v>
      </c>
      <c r="G27" s="902" t="s">
        <v>378</v>
      </c>
      <c r="H27" s="903" t="s">
        <v>54</v>
      </c>
      <c r="I27" s="904">
        <f t="shared" si="3"/>
        <v>97.725602836879432</v>
      </c>
      <c r="J27" s="903" t="s">
        <v>54</v>
      </c>
      <c r="K27" s="62">
        <f t="shared" si="5"/>
        <v>97.725602836879432</v>
      </c>
    </row>
    <row r="28" spans="2:16" s="31" customFormat="1" ht="13.5" thickBot="1" x14ac:dyDescent="0.25">
      <c r="B28" s="1115" t="s">
        <v>539</v>
      </c>
      <c r="C28" s="1116"/>
      <c r="D28" s="448">
        <f>SUM(D29:D38)</f>
        <v>12639.627</v>
      </c>
      <c r="E28" s="448"/>
      <c r="F28" s="448">
        <f>SUM(F29:F38)</f>
        <v>796.51321121242802</v>
      </c>
      <c r="G28" s="448"/>
      <c r="H28" s="448"/>
      <c r="I28" s="448">
        <f>SUM(I29:I38)</f>
        <v>796.51321121242802</v>
      </c>
      <c r="J28" s="448"/>
      <c r="K28" s="416">
        <f>SUM(K29:K38)</f>
        <v>796.51321121242802</v>
      </c>
    </row>
    <row r="29" spans="2:16" s="31" customFormat="1" x14ac:dyDescent="0.2">
      <c r="B29" s="1060" t="str">
        <f>+'SEC -RLP1 '!B52</f>
        <v xml:space="preserve">         MATERIAL DE ESCRITORIO</v>
      </c>
      <c r="C29" s="1117"/>
      <c r="D29" s="905">
        <f>+'SEC -RLP1 '!P52</f>
        <v>2114.8566666666666</v>
      </c>
      <c r="E29" s="906" t="s">
        <v>27</v>
      </c>
      <c r="F29" s="905">
        <f>+(D29/$J$14)</f>
        <v>134.99085106382978</v>
      </c>
      <c r="G29" s="906" t="s">
        <v>378</v>
      </c>
      <c r="H29" s="907" t="s">
        <v>54</v>
      </c>
      <c r="I29" s="908">
        <f t="shared" ref="I29:I37" si="6">IF($H29="S",F29,0)</f>
        <v>134.99085106382978</v>
      </c>
      <c r="J29" s="907" t="s">
        <v>54</v>
      </c>
      <c r="K29" s="62">
        <f t="shared" ref="K29:K37" si="7">IF($J29="S",F29,0)</f>
        <v>134.99085106382978</v>
      </c>
    </row>
    <row r="30" spans="2:16" s="31" customFormat="1" x14ac:dyDescent="0.2">
      <c r="B30" s="1110" t="str">
        <f>+'SEC -RLP1 '!B54</f>
        <v xml:space="preserve">         SERVICIO DE COURIER</v>
      </c>
      <c r="C30" s="1111"/>
      <c r="D30" s="882">
        <f>+'SEC -RLP1 '!P54</f>
        <v>53.456666666666671</v>
      </c>
      <c r="E30" s="877" t="s">
        <v>27</v>
      </c>
      <c r="F30" s="882">
        <f t="shared" ref="F30:F37" si="8">+(D30/$J$14)</f>
        <v>3.4121276595744683</v>
      </c>
      <c r="G30" s="877" t="s">
        <v>378</v>
      </c>
      <c r="H30" s="880" t="s">
        <v>54</v>
      </c>
      <c r="I30" s="881">
        <f t="shared" si="6"/>
        <v>3.4121276595744683</v>
      </c>
      <c r="J30" s="880" t="s">
        <v>54</v>
      </c>
      <c r="K30" s="82">
        <f t="shared" si="7"/>
        <v>3.4121276595744683</v>
      </c>
    </row>
    <row r="31" spans="2:16" s="31" customFormat="1" x14ac:dyDescent="0.2">
      <c r="B31" s="1110" t="str">
        <f>+'SEC -RLP1 '!B55</f>
        <v xml:space="preserve">         SERVICIOS Y COMUNICACIONES</v>
      </c>
      <c r="C31" s="1111"/>
      <c r="D31" s="882">
        <f>+'SEC -RLP1 '!P55</f>
        <v>2260.4166666666665</v>
      </c>
      <c r="E31" s="877" t="s">
        <v>27</v>
      </c>
      <c r="F31" s="882">
        <f t="shared" si="8"/>
        <v>144.281914893617</v>
      </c>
      <c r="G31" s="877" t="s">
        <v>378</v>
      </c>
      <c r="H31" s="880" t="s">
        <v>54</v>
      </c>
      <c r="I31" s="881">
        <f t="shared" si="6"/>
        <v>144.281914893617</v>
      </c>
      <c r="J31" s="880" t="s">
        <v>54</v>
      </c>
      <c r="K31" s="82">
        <f t="shared" si="7"/>
        <v>144.281914893617</v>
      </c>
    </row>
    <row r="32" spans="2:16" s="31" customFormat="1" x14ac:dyDescent="0.2">
      <c r="B32" s="1110" t="str">
        <f>+'SEC -RLP1 '!B56</f>
        <v xml:space="preserve">         SERVICIO DE SEGURIDAD</v>
      </c>
      <c r="C32" s="1111"/>
      <c r="D32" s="882">
        <f>+'SEC -RLP1 '!P56</f>
        <v>870.18333333333305</v>
      </c>
      <c r="E32" s="877" t="s">
        <v>27</v>
      </c>
      <c r="F32" s="882">
        <f t="shared" si="8"/>
        <v>55.543617021276575</v>
      </c>
      <c r="G32" s="877" t="s">
        <v>378</v>
      </c>
      <c r="H32" s="880" t="s">
        <v>54</v>
      </c>
      <c r="I32" s="881">
        <f t="shared" si="6"/>
        <v>55.543617021276575</v>
      </c>
      <c r="J32" s="880" t="s">
        <v>54</v>
      </c>
      <c r="K32" s="82">
        <f t="shared" si="7"/>
        <v>55.543617021276575</v>
      </c>
    </row>
    <row r="33" spans="2:18" s="31" customFormat="1" x14ac:dyDescent="0.2">
      <c r="B33" s="1110" t="str">
        <f>+'SEC -RLP1 '!B58</f>
        <v xml:space="preserve">         REPARACION Y MANTENIMIENTO</v>
      </c>
      <c r="C33" s="1111"/>
      <c r="D33" s="882">
        <f>+'SEC -RLP1 '!P58</f>
        <v>27.066666666666666</v>
      </c>
      <c r="E33" s="877" t="s">
        <v>27</v>
      </c>
      <c r="F33" s="882">
        <f t="shared" si="8"/>
        <v>1.7276595744680849</v>
      </c>
      <c r="G33" s="877" t="s">
        <v>378</v>
      </c>
      <c r="H33" s="880" t="s">
        <v>54</v>
      </c>
      <c r="I33" s="881">
        <f t="shared" si="6"/>
        <v>1.7276595744680849</v>
      </c>
      <c r="J33" s="880" t="s">
        <v>54</v>
      </c>
      <c r="K33" s="82">
        <f t="shared" si="7"/>
        <v>1.7276595744680849</v>
      </c>
    </row>
    <row r="34" spans="2:18" s="31" customFormat="1" x14ac:dyDescent="0.2">
      <c r="B34" s="1110" t="str">
        <f>+'SEC -RLP1 '!B69</f>
        <v xml:space="preserve">         GASTOS MOVILIDAD</v>
      </c>
      <c r="C34" s="1111"/>
      <c r="D34" s="882">
        <f>+'SEC -RLP1 '!P69</f>
        <v>1043.1388888888889</v>
      </c>
      <c r="E34" s="877" t="s">
        <v>27</v>
      </c>
      <c r="F34" s="882">
        <f t="shared" si="8"/>
        <v>66.583333333333329</v>
      </c>
      <c r="G34" s="877" t="s">
        <v>378</v>
      </c>
      <c r="H34" s="880" t="s">
        <v>54</v>
      </c>
      <c r="I34" s="881">
        <f t="shared" si="6"/>
        <v>66.583333333333329</v>
      </c>
      <c r="J34" s="880" t="s">
        <v>54</v>
      </c>
      <c r="K34" s="82">
        <f t="shared" si="7"/>
        <v>66.583333333333329</v>
      </c>
    </row>
    <row r="35" spans="2:18" s="31" customFormat="1" x14ac:dyDescent="0.2">
      <c r="B35" s="1110" t="str">
        <f>+'SEC -RLP1 '!B70</f>
        <v xml:space="preserve">         SERVICIOS Y MATERIAL DE LIMPIEZA</v>
      </c>
      <c r="C35" s="1111"/>
      <c r="D35" s="882">
        <f>+'SEC -RLP1 '!P70</f>
        <v>1311.9777777777776</v>
      </c>
      <c r="E35" s="877" t="s">
        <v>27</v>
      </c>
      <c r="F35" s="882">
        <f t="shared" si="8"/>
        <v>83.743262411347501</v>
      </c>
      <c r="G35" s="877" t="s">
        <v>378</v>
      </c>
      <c r="H35" s="880" t="s">
        <v>54</v>
      </c>
      <c r="I35" s="881">
        <f t="shared" si="6"/>
        <v>83.743262411347501</v>
      </c>
      <c r="J35" s="880" t="s">
        <v>54</v>
      </c>
      <c r="K35" s="82">
        <f t="shared" si="7"/>
        <v>83.743262411347501</v>
      </c>
    </row>
    <row r="36" spans="2:18" s="31" customFormat="1" x14ac:dyDescent="0.2">
      <c r="B36" s="1110" t="str">
        <f>+'SEC -RLP1 '!B72</f>
        <v xml:space="preserve">         SUSCRIPCIONES Y CUOTAS</v>
      </c>
      <c r="C36" s="1111"/>
      <c r="D36" s="882">
        <f>+'SEC -RLP1 '!P72</f>
        <v>448.75</v>
      </c>
      <c r="E36" s="877" t="s">
        <v>27</v>
      </c>
      <c r="F36" s="882">
        <f>+(D36/$J$14)</f>
        <v>28.643617021276594</v>
      </c>
      <c r="G36" s="877" t="s">
        <v>378</v>
      </c>
      <c r="H36" s="880" t="s">
        <v>54</v>
      </c>
      <c r="I36" s="881">
        <f t="shared" si="6"/>
        <v>28.643617021276594</v>
      </c>
      <c r="J36" s="880" t="s">
        <v>54</v>
      </c>
      <c r="K36" s="82">
        <f t="shared" si="7"/>
        <v>28.643617021276594</v>
      </c>
    </row>
    <row r="37" spans="2:18" x14ac:dyDescent="0.2">
      <c r="B37" s="1110" t="str">
        <f>+'SEC -RLP1 '!B77</f>
        <v xml:space="preserve">         SERVICIOS PUBLICITARIOS</v>
      </c>
      <c r="C37" s="1111"/>
      <c r="D37" s="882">
        <f>+'SEC -RLP1 '!P77</f>
        <v>2973.7255555555562</v>
      </c>
      <c r="E37" s="877" t="s">
        <v>27</v>
      </c>
      <c r="F37" s="882">
        <f t="shared" si="8"/>
        <v>189.81226950354613</v>
      </c>
      <c r="G37" s="877" t="s">
        <v>378</v>
      </c>
      <c r="H37" s="880" t="s">
        <v>54</v>
      </c>
      <c r="I37" s="881">
        <f t="shared" si="6"/>
        <v>189.81226950354613</v>
      </c>
      <c r="J37" s="880" t="s">
        <v>54</v>
      </c>
      <c r="K37" s="82">
        <f t="shared" si="7"/>
        <v>189.81226950354613</v>
      </c>
    </row>
    <row r="38" spans="2:18" ht="13.5" thickBot="1" x14ac:dyDescent="0.25">
      <c r="B38" s="1102" t="s">
        <v>69</v>
      </c>
      <c r="C38" s="1103"/>
      <c r="D38" s="901">
        <v>1536.0547777777774</v>
      </c>
      <c r="E38" s="902" t="s">
        <v>27</v>
      </c>
      <c r="F38" s="901">
        <v>87.774558730158716</v>
      </c>
      <c r="G38" s="902" t="s">
        <v>378</v>
      </c>
      <c r="H38" s="903" t="s">
        <v>54</v>
      </c>
      <c r="I38" s="904">
        <v>87.774558730158716</v>
      </c>
      <c r="J38" s="903" t="s">
        <v>54</v>
      </c>
      <c r="K38" s="70">
        <v>87.774558730158716</v>
      </c>
    </row>
    <row r="39" spans="2:18" s="31" customFormat="1" ht="13.5" thickBot="1" x14ac:dyDescent="0.25">
      <c r="B39" s="1115" t="s">
        <v>527</v>
      </c>
      <c r="C39" s="1116"/>
      <c r="D39" s="912">
        <f>+D28+D20</f>
        <v>52602.784777777779</v>
      </c>
      <c r="E39" s="448"/>
      <c r="F39" s="448">
        <f t="shared" ref="F39" si="9">+F40+F41</f>
        <v>4495.4103503546103</v>
      </c>
      <c r="G39" s="448"/>
      <c r="H39" s="448"/>
      <c r="I39" s="448">
        <f>SUM(I40:I41)</f>
        <v>4495.4103503546103</v>
      </c>
      <c r="J39" s="448"/>
      <c r="K39" s="416">
        <f>+K40+K41</f>
        <v>4495.4103503546103</v>
      </c>
    </row>
    <row r="40" spans="2:18" x14ac:dyDescent="0.2">
      <c r="B40" s="1060" t="str">
        <f>+'SEC -RLP1 '!B82</f>
        <v xml:space="preserve">         GASTOS SA</v>
      </c>
      <c r="C40" s="1117"/>
      <c r="D40" s="905">
        <f>+'SEC -RLP1 '!P82</f>
        <v>28789.953377777783</v>
      </c>
      <c r="E40" s="906" t="s">
        <v>378</v>
      </c>
      <c r="F40" s="905">
        <f>+(D40/($J$14))</f>
        <v>1837.6565985815605</v>
      </c>
      <c r="G40" s="906" t="s">
        <v>378</v>
      </c>
      <c r="H40" s="907" t="s">
        <v>54</v>
      </c>
      <c r="I40" s="908">
        <f>IF($H40="S",F40,0)</f>
        <v>1837.6565985815605</v>
      </c>
      <c r="J40" s="907" t="s">
        <v>54</v>
      </c>
      <c r="K40" s="62">
        <f>IF($J40="S",F40,0)</f>
        <v>1837.6565985815605</v>
      </c>
    </row>
    <row r="41" spans="2:18" ht="13.5" thickBot="1" x14ac:dyDescent="0.25">
      <c r="B41" s="1102" t="str">
        <f>+'SEC -RLP1 '!B83</f>
        <v xml:space="preserve">         GASTOS DN</v>
      </c>
      <c r="C41" s="1103"/>
      <c r="D41" s="901">
        <f>+'SEC -RLP1 '!P83</f>
        <v>41638.142111111112</v>
      </c>
      <c r="E41" s="902" t="s">
        <v>378</v>
      </c>
      <c r="F41" s="905">
        <f>+(D41/($J$14))</f>
        <v>2657.7537517730493</v>
      </c>
      <c r="G41" s="902" t="s">
        <v>378</v>
      </c>
      <c r="H41" s="903" t="s">
        <v>54</v>
      </c>
      <c r="I41" s="904">
        <f>IF($H41="S",F41,0)</f>
        <v>2657.7537517730493</v>
      </c>
      <c r="J41" s="903" t="s">
        <v>54</v>
      </c>
      <c r="K41" s="70">
        <f>IF($J41="S",F41,0)</f>
        <v>2657.7537517730493</v>
      </c>
    </row>
    <row r="42" spans="2:18" s="31" customFormat="1" ht="13.5" thickBot="1" x14ac:dyDescent="0.25">
      <c r="B42" s="1115" t="s">
        <v>537</v>
      </c>
      <c r="C42" s="1116"/>
      <c r="D42" s="448"/>
      <c r="E42" s="448"/>
      <c r="F42" s="448"/>
      <c r="G42" s="448"/>
      <c r="H42" s="448"/>
      <c r="I42" s="448">
        <f>SUM(I43:I60)</f>
        <v>3220</v>
      </c>
      <c r="J42" s="448"/>
      <c r="K42" s="416">
        <f>SUM(K43:K55)</f>
        <v>11410</v>
      </c>
    </row>
    <row r="43" spans="2:18" s="31" customFormat="1" x14ac:dyDescent="0.2">
      <c r="B43" s="1128" t="str">
        <f>+'SEC -RLP1 '!B48</f>
        <v xml:space="preserve">         HONORARIOS DOCENTES</v>
      </c>
      <c r="C43" s="1129"/>
      <c r="D43" s="909"/>
      <c r="E43" s="909"/>
      <c r="F43" s="909"/>
      <c r="G43" s="909"/>
      <c r="H43" s="910"/>
      <c r="I43" s="911"/>
      <c r="J43" s="910"/>
      <c r="K43" s="871"/>
      <c r="O43" s="31">
        <v>25</v>
      </c>
      <c r="P43" s="31">
        <v>126</v>
      </c>
      <c r="Q43" s="934">
        <v>0.2</v>
      </c>
      <c r="R43" s="935" t="s">
        <v>568</v>
      </c>
    </row>
    <row r="44" spans="2:18" x14ac:dyDescent="0.2">
      <c r="B44" s="1066" t="s">
        <v>556</v>
      </c>
      <c r="C44" s="1109"/>
      <c r="D44" s="624">
        <v>126</v>
      </c>
      <c r="E44" s="877" t="s">
        <v>564</v>
      </c>
      <c r="F44" s="882">
        <v>20</v>
      </c>
      <c r="G44" s="877" t="s">
        <v>56</v>
      </c>
      <c r="H44" s="880" t="s">
        <v>54</v>
      </c>
      <c r="I44" s="881">
        <f>IF($H44="S",(D44*F44),0)</f>
        <v>2520</v>
      </c>
      <c r="J44" s="883" t="s">
        <v>54</v>
      </c>
      <c r="K44" s="82">
        <f>IF($J44="S",(D44*F44),0)</f>
        <v>2520</v>
      </c>
      <c r="O44" s="1">
        <v>2200</v>
      </c>
      <c r="P44" s="1">
        <v>110</v>
      </c>
      <c r="Q44" s="242">
        <v>0.1</v>
      </c>
      <c r="R44" s="1" t="s">
        <v>567</v>
      </c>
    </row>
    <row r="45" spans="2:18" x14ac:dyDescent="0.2">
      <c r="B45" s="1066" t="s">
        <v>557</v>
      </c>
      <c r="C45" s="1109"/>
      <c r="D45" s="635">
        <v>110</v>
      </c>
      <c r="E45" s="877" t="s">
        <v>564</v>
      </c>
      <c r="F45" s="882">
        <v>21</v>
      </c>
      <c r="G45" s="877" t="s">
        <v>56</v>
      </c>
      <c r="H45" s="883" t="s">
        <v>57</v>
      </c>
      <c r="I45" s="881">
        <f t="shared" ref="I45:I47" si="10">IF($H45="S",(D45*F45),0)</f>
        <v>0</v>
      </c>
      <c r="J45" s="883" t="s">
        <v>54</v>
      </c>
      <c r="K45" s="82">
        <f t="shared" ref="K45:K47" si="11">IF($J45="S",(D45*F45),0)</f>
        <v>2310</v>
      </c>
      <c r="O45" s="1">
        <v>2000</v>
      </c>
      <c r="P45" s="1">
        <v>100</v>
      </c>
      <c r="Q45" s="242">
        <v>0.15</v>
      </c>
      <c r="R45" s="1" t="s">
        <v>569</v>
      </c>
    </row>
    <row r="46" spans="2:18" x14ac:dyDescent="0.2">
      <c r="B46" s="1066" t="s">
        <v>558</v>
      </c>
      <c r="C46" s="1109"/>
      <c r="D46" s="635">
        <v>100</v>
      </c>
      <c r="E46" s="877" t="s">
        <v>564</v>
      </c>
      <c r="F46" s="882">
        <v>22</v>
      </c>
      <c r="G46" s="877" t="s">
        <v>56</v>
      </c>
      <c r="H46" s="883" t="s">
        <v>57</v>
      </c>
      <c r="I46" s="881">
        <f t="shared" si="10"/>
        <v>0</v>
      </c>
      <c r="J46" s="883" t="s">
        <v>54</v>
      </c>
      <c r="K46" s="82">
        <f t="shared" si="11"/>
        <v>2200</v>
      </c>
      <c r="O46" s="1">
        <v>160</v>
      </c>
      <c r="P46" s="1">
        <v>160</v>
      </c>
      <c r="Q46" s="1" t="s">
        <v>566</v>
      </c>
    </row>
    <row r="47" spans="2:18" x14ac:dyDescent="0.2">
      <c r="B47" s="1066" t="s">
        <v>559</v>
      </c>
      <c r="C47" s="1109"/>
      <c r="D47" s="635">
        <v>160</v>
      </c>
      <c r="E47" s="877" t="s">
        <v>564</v>
      </c>
      <c r="F47" s="882">
        <v>23</v>
      </c>
      <c r="G47" s="877" t="s">
        <v>56</v>
      </c>
      <c r="H47" s="883" t="s">
        <v>57</v>
      </c>
      <c r="I47" s="881">
        <f t="shared" si="10"/>
        <v>0</v>
      </c>
      <c r="J47" s="883" t="s">
        <v>54</v>
      </c>
      <c r="K47" s="82">
        <f t="shared" si="11"/>
        <v>3680</v>
      </c>
    </row>
    <row r="48" spans="2:18" s="31" customFormat="1" x14ac:dyDescent="0.2">
      <c r="B48" s="1106" t="str">
        <f>+'SEC -RLP1 '!B53</f>
        <v xml:space="preserve">         SERVICIOS EXTERNOS  </v>
      </c>
      <c r="C48" s="1107"/>
      <c r="D48" s="873"/>
      <c r="E48" s="873"/>
      <c r="F48" s="873"/>
      <c r="G48" s="873"/>
      <c r="H48" s="936" t="s">
        <v>54</v>
      </c>
      <c r="I48" s="875"/>
      <c r="J48" s="874"/>
      <c r="K48" s="872"/>
    </row>
    <row r="49" spans="2:11" s="31" customFormat="1" x14ac:dyDescent="0.2">
      <c r="B49" s="1066" t="s">
        <v>530</v>
      </c>
      <c r="C49" s="1108"/>
      <c r="D49" s="882"/>
      <c r="E49" s="877"/>
      <c r="F49" s="882">
        <v>400</v>
      </c>
      <c r="G49" s="877"/>
      <c r="H49" s="880" t="s">
        <v>54</v>
      </c>
      <c r="I49" s="881">
        <f>IF($H49="S",F49,0)</f>
        <v>400</v>
      </c>
      <c r="J49" s="880" t="s">
        <v>54</v>
      </c>
      <c r="K49" s="82">
        <f>IF($J49="S",F49,0)</f>
        <v>400</v>
      </c>
    </row>
    <row r="50" spans="2:11" ht="12" customHeight="1" x14ac:dyDescent="0.2">
      <c r="B50" s="1112" t="s">
        <v>67</v>
      </c>
      <c r="C50" s="1107"/>
      <c r="D50" s="873"/>
      <c r="E50" s="873"/>
      <c r="F50" s="873"/>
      <c r="G50" s="873"/>
      <c r="H50" s="874"/>
      <c r="I50" s="875">
        <f>IF($H50="S",#REF!,0)</f>
        <v>0</v>
      </c>
      <c r="J50" s="874"/>
      <c r="K50" s="872">
        <f>IF($H50="S",#REF!,0)</f>
        <v>0</v>
      </c>
    </row>
    <row r="51" spans="2:11" x14ac:dyDescent="0.2">
      <c r="B51" s="1113" t="s">
        <v>68</v>
      </c>
      <c r="C51" s="1114"/>
      <c r="D51" s="882"/>
      <c r="E51" s="877"/>
      <c r="F51" s="882">
        <v>300</v>
      </c>
      <c r="G51" s="877" t="s">
        <v>378</v>
      </c>
      <c r="H51" s="883" t="s">
        <v>57</v>
      </c>
      <c r="I51" s="881">
        <f>IF($H51="S",F51,0)</f>
        <v>0</v>
      </c>
      <c r="J51" s="880" t="s">
        <v>54</v>
      </c>
      <c r="K51" s="82">
        <f t="shared" ref="K51:K55" si="12">IF($J51="S",F51,0)</f>
        <v>300</v>
      </c>
    </row>
    <row r="52" spans="2:11" ht="12" customHeight="1" x14ac:dyDescent="0.2">
      <c r="B52" s="1066" t="s">
        <v>560</v>
      </c>
      <c r="C52" s="1108"/>
      <c r="D52" s="882"/>
      <c r="E52" s="877"/>
      <c r="F52" s="882">
        <v>143.68</v>
      </c>
      <c r="G52" s="877" t="s">
        <v>378</v>
      </c>
      <c r="H52" s="883" t="s">
        <v>57</v>
      </c>
      <c r="I52" s="881">
        <f>IF($H52="S",F52,0)</f>
        <v>0</v>
      </c>
      <c r="J52" s="883" t="s">
        <v>57</v>
      </c>
      <c r="K52" s="82">
        <f t="shared" si="12"/>
        <v>0</v>
      </c>
    </row>
    <row r="53" spans="2:11" ht="12" customHeight="1" x14ac:dyDescent="0.2">
      <c r="B53" s="1066" t="s">
        <v>561</v>
      </c>
      <c r="C53" s="1108"/>
      <c r="D53" s="882"/>
      <c r="E53" s="877"/>
      <c r="F53" s="882">
        <v>275.86</v>
      </c>
      <c r="G53" s="877" t="s">
        <v>378</v>
      </c>
      <c r="H53" s="883" t="s">
        <v>57</v>
      </c>
      <c r="I53" s="881">
        <f t="shared" ref="I53:I58" si="13">IF($H53="S",F53,0)</f>
        <v>0</v>
      </c>
      <c r="J53" s="883" t="s">
        <v>57</v>
      </c>
      <c r="K53" s="82">
        <f t="shared" si="12"/>
        <v>0</v>
      </c>
    </row>
    <row r="54" spans="2:11" ht="12" customHeight="1" x14ac:dyDescent="0.2">
      <c r="B54" s="1066" t="s">
        <v>562</v>
      </c>
      <c r="C54" s="1108"/>
      <c r="D54" s="882"/>
      <c r="E54" s="877"/>
      <c r="F54" s="882">
        <f>100*6.96</f>
        <v>696</v>
      </c>
      <c r="G54" s="877" t="s">
        <v>378</v>
      </c>
      <c r="H54" s="883" t="s">
        <v>57</v>
      </c>
      <c r="I54" s="881">
        <f t="shared" si="13"/>
        <v>0</v>
      </c>
      <c r="J54" s="883" t="s">
        <v>57</v>
      </c>
      <c r="K54" s="82">
        <f t="shared" si="12"/>
        <v>0</v>
      </c>
    </row>
    <row r="55" spans="2:11" x14ac:dyDescent="0.2">
      <c r="B55" s="1066" t="s">
        <v>563</v>
      </c>
      <c r="C55" s="1108"/>
      <c r="D55" s="882"/>
      <c r="E55" s="877"/>
      <c r="F55" s="882">
        <f>150*6.96</f>
        <v>1044</v>
      </c>
      <c r="G55" s="877" t="s">
        <v>378</v>
      </c>
      <c r="H55" s="883" t="s">
        <v>57</v>
      </c>
      <c r="I55" s="881">
        <f t="shared" si="13"/>
        <v>0</v>
      </c>
      <c r="J55" s="883" t="s">
        <v>57</v>
      </c>
      <c r="K55" s="82">
        <f t="shared" si="12"/>
        <v>0</v>
      </c>
    </row>
    <row r="56" spans="2:11" s="31" customFormat="1" x14ac:dyDescent="0.2">
      <c r="B56" s="1106" t="str">
        <f>+'SEC -RLP1 '!B60</f>
        <v xml:space="preserve">         ALQUILER OTROS</v>
      </c>
      <c r="C56" s="1107"/>
      <c r="D56" s="873"/>
      <c r="E56" s="873"/>
      <c r="F56" s="873"/>
      <c r="G56" s="873"/>
      <c r="H56" s="874"/>
      <c r="I56" s="875"/>
      <c r="J56" s="874"/>
      <c r="K56" s="872"/>
    </row>
    <row r="57" spans="2:11" s="31" customFormat="1" x14ac:dyDescent="0.2">
      <c r="B57" s="1066" t="s">
        <v>534</v>
      </c>
      <c r="C57" s="1108"/>
      <c r="D57" s="882"/>
      <c r="E57" s="877"/>
      <c r="F57" s="882">
        <v>3000</v>
      </c>
      <c r="G57" s="877" t="s">
        <v>378</v>
      </c>
      <c r="H57" s="883" t="s">
        <v>57</v>
      </c>
      <c r="I57" s="881">
        <f t="shared" si="13"/>
        <v>0</v>
      </c>
      <c r="J57" s="883" t="s">
        <v>57</v>
      </c>
      <c r="K57" s="82">
        <f t="shared" ref="K57:K58" si="14">IF($J57="S",F57,0)</f>
        <v>0</v>
      </c>
    </row>
    <row r="58" spans="2:11" s="31" customFormat="1" x14ac:dyDescent="0.2">
      <c r="B58" s="1066" t="s">
        <v>535</v>
      </c>
      <c r="C58" s="1108"/>
      <c r="D58" s="882"/>
      <c r="E58" s="877"/>
      <c r="F58" s="882">
        <v>200</v>
      </c>
      <c r="G58" s="877" t="s">
        <v>378</v>
      </c>
      <c r="H58" s="883" t="s">
        <v>57</v>
      </c>
      <c r="I58" s="881">
        <f t="shared" si="13"/>
        <v>0</v>
      </c>
      <c r="J58" s="883" t="s">
        <v>57</v>
      </c>
      <c r="K58" s="82">
        <f t="shared" si="14"/>
        <v>0</v>
      </c>
    </row>
    <row r="59" spans="2:11" s="31" customFormat="1" x14ac:dyDescent="0.2">
      <c r="B59" s="1112" t="s">
        <v>328</v>
      </c>
      <c r="C59" s="1107"/>
      <c r="D59" s="873"/>
      <c r="E59" s="873"/>
      <c r="F59" s="873"/>
      <c r="G59" s="873"/>
      <c r="H59" s="874"/>
      <c r="I59" s="875">
        <f>IF($H59="S",#REF!,0)</f>
        <v>0</v>
      </c>
      <c r="J59" s="874"/>
      <c r="K59" s="872">
        <f>IF($J59="S",#REF!,0)</f>
        <v>0</v>
      </c>
    </row>
    <row r="60" spans="2:11" s="31" customFormat="1" ht="13.5" thickBot="1" x14ac:dyDescent="0.25">
      <c r="B60" s="1120" t="s">
        <v>531</v>
      </c>
      <c r="C60" s="1121"/>
      <c r="D60" s="901"/>
      <c r="E60" s="902"/>
      <c r="F60" s="901">
        <v>300</v>
      </c>
      <c r="G60" s="902" t="s">
        <v>378</v>
      </c>
      <c r="H60" s="903" t="s">
        <v>54</v>
      </c>
      <c r="I60" s="904">
        <f>IF($H60="S",F60,0)</f>
        <v>300</v>
      </c>
      <c r="J60" s="913" t="s">
        <v>57</v>
      </c>
      <c r="K60" s="70">
        <f>IF($J60="S",F60,0)</f>
        <v>0</v>
      </c>
    </row>
    <row r="61" spans="2:11" s="27" customFormat="1" ht="13.5" thickBot="1" x14ac:dyDescent="0.25">
      <c r="B61" s="1104" t="s">
        <v>76</v>
      </c>
      <c r="C61" s="1105"/>
      <c r="D61" s="918"/>
      <c r="E61" s="918"/>
      <c r="F61" s="919"/>
      <c r="G61" s="918"/>
      <c r="H61" s="919"/>
      <c r="I61" s="919">
        <f>+I20+I28+I42+I39</f>
        <v>11062.763419723065</v>
      </c>
      <c r="J61" s="918"/>
      <c r="K61" s="920">
        <f>+K20+K28+K42+K39</f>
        <v>19252.763419723065</v>
      </c>
    </row>
    <row r="62" spans="2:11" x14ac:dyDescent="0.2">
      <c r="B62" s="914" t="s">
        <v>81</v>
      </c>
      <c r="C62" s="915"/>
      <c r="D62" s="916"/>
      <c r="E62" s="916"/>
      <c r="F62" s="916"/>
      <c r="G62" s="916"/>
      <c r="H62" s="916"/>
      <c r="I62" s="916"/>
      <c r="J62" s="916"/>
      <c r="K62" s="917"/>
    </row>
    <row r="63" spans="2:11" s="31" customFormat="1" x14ac:dyDescent="0.2">
      <c r="B63" s="1106" t="s">
        <v>324</v>
      </c>
      <c r="C63" s="1107"/>
      <c r="D63" s="873"/>
      <c r="E63" s="873"/>
      <c r="F63" s="873"/>
      <c r="G63" s="873"/>
      <c r="H63" s="874"/>
      <c r="I63" s="875"/>
      <c r="J63" s="874"/>
      <c r="K63" s="872"/>
    </row>
    <row r="64" spans="2:11" x14ac:dyDescent="0.2">
      <c r="B64" s="1066" t="s">
        <v>84</v>
      </c>
      <c r="C64" s="1108"/>
      <c r="D64" s="876"/>
      <c r="E64" s="878"/>
      <c r="F64" s="879">
        <v>10</v>
      </c>
      <c r="G64" s="877" t="s">
        <v>378</v>
      </c>
      <c r="H64" s="883" t="s">
        <v>57</v>
      </c>
      <c r="I64" s="881">
        <f>IF($H64="S",#REF!,0)</f>
        <v>0</v>
      </c>
      <c r="J64" s="880" t="s">
        <v>54</v>
      </c>
      <c r="K64" s="82">
        <f>IF($J64="S",F64,0)</f>
        <v>10</v>
      </c>
    </row>
    <row r="65" spans="1:13" s="31" customFormat="1" x14ac:dyDescent="0.2">
      <c r="B65" s="1106" t="str">
        <f>+'SEC -RLP1 '!B68</f>
        <v xml:space="preserve">         GASTOS DE IMPRENTA</v>
      </c>
      <c r="C65" s="1107"/>
      <c r="D65" s="873"/>
      <c r="E65" s="873"/>
      <c r="F65" s="873"/>
      <c r="G65" s="873"/>
      <c r="H65" s="874"/>
      <c r="I65" s="875">
        <f>IF($H65="S",#REF!,0)</f>
        <v>0</v>
      </c>
      <c r="J65" s="874"/>
      <c r="K65" s="872"/>
    </row>
    <row r="66" spans="1:13" x14ac:dyDescent="0.2">
      <c r="B66" s="1006" t="s">
        <v>83</v>
      </c>
      <c r="C66" s="1108"/>
      <c r="D66" s="876"/>
      <c r="E66" s="878"/>
      <c r="F66" s="879">
        <v>2</v>
      </c>
      <c r="G66" s="877" t="s">
        <v>378</v>
      </c>
      <c r="H66" s="880" t="s">
        <v>54</v>
      </c>
      <c r="I66" s="881">
        <f>IF($H66="S",F66,0)</f>
        <v>2</v>
      </c>
      <c r="J66" s="880" t="s">
        <v>54</v>
      </c>
      <c r="K66" s="82">
        <f t="shared" ref="K66:K67" si="15">IF($J66="S",F66,0)</f>
        <v>2</v>
      </c>
    </row>
    <row r="67" spans="1:13" x14ac:dyDescent="0.2">
      <c r="B67" s="1006" t="s">
        <v>86</v>
      </c>
      <c r="C67" s="1108"/>
      <c r="D67" s="876"/>
      <c r="E67" s="878"/>
      <c r="F67" s="879">
        <v>2</v>
      </c>
      <c r="G67" s="877" t="s">
        <v>378</v>
      </c>
      <c r="H67" s="880" t="s">
        <v>54</v>
      </c>
      <c r="I67" s="881">
        <f>IF($H67="S",F67,0)</f>
        <v>2</v>
      </c>
      <c r="J67" s="880" t="s">
        <v>54</v>
      </c>
      <c r="K67" s="82">
        <f t="shared" si="15"/>
        <v>2</v>
      </c>
    </row>
    <row r="68" spans="1:13" s="31" customFormat="1" x14ac:dyDescent="0.2">
      <c r="B68" s="1106" t="str">
        <f>+'SEC -RLP1 '!B57</f>
        <v xml:space="preserve">         REFRIGERIOS CURSOS-COMITÉS-OTROS</v>
      </c>
      <c r="C68" s="1107"/>
      <c r="D68" s="873"/>
      <c r="E68" s="873"/>
      <c r="F68" s="873"/>
      <c r="G68" s="873"/>
      <c r="H68" s="874"/>
      <c r="I68" s="875">
        <f>IF($H68="S",#REF!,0)</f>
        <v>0</v>
      </c>
      <c r="J68" s="874"/>
      <c r="K68" s="872">
        <f>IF($J68="S",#REF!,0)</f>
        <v>0</v>
      </c>
    </row>
    <row r="69" spans="1:13" s="31" customFormat="1" x14ac:dyDescent="0.2">
      <c r="B69" s="1066" t="s">
        <v>532</v>
      </c>
      <c r="C69" s="1108"/>
      <c r="D69" s="882"/>
      <c r="E69" s="882"/>
      <c r="F69" s="882">
        <v>25</v>
      </c>
      <c r="G69" s="877" t="s">
        <v>378</v>
      </c>
      <c r="H69" s="880" t="s">
        <v>54</v>
      </c>
      <c r="I69" s="881">
        <f>IF($H69="S",F69,0)</f>
        <v>25</v>
      </c>
      <c r="J69" s="883" t="s">
        <v>57</v>
      </c>
      <c r="K69" s="82">
        <f>IF($J69="S",F69,0)</f>
        <v>0</v>
      </c>
    </row>
    <row r="70" spans="1:13" x14ac:dyDescent="0.2">
      <c r="B70" s="1106" t="s">
        <v>59</v>
      </c>
      <c r="C70" s="1107"/>
      <c r="D70" s="873"/>
      <c r="E70" s="873"/>
      <c r="F70" s="873"/>
      <c r="G70" s="873"/>
      <c r="H70" s="874"/>
      <c r="I70" s="875">
        <f>IF($H70="S",#REF!,0)</f>
        <v>0</v>
      </c>
      <c r="J70" s="874"/>
      <c r="K70" s="872">
        <v>87.774558730158716</v>
      </c>
    </row>
    <row r="71" spans="1:13" x14ac:dyDescent="0.2">
      <c r="B71" s="1006" t="s">
        <v>88</v>
      </c>
      <c r="C71" s="1108"/>
      <c r="D71" s="876"/>
      <c r="E71" s="878"/>
      <c r="F71" s="879">
        <v>3</v>
      </c>
      <c r="G71" s="877" t="s">
        <v>378</v>
      </c>
      <c r="H71" s="880" t="s">
        <v>54</v>
      </c>
      <c r="I71" s="881">
        <f>IF($H71="S",F71,0)</f>
        <v>3</v>
      </c>
      <c r="J71" s="880" t="s">
        <v>54</v>
      </c>
      <c r="K71" s="82">
        <f t="shared" ref="K71:K72" si="16">IF($J71="S",F71,0)</f>
        <v>3</v>
      </c>
    </row>
    <row r="72" spans="1:13" ht="13.5" thickBot="1" x14ac:dyDescent="0.25">
      <c r="B72" s="1120" t="s">
        <v>555</v>
      </c>
      <c r="C72" s="1121"/>
      <c r="D72" s="921"/>
      <c r="E72" s="922"/>
      <c r="F72" s="923">
        <v>2</v>
      </c>
      <c r="G72" s="902" t="s">
        <v>378</v>
      </c>
      <c r="H72" s="913" t="s">
        <v>57</v>
      </c>
      <c r="I72" s="904">
        <f>IF($H72="S",#REF!,0)</f>
        <v>0</v>
      </c>
      <c r="J72" s="913" t="s">
        <v>57</v>
      </c>
      <c r="K72" s="70">
        <f t="shared" si="16"/>
        <v>0</v>
      </c>
    </row>
    <row r="73" spans="1:13" s="27" customFormat="1" ht="13.5" thickBot="1" x14ac:dyDescent="0.25">
      <c r="B73" s="1104" t="s">
        <v>533</v>
      </c>
      <c r="C73" s="1105"/>
      <c r="D73" s="918"/>
      <c r="E73" s="918"/>
      <c r="F73" s="919"/>
      <c r="G73" s="918"/>
      <c r="H73" s="919"/>
      <c r="I73" s="919">
        <f>SUM(I63:I72)</f>
        <v>32</v>
      </c>
      <c r="J73" s="918"/>
      <c r="K73" s="920">
        <f>SUM(K63:K72)</f>
        <v>104.77455873015872</v>
      </c>
    </row>
    <row r="74" spans="1:13" s="27" customFormat="1" ht="13.5" thickBot="1" x14ac:dyDescent="0.25">
      <c r="B74" s="1122" t="s">
        <v>45</v>
      </c>
      <c r="C74" s="1123"/>
      <c r="D74" s="924"/>
      <c r="E74" s="924"/>
      <c r="F74" s="924"/>
      <c r="G74" s="924"/>
      <c r="H74" s="924"/>
      <c r="I74" s="924">
        <f>+I61+I73</f>
        <v>11094.763419723065</v>
      </c>
      <c r="J74" s="924"/>
      <c r="K74" s="925">
        <f>+K61+K73</f>
        <v>19357.537978453223</v>
      </c>
    </row>
    <row r="75" spans="1:13" s="37" customFormat="1" ht="13.5" thickBot="1" x14ac:dyDescent="0.25">
      <c r="A75" s="128"/>
      <c r="D75" s="83"/>
      <c r="E75" s="83"/>
    </row>
    <row r="76" spans="1:13" s="37" customFormat="1" x14ac:dyDescent="0.2">
      <c r="A76" s="128"/>
      <c r="D76" s="83"/>
      <c r="E76" s="1079" t="s">
        <v>540</v>
      </c>
      <c r="F76" s="1079"/>
      <c r="G76" s="862">
        <f>+I61</f>
        <v>11062.763419723065</v>
      </c>
      <c r="H76" s="1096" t="s">
        <v>540</v>
      </c>
      <c r="I76" s="1097"/>
      <c r="J76" s="1097"/>
      <c r="K76" s="960">
        <f>+G76</f>
        <v>11062.763419723065</v>
      </c>
      <c r="L76" s="951">
        <f>+G76</f>
        <v>11062.763419723065</v>
      </c>
      <c r="M76" s="31"/>
    </row>
    <row r="77" spans="1:13" s="37" customFormat="1" ht="13.5" thickBot="1" x14ac:dyDescent="0.25">
      <c r="A77" s="128"/>
      <c r="D77" s="83"/>
      <c r="E77" s="1098" t="s">
        <v>536</v>
      </c>
      <c r="F77" s="1098"/>
      <c r="G77" s="958">
        <f>+I73</f>
        <v>32</v>
      </c>
      <c r="H77" s="1099" t="s">
        <v>541</v>
      </c>
      <c r="I77" s="1100"/>
      <c r="J77" s="1100"/>
      <c r="K77" s="884">
        <f>+G77*G80</f>
        <v>850.46618251252676</v>
      </c>
      <c r="L77" s="952">
        <f>+G77*G79</f>
        <v>850.46618251252676</v>
      </c>
      <c r="M77" s="31"/>
    </row>
    <row r="78" spans="1:13" s="37" customFormat="1" ht="13.5" thickBot="1" x14ac:dyDescent="0.25">
      <c r="A78" s="128"/>
      <c r="D78" s="83"/>
      <c r="E78" s="1101"/>
      <c r="F78" s="1101"/>
      <c r="G78" s="862"/>
      <c r="H78" s="953"/>
      <c r="I78" s="927"/>
      <c r="J78" s="928"/>
      <c r="K78" s="926">
        <f>SUM(K76:K77)</f>
        <v>11913.229602235591</v>
      </c>
      <c r="L78" s="954">
        <f>SUM(L76:L77)</f>
        <v>11913.229602235591</v>
      </c>
      <c r="M78" s="148"/>
    </row>
    <row r="79" spans="1:13" s="37" customFormat="1" ht="13.5" thickTop="1" x14ac:dyDescent="0.2">
      <c r="A79" s="128"/>
      <c r="D79" s="83"/>
      <c r="E79" s="1083" t="s">
        <v>538</v>
      </c>
      <c r="F79" s="1083"/>
      <c r="G79" s="959">
        <f>+G76/(522-G77)+4</f>
        <v>26.577068203516461</v>
      </c>
      <c r="H79" s="1084" t="s">
        <v>542</v>
      </c>
      <c r="I79" s="1085"/>
      <c r="J79" s="1086"/>
      <c r="K79" s="885">
        <v>0.02</v>
      </c>
      <c r="L79" s="955">
        <v>0.01</v>
      </c>
      <c r="M79" s="27"/>
    </row>
    <row r="80" spans="1:13" s="37" customFormat="1" x14ac:dyDescent="0.2">
      <c r="A80" s="128"/>
      <c r="D80" s="83"/>
      <c r="E80" s="83"/>
      <c r="G80" s="938">
        <f>+G76/(K82-G77)+4</f>
        <v>26.577068203516461</v>
      </c>
      <c r="H80" s="1087" t="s">
        <v>548</v>
      </c>
      <c r="I80" s="1088"/>
      <c r="J80" s="1089"/>
      <c r="K80" s="24">
        <f>+(K78/G79)/(1-K79)</f>
        <v>457.40021600150249</v>
      </c>
      <c r="L80" s="113">
        <f>+(L78/G80)/(1-L79)</f>
        <v>452.7800117994671</v>
      </c>
      <c r="M80" s="1"/>
    </row>
    <row r="81" spans="1:13" s="37" customFormat="1" x14ac:dyDescent="0.2">
      <c r="A81" s="128"/>
      <c r="D81" s="83"/>
      <c r="E81" s="83"/>
      <c r="F81" s="134"/>
      <c r="G81" s="135"/>
      <c r="H81" s="1090" t="s">
        <v>543</v>
      </c>
      <c r="I81" s="1091"/>
      <c r="J81" s="1092"/>
      <c r="K81" s="887">
        <f>+K80/(1-0.16)</f>
        <v>544.52406666845536</v>
      </c>
      <c r="L81" s="956">
        <f>+L80/(1-0.16)</f>
        <v>539.02382357079421</v>
      </c>
      <c r="M81" s="886">
        <f>+K80*(1+0.1494)</f>
        <v>525.73580827212697</v>
      </c>
    </row>
    <row r="82" spans="1:13" s="37" customFormat="1" ht="13.5" thickBot="1" x14ac:dyDescent="0.25">
      <c r="A82" s="128"/>
      <c r="D82" s="83"/>
      <c r="E82" s="83"/>
      <c r="F82" s="134"/>
      <c r="G82" s="135"/>
      <c r="H82" s="1093" t="s">
        <v>543</v>
      </c>
      <c r="I82" s="1094"/>
      <c r="J82" s="1095"/>
      <c r="K82" s="961">
        <v>522</v>
      </c>
      <c r="L82" s="957">
        <v>522</v>
      </c>
      <c r="M82" s="1"/>
    </row>
    <row r="83" spans="1:13" s="37" customFormat="1" x14ac:dyDescent="0.2">
      <c r="A83" s="128"/>
      <c r="D83" s="83"/>
      <c r="E83" s="83"/>
      <c r="M83" s="31"/>
    </row>
    <row r="84" spans="1:13" s="37" customFormat="1" x14ac:dyDescent="0.2">
      <c r="A84" s="128"/>
      <c r="D84" s="83"/>
      <c r="E84" s="83"/>
      <c r="H84" s="1079" t="s">
        <v>547</v>
      </c>
      <c r="I84" s="1079"/>
      <c r="J84" s="1079"/>
      <c r="K84" s="24">
        <f>+G80*K82</f>
        <v>13873.229602235593</v>
      </c>
      <c r="L84" s="24"/>
      <c r="M84" s="143"/>
    </row>
    <row r="85" spans="1:13" s="37" customFormat="1" x14ac:dyDescent="0.2">
      <c r="A85" s="128"/>
      <c r="D85" s="83"/>
      <c r="E85" s="83"/>
      <c r="H85" s="1079" t="s">
        <v>546</v>
      </c>
      <c r="I85" s="1079"/>
      <c r="J85" s="1079"/>
      <c r="K85" s="24">
        <f>+K84*0.87</f>
        <v>12069.709753944966</v>
      </c>
      <c r="L85" s="24"/>
      <c r="M85" s="356"/>
    </row>
    <row r="86" spans="1:13" s="37" customFormat="1" x14ac:dyDescent="0.2">
      <c r="A86" s="128"/>
      <c r="D86" s="83"/>
      <c r="E86" s="83"/>
      <c r="M86" s="31"/>
    </row>
    <row r="87" spans="1:13" x14ac:dyDescent="0.2">
      <c r="H87" s="37"/>
      <c r="I87" s="37"/>
      <c r="J87" s="1080" t="s">
        <v>100</v>
      </c>
      <c r="K87" s="1080"/>
      <c r="L87" s="1080"/>
      <c r="M87" s="1080"/>
    </row>
    <row r="88" spans="1:13" x14ac:dyDescent="0.2">
      <c r="H88" s="1081" t="str">
        <f>+H84</f>
        <v>INGRESOS BRUTOS DEL CURSO</v>
      </c>
      <c r="I88" s="1082"/>
      <c r="J88" s="888">
        <f>+K84</f>
        <v>13873.229602235593</v>
      </c>
      <c r="K88" s="889">
        <v>1</v>
      </c>
      <c r="L88" s="888"/>
      <c r="M88" s="889"/>
    </row>
    <row r="89" spans="1:13" x14ac:dyDescent="0.2">
      <c r="H89" s="1075" t="s">
        <v>544</v>
      </c>
      <c r="I89" s="1076"/>
      <c r="J89" s="888">
        <f>-K77</f>
        <v>-850.46618251252676</v>
      </c>
      <c r="K89" s="889">
        <f>+J89/$J$88</f>
        <v>-6.1302681992337162E-2</v>
      </c>
      <c r="L89" s="888"/>
      <c r="M89" s="889"/>
    </row>
    <row r="90" spans="1:13" ht="13.5" thickBot="1" x14ac:dyDescent="0.25">
      <c r="H90" s="1075" t="s">
        <v>545</v>
      </c>
      <c r="I90" s="1076"/>
      <c r="J90" s="892">
        <f>-K76</f>
        <v>-11062.763419723065</v>
      </c>
      <c r="K90" s="898">
        <f t="shared" ref="K90:K94" si="17">+J90/$J$88</f>
        <v>-0.79741803004113498</v>
      </c>
      <c r="L90" s="892"/>
      <c r="M90" s="898"/>
    </row>
    <row r="91" spans="1:13" x14ac:dyDescent="0.2">
      <c r="H91" s="1077" t="s">
        <v>423</v>
      </c>
      <c r="I91" s="1078"/>
      <c r="J91" s="890">
        <f>SUM(J88:J90)</f>
        <v>1960</v>
      </c>
      <c r="K91" s="899">
        <f t="shared" si="17"/>
        <v>0.14127928796652778</v>
      </c>
      <c r="L91" s="890"/>
      <c r="M91" s="899"/>
    </row>
    <row r="92" spans="1:13" x14ac:dyDescent="0.2">
      <c r="H92" s="1075" t="s">
        <v>419</v>
      </c>
      <c r="I92" s="1076"/>
      <c r="J92" s="888">
        <f>-J88*0.13</f>
        <v>-1803.5198482906271</v>
      </c>
      <c r="K92" s="889">
        <f t="shared" si="17"/>
        <v>-0.13</v>
      </c>
      <c r="L92" s="888"/>
      <c r="M92" s="889"/>
    </row>
    <row r="93" spans="1:13" ht="13.5" thickBot="1" x14ac:dyDescent="0.25">
      <c r="H93" s="1075" t="s">
        <v>420</v>
      </c>
      <c r="I93" s="1076"/>
      <c r="J93" s="892">
        <f>-J88*0.03</f>
        <v>-416.19688806706779</v>
      </c>
      <c r="K93" s="898">
        <f t="shared" si="17"/>
        <v>-0.03</v>
      </c>
      <c r="L93" s="892"/>
      <c r="M93" s="898"/>
    </row>
    <row r="94" spans="1:13" ht="13.5" thickBot="1" x14ac:dyDescent="0.25">
      <c r="H94" s="1074" t="s">
        <v>193</v>
      </c>
      <c r="I94" s="1074"/>
      <c r="J94" s="891">
        <f>SUM(J91:J93)</f>
        <v>-259.71673635769491</v>
      </c>
      <c r="K94" s="900">
        <f t="shared" si="17"/>
        <v>-1.8720712033472222E-2</v>
      </c>
      <c r="L94" s="891"/>
      <c r="M94" s="900"/>
    </row>
    <row r="95" spans="1:13" ht="13.5" thickTop="1" x14ac:dyDescent="0.2"/>
    <row r="96" spans="1:13" x14ac:dyDescent="0.2">
      <c r="I96" s="1" t="s">
        <v>108</v>
      </c>
      <c r="J96" s="1" t="s">
        <v>571</v>
      </c>
      <c r="K96" s="1" t="s">
        <v>572</v>
      </c>
    </row>
    <row r="97" spans="5:13" x14ac:dyDescent="0.2">
      <c r="I97" s="356">
        <f>+J97*($K$82-1)</f>
        <v>104.2</v>
      </c>
      <c r="J97" s="934">
        <v>0.2</v>
      </c>
      <c r="K97" s="935" t="s">
        <v>568</v>
      </c>
      <c r="L97" s="356"/>
      <c r="M97" s="356"/>
    </row>
    <row r="98" spans="5:13" x14ac:dyDescent="0.2">
      <c r="I98" s="356">
        <f t="shared" ref="I98:I99" si="18">+J98*($K$82-1)</f>
        <v>52.1</v>
      </c>
      <c r="J98" s="242">
        <v>0.1</v>
      </c>
      <c r="K98" s="1" t="s">
        <v>567</v>
      </c>
    </row>
    <row r="99" spans="5:13" ht="13.5" thickBot="1" x14ac:dyDescent="0.25">
      <c r="I99" s="356">
        <f t="shared" si="18"/>
        <v>78.149999999999991</v>
      </c>
      <c r="J99" s="242">
        <v>0.15</v>
      </c>
      <c r="K99" s="1" t="s">
        <v>569</v>
      </c>
    </row>
    <row r="100" spans="5:13" x14ac:dyDescent="0.2">
      <c r="E100" s="1079" t="s">
        <v>540</v>
      </c>
      <c r="F100" s="1079"/>
      <c r="G100" s="862">
        <f>+G76</f>
        <v>11062.763419723065</v>
      </c>
      <c r="H100" s="1096" t="s">
        <v>573</v>
      </c>
      <c r="I100" s="1097"/>
      <c r="J100" s="1097"/>
      <c r="K100" s="951">
        <f>+G100/G103</f>
        <v>406.48013740898978</v>
      </c>
      <c r="L100" s="37"/>
    </row>
    <row r="101" spans="5:13" ht="13.5" thickBot="1" x14ac:dyDescent="0.25">
      <c r="E101" s="1098" t="s">
        <v>536</v>
      </c>
      <c r="F101" s="1098"/>
      <c r="G101" s="474">
        <f>+G77</f>
        <v>32</v>
      </c>
      <c r="H101" s="1099" t="s">
        <v>574</v>
      </c>
      <c r="I101" s="1100"/>
      <c r="J101" s="1100"/>
      <c r="K101" s="952">
        <f>+G101</f>
        <v>32</v>
      </c>
      <c r="L101" s="37"/>
    </row>
    <row r="102" spans="5:13" ht="13.5" thickBot="1" x14ac:dyDescent="0.25">
      <c r="E102" s="1101"/>
      <c r="F102" s="1101"/>
      <c r="G102" s="950">
        <f>+G100/(522-G101)+4.64</f>
        <v>27.217068203516462</v>
      </c>
      <c r="H102" s="953"/>
      <c r="I102" s="927"/>
      <c r="J102" s="928"/>
      <c r="K102" s="954">
        <f>SUM(K100:K101)</f>
        <v>438.48013740898978</v>
      </c>
      <c r="L102" s="37"/>
    </row>
    <row r="103" spans="5:13" ht="13.5" thickTop="1" x14ac:dyDescent="0.2">
      <c r="E103" s="1083" t="s">
        <v>538</v>
      </c>
      <c r="F103" s="1083"/>
      <c r="G103" s="950">
        <v>27.216000000000001</v>
      </c>
      <c r="H103" s="1084" t="s">
        <v>542</v>
      </c>
      <c r="I103" s="1085"/>
      <c r="J103" s="1086"/>
      <c r="K103" s="955">
        <v>0.02</v>
      </c>
      <c r="L103" s="37"/>
    </row>
    <row r="104" spans="5:13" x14ac:dyDescent="0.2">
      <c r="E104" s="83"/>
      <c r="F104" s="37"/>
      <c r="G104" s="938">
        <f>11062.76/(634.11-32)</f>
        <v>18.373320489611533</v>
      </c>
      <c r="H104" s="1087" t="s">
        <v>548</v>
      </c>
      <c r="I104" s="1088"/>
      <c r="J104" s="1089"/>
      <c r="K104" s="113">
        <f>+(K102)/(1-K103)</f>
        <v>447.42871164182628</v>
      </c>
      <c r="L104" s="37"/>
    </row>
    <row r="105" spans="5:13" x14ac:dyDescent="0.2">
      <c r="E105" s="83"/>
      <c r="F105" s="134"/>
      <c r="G105" s="135"/>
      <c r="H105" s="1090" t="s">
        <v>543</v>
      </c>
      <c r="I105" s="1091"/>
      <c r="J105" s="1092"/>
      <c r="K105" s="956">
        <f>+K104/(1-0.16)</f>
        <v>532.65322814503133</v>
      </c>
      <c r="L105" s="37"/>
    </row>
    <row r="106" spans="5:13" ht="13.5" thickBot="1" x14ac:dyDescent="0.25">
      <c r="E106" s="83"/>
      <c r="F106" s="134"/>
      <c r="G106" s="135"/>
      <c r="H106" s="1093" t="s">
        <v>543</v>
      </c>
      <c r="I106" s="1094"/>
      <c r="J106" s="1095"/>
      <c r="K106" s="957">
        <v>522</v>
      </c>
      <c r="L106" s="37"/>
    </row>
    <row r="107" spans="5:13" x14ac:dyDescent="0.2">
      <c r="E107" s="83"/>
      <c r="F107" s="37"/>
      <c r="G107" s="37"/>
      <c r="H107" s="37"/>
      <c r="I107" s="37"/>
      <c r="J107" s="37"/>
      <c r="K107" s="37"/>
      <c r="L107" s="37"/>
    </row>
    <row r="108" spans="5:13" x14ac:dyDescent="0.2">
      <c r="E108" s="83"/>
      <c r="F108" s="37"/>
      <c r="G108" s="37"/>
      <c r="H108" s="1079" t="s">
        <v>579</v>
      </c>
      <c r="I108" s="1079"/>
      <c r="J108" s="1079"/>
      <c r="K108" s="24">
        <f>+G103*K106</f>
        <v>14206.752</v>
      </c>
      <c r="L108" s="37"/>
    </row>
    <row r="109" spans="5:13" x14ac:dyDescent="0.2">
      <c r="E109" s="83"/>
      <c r="F109" s="37"/>
      <c r="G109" s="37"/>
      <c r="H109" s="1079" t="s">
        <v>546</v>
      </c>
      <c r="I109" s="1079"/>
      <c r="J109" s="1079"/>
      <c r="K109" s="24">
        <f>+K108*0.87</f>
        <v>12359.874240000001</v>
      </c>
      <c r="L109" s="37"/>
    </row>
    <row r="110" spans="5:13" x14ac:dyDescent="0.2">
      <c r="E110" s="83"/>
      <c r="F110" s="37"/>
      <c r="G110" s="37"/>
      <c r="H110" s="37"/>
      <c r="I110" s="37"/>
      <c r="J110" s="37"/>
      <c r="K110" s="37"/>
      <c r="L110" s="37"/>
    </row>
    <row r="111" spans="5:13" x14ac:dyDescent="0.2">
      <c r="H111" s="37"/>
      <c r="I111" s="37"/>
      <c r="J111" s="1080" t="s">
        <v>100</v>
      </c>
      <c r="K111" s="1080"/>
    </row>
    <row r="112" spans="5:13" x14ac:dyDescent="0.2">
      <c r="H112" s="1081" t="str">
        <f>+H108</f>
        <v>INGRESOS BRUTOS DEL MODULO</v>
      </c>
      <c r="I112" s="1082"/>
      <c r="J112" s="888">
        <f>+K108</f>
        <v>14206.752</v>
      </c>
      <c r="K112" s="889">
        <v>1</v>
      </c>
    </row>
    <row r="113" spans="8:15" x14ac:dyDescent="0.2">
      <c r="H113" s="1075" t="s">
        <v>580</v>
      </c>
      <c r="I113" s="1076"/>
      <c r="J113" s="888">
        <f>-K101*G103</f>
        <v>-870.91200000000003</v>
      </c>
      <c r="K113" s="889">
        <f>+J113/$J$88</f>
        <v>-6.277644247015543E-2</v>
      </c>
    </row>
    <row r="114" spans="8:15" ht="13.5" thickBot="1" x14ac:dyDescent="0.25">
      <c r="H114" s="1075" t="s">
        <v>581</v>
      </c>
      <c r="I114" s="1076"/>
      <c r="J114" s="892">
        <f>-K100*G103</f>
        <v>-11062.763419723065</v>
      </c>
      <c r="K114" s="898">
        <f t="shared" ref="K114:K118" si="19">+J114/$J$88</f>
        <v>-0.79741803004113498</v>
      </c>
    </row>
    <row r="115" spans="8:15" x14ac:dyDescent="0.2">
      <c r="H115" s="1077" t="s">
        <v>423</v>
      </c>
      <c r="I115" s="1078"/>
      <c r="J115" s="890">
        <f>SUM(J112:J114)</f>
        <v>2273.0765802769347</v>
      </c>
      <c r="K115" s="899">
        <f t="shared" si="19"/>
        <v>0.16384624528312003</v>
      </c>
    </row>
    <row r="116" spans="8:15" x14ac:dyDescent="0.2">
      <c r="H116" s="1075" t="s">
        <v>419</v>
      </c>
      <c r="I116" s="1076"/>
      <c r="J116" s="888">
        <f>-J112*0.13</f>
        <v>-1846.8777600000001</v>
      </c>
      <c r="K116" s="889">
        <f t="shared" si="19"/>
        <v>-0.13312529331327336</v>
      </c>
    </row>
    <row r="117" spans="8:15" ht="13.5" thickBot="1" x14ac:dyDescent="0.25">
      <c r="H117" s="1075" t="s">
        <v>420</v>
      </c>
      <c r="I117" s="1076"/>
      <c r="J117" s="892">
        <f>-J112*0.03</f>
        <v>-426.20256000000001</v>
      </c>
      <c r="K117" s="898">
        <f t="shared" si="19"/>
        <v>-3.0721221533832315E-2</v>
      </c>
    </row>
    <row r="118" spans="8:15" ht="13.5" thickBot="1" x14ac:dyDescent="0.25">
      <c r="H118" s="1074" t="s">
        <v>193</v>
      </c>
      <c r="I118" s="1074"/>
      <c r="J118" s="891">
        <f>SUM(J115:J117)</f>
        <v>-3.7397230653937186E-3</v>
      </c>
      <c r="K118" s="900">
        <f t="shared" si="19"/>
        <v>-2.6956398564838021E-7</v>
      </c>
    </row>
    <row r="119" spans="8:15" ht="13.5" thickTop="1" x14ac:dyDescent="0.2">
      <c r="O119" s="1">
        <f>522*15</f>
        <v>7830</v>
      </c>
    </row>
    <row r="120" spans="8:15" x14ac:dyDescent="0.2">
      <c r="I120" s="1" t="s">
        <v>108</v>
      </c>
      <c r="J120" s="1" t="s">
        <v>571</v>
      </c>
      <c r="K120" s="1" t="s">
        <v>572</v>
      </c>
    </row>
    <row r="121" spans="8:15" x14ac:dyDescent="0.2">
      <c r="I121" s="356">
        <f>+J121*($K$82-1)</f>
        <v>104.2</v>
      </c>
      <c r="J121" s="934">
        <v>0.2</v>
      </c>
      <c r="K121" s="935" t="s">
        <v>568</v>
      </c>
    </row>
    <row r="122" spans="8:15" x14ac:dyDescent="0.2">
      <c r="I122" s="356">
        <f t="shared" ref="I122:I123" si="20">+J122*($K$82-1)</f>
        <v>52.1</v>
      </c>
      <c r="J122" s="242">
        <v>0.1</v>
      </c>
      <c r="K122" s="1" t="s">
        <v>567</v>
      </c>
    </row>
    <row r="123" spans="8:15" x14ac:dyDescent="0.2">
      <c r="I123" s="356">
        <f t="shared" si="20"/>
        <v>78.149999999999991</v>
      </c>
      <c r="J123" s="242">
        <v>0.15</v>
      </c>
      <c r="K123" s="1" t="s">
        <v>569</v>
      </c>
    </row>
    <row r="130" spans="5:11" x14ac:dyDescent="0.2">
      <c r="I130" s="356"/>
      <c r="K130" s="148"/>
    </row>
    <row r="132" spans="5:11" x14ac:dyDescent="0.2">
      <c r="E132"/>
    </row>
  </sheetData>
  <sheetProtection selectLockedCells="1"/>
  <mergeCells count="112">
    <mergeCell ref="B15:K15"/>
    <mergeCell ref="B17:C18"/>
    <mergeCell ref="D17:D18"/>
    <mergeCell ref="E17:E18"/>
    <mergeCell ref="G17:G18"/>
    <mergeCell ref="H17:I17"/>
    <mergeCell ref="J17:K17"/>
    <mergeCell ref="B1:K2"/>
    <mergeCell ref="B3:K4"/>
    <mergeCell ref="B5:K6"/>
    <mergeCell ref="F9:F13"/>
    <mergeCell ref="G9:H9"/>
    <mergeCell ref="G10:H10"/>
    <mergeCell ref="G11:H11"/>
    <mergeCell ref="G12:H12"/>
    <mergeCell ref="G13:H13"/>
    <mergeCell ref="B25:C25"/>
    <mergeCell ref="B26:C26"/>
    <mergeCell ref="B27:C27"/>
    <mergeCell ref="B28:C28"/>
    <mergeCell ref="B29:C29"/>
    <mergeCell ref="B30:C30"/>
    <mergeCell ref="B19:K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61:C61"/>
    <mergeCell ref="B63:C63"/>
    <mergeCell ref="B64:C64"/>
    <mergeCell ref="B65:C65"/>
    <mergeCell ref="B66:C66"/>
    <mergeCell ref="B67:C67"/>
    <mergeCell ref="B55:C55"/>
    <mergeCell ref="B56:C56"/>
    <mergeCell ref="B57:C57"/>
    <mergeCell ref="B58:C58"/>
    <mergeCell ref="B59:C59"/>
    <mergeCell ref="B60:C60"/>
    <mergeCell ref="B74:C74"/>
    <mergeCell ref="E76:F76"/>
    <mergeCell ref="H76:J76"/>
    <mergeCell ref="E77:F77"/>
    <mergeCell ref="H77:J77"/>
    <mergeCell ref="E78:F78"/>
    <mergeCell ref="B68:C68"/>
    <mergeCell ref="B69:C69"/>
    <mergeCell ref="B70:C70"/>
    <mergeCell ref="B71:C71"/>
    <mergeCell ref="B72:C72"/>
    <mergeCell ref="B73:C73"/>
    <mergeCell ref="H85:J85"/>
    <mergeCell ref="J87:K87"/>
    <mergeCell ref="L87:M87"/>
    <mergeCell ref="H88:I88"/>
    <mergeCell ref="H89:I89"/>
    <mergeCell ref="H90:I90"/>
    <mergeCell ref="E79:F79"/>
    <mergeCell ref="H79:J79"/>
    <mergeCell ref="H80:J80"/>
    <mergeCell ref="H81:J81"/>
    <mergeCell ref="H82:J82"/>
    <mergeCell ref="H84:J84"/>
    <mergeCell ref="E101:F101"/>
    <mergeCell ref="H101:J101"/>
    <mergeCell ref="E102:F102"/>
    <mergeCell ref="E103:F103"/>
    <mergeCell ref="H103:J103"/>
    <mergeCell ref="H104:J104"/>
    <mergeCell ref="H91:I91"/>
    <mergeCell ref="H92:I92"/>
    <mergeCell ref="H93:I93"/>
    <mergeCell ref="H94:I94"/>
    <mergeCell ref="E100:F100"/>
    <mergeCell ref="H100:J100"/>
    <mergeCell ref="H113:I113"/>
    <mergeCell ref="H114:I114"/>
    <mergeCell ref="H115:I115"/>
    <mergeCell ref="H116:I116"/>
    <mergeCell ref="H117:I117"/>
    <mergeCell ref="H118:I118"/>
    <mergeCell ref="H105:J105"/>
    <mergeCell ref="H106:J106"/>
    <mergeCell ref="H108:J108"/>
    <mergeCell ref="H109:J109"/>
    <mergeCell ref="J111:K111"/>
    <mergeCell ref="H112:I112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  <pageSetUpPr fitToPage="1"/>
  </sheetPr>
  <dimension ref="A1:P83"/>
  <sheetViews>
    <sheetView topLeftCell="A25" zoomScaleNormal="100" workbookViewId="0">
      <selection activeCell="E44" sqref="E44"/>
    </sheetView>
  </sheetViews>
  <sheetFormatPr baseColWidth="10" defaultColWidth="11.42578125" defaultRowHeight="12.75" x14ac:dyDescent="0.2"/>
  <cols>
    <col min="1" max="1" width="4.5703125" style="30" bestFit="1" customWidth="1"/>
    <col min="2" max="2" width="18.7109375" style="1" customWidth="1"/>
    <col min="3" max="3" width="22.5703125" style="1" customWidth="1"/>
    <col min="4" max="4" width="17.140625" style="1" bestFit="1" customWidth="1"/>
    <col min="5" max="5" width="13.7109375" style="1" customWidth="1"/>
    <col min="6" max="6" width="14.140625" style="1" customWidth="1"/>
    <col min="7" max="7" width="13.7109375" style="1" customWidth="1"/>
    <col min="8" max="11" width="14.140625" style="1" customWidth="1"/>
    <col min="12" max="12" width="10.28515625" style="1" bestFit="1" customWidth="1"/>
    <col min="13" max="13" width="11.42578125" style="1" customWidth="1"/>
    <col min="14" max="14" width="19.28515625" style="1" customWidth="1"/>
    <col min="15" max="16384" width="11.42578125" style="1"/>
  </cols>
  <sheetData>
    <row r="1" spans="1:16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</row>
    <row r="2" spans="1:16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</row>
    <row r="3" spans="1:16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</row>
    <row r="4" spans="1:16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</row>
    <row r="5" spans="1:16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</row>
    <row r="6" spans="1:16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M6" s="2"/>
      <c r="N6" s="2"/>
      <c r="O6" s="2"/>
      <c r="P6" s="2"/>
    </row>
    <row r="7" spans="1:16" x14ac:dyDescent="0.2">
      <c r="D7" s="375" t="s">
        <v>26</v>
      </c>
      <c r="E7" s="375" t="s">
        <v>27</v>
      </c>
      <c r="F7" s="375" t="s">
        <v>53</v>
      </c>
      <c r="N7" s="16" t="s">
        <v>28</v>
      </c>
      <c r="O7" s="17"/>
      <c r="P7" s="2"/>
    </row>
    <row r="8" spans="1:16" x14ac:dyDescent="0.2">
      <c r="B8" s="376" t="s">
        <v>29</v>
      </c>
      <c r="C8" s="353"/>
      <c r="D8" s="371"/>
      <c r="E8" s="371"/>
      <c r="F8" s="371">
        <v>0</v>
      </c>
      <c r="N8" s="16"/>
      <c r="O8" s="17"/>
      <c r="P8" s="2"/>
    </row>
    <row r="9" spans="1:16" x14ac:dyDescent="0.2">
      <c r="B9" s="1031" t="s">
        <v>5</v>
      </c>
      <c r="C9" s="354"/>
      <c r="D9" s="371"/>
      <c r="E9" s="372"/>
      <c r="F9" s="373">
        <v>0</v>
      </c>
      <c r="N9" s="16" t="s">
        <v>33</v>
      </c>
      <c r="O9" s="17"/>
      <c r="P9" s="2"/>
    </row>
    <row r="10" spans="1:16" x14ac:dyDescent="0.2">
      <c r="B10" s="1031"/>
      <c r="C10" s="354"/>
      <c r="D10" s="370"/>
      <c r="E10" s="372"/>
      <c r="F10" s="373">
        <v>1</v>
      </c>
      <c r="N10" s="16"/>
      <c r="O10" s="17"/>
      <c r="P10" s="2"/>
    </row>
    <row r="11" spans="1:16" s="30" customFormat="1" ht="13.5" thickBot="1" x14ac:dyDescent="0.25">
      <c r="B11" s="31"/>
      <c r="D11" s="374">
        <f>SUM(D8:D10)</f>
        <v>0</v>
      </c>
      <c r="E11" s="374">
        <f t="shared" ref="E11" si="0">SUM(E8:E10)</f>
        <v>0</v>
      </c>
      <c r="F11" s="374">
        <f>SUM(F8:F10)</f>
        <v>1</v>
      </c>
      <c r="N11" s="33"/>
      <c r="O11" s="33"/>
      <c r="P11" s="33"/>
    </row>
    <row r="12" spans="1:16" s="30" customFormat="1" ht="13.5" thickTop="1" x14ac:dyDescent="0.2">
      <c r="A12" s="27"/>
      <c r="B12" s="28"/>
      <c r="C12" s="29"/>
      <c r="F12" s="31"/>
      <c r="G12" s="31"/>
      <c r="I12" s="366"/>
      <c r="J12" s="366"/>
      <c r="K12" s="367"/>
      <c r="M12" s="33"/>
      <c r="N12" s="33"/>
      <c r="O12" s="33"/>
      <c r="P12" s="33"/>
    </row>
    <row r="13" spans="1:16" ht="14.25" x14ac:dyDescent="0.2">
      <c r="A13" s="424"/>
      <c r="B13" s="1024" t="s">
        <v>36</v>
      </c>
      <c r="C13" s="1024"/>
      <c r="D13" s="1024"/>
      <c r="E13" s="1024"/>
      <c r="F13" s="1024"/>
      <c r="G13" s="1024"/>
      <c r="H13" s="1024"/>
      <c r="I13" s="1024"/>
      <c r="J13" s="1024"/>
      <c r="K13" s="1024"/>
      <c r="M13" s="2"/>
      <c r="N13" s="2"/>
      <c r="O13" s="2"/>
      <c r="P13" s="2"/>
    </row>
    <row r="14" spans="1:16" ht="13.5" thickBot="1" x14ac:dyDescent="0.25">
      <c r="B14" s="15"/>
      <c r="J14" s="37"/>
      <c r="M14" s="2"/>
      <c r="N14" s="2"/>
      <c r="O14" s="2"/>
      <c r="P14" s="2"/>
    </row>
    <row r="15" spans="1:16" s="38" customFormat="1" ht="22.5" x14ac:dyDescent="0.2">
      <c r="A15" s="440"/>
      <c r="B15" s="1032" t="s">
        <v>40</v>
      </c>
      <c r="C15" s="1172"/>
      <c r="D15" s="1174" t="s">
        <v>42</v>
      </c>
      <c r="E15" s="1033" t="s">
        <v>43</v>
      </c>
      <c r="F15" s="39" t="s">
        <v>387</v>
      </c>
      <c r="G15" s="1033" t="s">
        <v>43</v>
      </c>
      <c r="H15" s="1038" t="s">
        <v>46</v>
      </c>
      <c r="I15" s="1039"/>
      <c r="J15" s="1040" t="s">
        <v>47</v>
      </c>
      <c r="K15" s="1041"/>
    </row>
    <row r="16" spans="1:16" x14ac:dyDescent="0.2">
      <c r="B16" s="1034"/>
      <c r="C16" s="1173"/>
      <c r="D16" s="1175"/>
      <c r="E16" s="1035"/>
      <c r="F16" s="362" t="s">
        <v>48</v>
      </c>
      <c r="G16" s="1035"/>
      <c r="H16" s="362" t="s">
        <v>49</v>
      </c>
      <c r="I16" s="363" t="s">
        <v>48</v>
      </c>
      <c r="J16" s="362" t="s">
        <v>49</v>
      </c>
      <c r="K16" s="361" t="s">
        <v>48</v>
      </c>
    </row>
    <row r="17" spans="2:12" ht="13.5" thickBot="1" x14ac:dyDescent="0.25">
      <c r="B17" s="1025" t="s">
        <v>50</v>
      </c>
      <c r="C17" s="1176"/>
      <c r="D17" s="46"/>
      <c r="E17" s="47"/>
      <c r="F17" s="45"/>
      <c r="G17" s="47"/>
      <c r="H17" s="49"/>
      <c r="I17" s="46"/>
      <c r="J17" s="45"/>
      <c r="K17" s="47"/>
    </row>
    <row r="18" spans="2:12" s="31" customFormat="1" ht="13.5" thickBot="1" x14ac:dyDescent="0.25">
      <c r="B18" s="1177" t="s">
        <v>51</v>
      </c>
      <c r="C18" s="1178"/>
      <c r="D18" s="458">
        <f>SUM(D19:D20)</f>
        <v>1670.4</v>
      </c>
      <c r="E18" s="411"/>
      <c r="F18" s="412">
        <f>+F19+F20</f>
        <v>1670.4</v>
      </c>
      <c r="G18" s="411"/>
      <c r="H18" s="412"/>
      <c r="I18" s="413">
        <f>SUM(I19:I20)</f>
        <v>1670.4</v>
      </c>
      <c r="J18" s="412"/>
      <c r="K18" s="411">
        <f>SUM(K19:K20)</f>
        <v>1670.4</v>
      </c>
    </row>
    <row r="19" spans="2:12" x14ac:dyDescent="0.2">
      <c r="B19" s="1179" t="str">
        <f>+'NO-RLP'!B38</f>
        <v xml:space="preserve">       GASTOS PERSONAL DEPENDIENTE</v>
      </c>
      <c r="C19" s="1180"/>
      <c r="D19" s="418">
        <f>+'NO-RLP'!O38</f>
        <v>0</v>
      </c>
      <c r="E19" s="350" t="s">
        <v>27</v>
      </c>
      <c r="F19" s="420">
        <f>+(D19/4)</f>
        <v>0</v>
      </c>
      <c r="G19" s="57" t="s">
        <v>53</v>
      </c>
      <c r="H19" s="59" t="s">
        <v>54</v>
      </c>
      <c r="I19" s="60">
        <f>IF($H19="S",F19,0)</f>
        <v>0</v>
      </c>
      <c r="J19" s="59" t="s">
        <v>54</v>
      </c>
      <c r="K19" s="62">
        <f>IF($J19="S",F19,0)</f>
        <v>0</v>
      </c>
      <c r="L19" s="148"/>
    </row>
    <row r="20" spans="2:12" ht="13.5" thickBot="1" x14ac:dyDescent="0.25">
      <c r="B20" s="1170" t="str">
        <f>+'NO-RLP'!B46</f>
        <v xml:space="preserve">      GASTOS PERSONAL EXTERNO</v>
      </c>
      <c r="C20" s="1171"/>
      <c r="D20" s="419">
        <f>+'NO-RLP'!O46</f>
        <v>1670.4</v>
      </c>
      <c r="E20" s="351" t="s">
        <v>378</v>
      </c>
      <c r="F20" s="421">
        <f>+D20</f>
        <v>1670.4</v>
      </c>
      <c r="G20" s="351" t="s">
        <v>378</v>
      </c>
      <c r="H20" s="68" t="s">
        <v>54</v>
      </c>
      <c r="I20" s="60">
        <f>IF($H20="S",F20,0)</f>
        <v>1670.4</v>
      </c>
      <c r="J20" s="355" t="s">
        <v>54</v>
      </c>
      <c r="K20" s="70">
        <f>IF($J20="S",F20,0)</f>
        <v>1670.4</v>
      </c>
    </row>
    <row r="21" spans="2:12" s="31" customFormat="1" ht="13.5" thickBot="1" x14ac:dyDescent="0.25">
      <c r="B21" s="1183" t="s">
        <v>58</v>
      </c>
      <c r="C21" s="1184"/>
      <c r="D21" s="459">
        <f>SUM(D22:D51)</f>
        <v>4767.805287356322</v>
      </c>
      <c r="E21" s="411"/>
      <c r="F21" s="412">
        <f>SUM(F22:F51)</f>
        <v>4767.805287356322</v>
      </c>
      <c r="G21" s="411"/>
      <c r="H21" s="412"/>
      <c r="I21" s="410">
        <f>SUM(I22:I51)</f>
        <v>4767.805287356322</v>
      </c>
      <c r="J21" s="412"/>
      <c r="K21" s="410">
        <f>SUM(K22:K51)</f>
        <v>4767.805287356322</v>
      </c>
    </row>
    <row r="22" spans="2:12" s="31" customFormat="1" ht="13.5" thickBot="1" x14ac:dyDescent="0.25">
      <c r="B22" s="1181" t="str">
        <f>+'NO-RLP'!B52</f>
        <v xml:space="preserve">         MATERIAL DE ESCRITORIO</v>
      </c>
      <c r="C22" s="1182"/>
      <c r="D22" s="460">
        <f>+'NO-RLP'!P52</f>
        <v>360.78</v>
      </c>
      <c r="E22" s="415" t="s">
        <v>27</v>
      </c>
      <c r="F22" s="428">
        <f t="shared" ref="F22:F51" si="1">+D22/$F$11</f>
        <v>360.78</v>
      </c>
      <c r="G22" s="438" t="s">
        <v>385</v>
      </c>
      <c r="H22" s="427" t="s">
        <v>54</v>
      </c>
      <c r="I22" s="60">
        <f>IF($H22="S",F22,0)</f>
        <v>360.78</v>
      </c>
      <c r="J22" s="78" t="s">
        <v>54</v>
      </c>
      <c r="K22" s="62">
        <f>IF($J22="S",F22,0)</f>
        <v>360.78</v>
      </c>
    </row>
    <row r="23" spans="2:12" s="31" customFormat="1" ht="13.5" thickBot="1" x14ac:dyDescent="0.25">
      <c r="B23" s="1181" t="str">
        <f>+'NO-RLP'!B53</f>
        <v xml:space="preserve">         SERVICIOS EXTERNOS  </v>
      </c>
      <c r="C23" s="1182"/>
      <c r="D23" s="460">
        <f>+'NO-RLP'!P53</f>
        <v>301.89999999999998</v>
      </c>
      <c r="E23" s="415" t="s">
        <v>27</v>
      </c>
      <c r="F23" s="420">
        <f t="shared" si="1"/>
        <v>301.89999999999998</v>
      </c>
      <c r="G23" s="432" t="s">
        <v>385</v>
      </c>
      <c r="H23" s="425" t="s">
        <v>54</v>
      </c>
      <c r="I23" s="60">
        <f>IF($H23="S",F23,0)</f>
        <v>301.89999999999998</v>
      </c>
      <c r="J23" s="78" t="s">
        <v>54</v>
      </c>
      <c r="K23" s="62">
        <f t="shared" ref="K23:K51" si="2">IF($J23="S",F23,0)</f>
        <v>301.89999999999998</v>
      </c>
    </row>
    <row r="24" spans="2:12" s="31" customFormat="1" ht="13.5" thickBot="1" x14ac:dyDescent="0.25">
      <c r="B24" s="1181" t="str">
        <f>+'NO-RLP'!B54</f>
        <v xml:space="preserve">         SERVICIO DE COURIER</v>
      </c>
      <c r="C24" s="1182"/>
      <c r="D24" s="460">
        <f>+'NO-RLP'!P54</f>
        <v>46.428888888888892</v>
      </c>
      <c r="E24" s="415" t="s">
        <v>27</v>
      </c>
      <c r="F24" s="420">
        <f t="shared" si="1"/>
        <v>46.428888888888892</v>
      </c>
      <c r="G24" s="432" t="s">
        <v>385</v>
      </c>
      <c r="H24" s="426" t="s">
        <v>54</v>
      </c>
      <c r="I24" s="60">
        <f t="shared" ref="I24:I51" si="3">IF($H24="S",F24,0)</f>
        <v>46.428888888888892</v>
      </c>
      <c r="J24" s="78" t="s">
        <v>54</v>
      </c>
      <c r="K24" s="62">
        <f t="shared" si="2"/>
        <v>46.428888888888892</v>
      </c>
    </row>
    <row r="25" spans="2:12" s="31" customFormat="1" ht="13.5" thickBot="1" x14ac:dyDescent="0.25">
      <c r="B25" s="1181" t="str">
        <f>+'NO-RLP'!B55</f>
        <v xml:space="preserve">         SERVICIOS Y COMUNICACIONES</v>
      </c>
      <c r="C25" s="1182"/>
      <c r="D25" s="460">
        <f>+'NO-RLP'!P55</f>
        <v>724.46222222222207</v>
      </c>
      <c r="E25" s="415" t="s">
        <v>27</v>
      </c>
      <c r="F25" s="420">
        <f t="shared" si="1"/>
        <v>724.46222222222207</v>
      </c>
      <c r="G25" s="432" t="s">
        <v>385</v>
      </c>
      <c r="H25" s="426" t="s">
        <v>54</v>
      </c>
      <c r="I25" s="60">
        <f t="shared" si="3"/>
        <v>724.46222222222207</v>
      </c>
      <c r="J25" s="78" t="s">
        <v>54</v>
      </c>
      <c r="K25" s="62">
        <f t="shared" si="2"/>
        <v>724.46222222222207</v>
      </c>
    </row>
    <row r="26" spans="2:12" s="31" customFormat="1" ht="13.5" thickBot="1" x14ac:dyDescent="0.25">
      <c r="B26" s="1181" t="str">
        <f>+'NO-RLP'!B56</f>
        <v xml:space="preserve">         SERVICIO DE SEGURIDAD</v>
      </c>
      <c r="C26" s="1182"/>
      <c r="D26" s="460">
        <f>+'NO-RLP'!P56</f>
        <v>317.15111111111116</v>
      </c>
      <c r="E26" s="415" t="s">
        <v>27</v>
      </c>
      <c r="F26" s="420">
        <f t="shared" si="1"/>
        <v>317.15111111111116</v>
      </c>
      <c r="G26" s="432" t="s">
        <v>385</v>
      </c>
      <c r="H26" s="426" t="s">
        <v>54</v>
      </c>
      <c r="I26" s="60">
        <f t="shared" si="3"/>
        <v>317.15111111111116</v>
      </c>
      <c r="J26" s="78" t="s">
        <v>54</v>
      </c>
      <c r="K26" s="62">
        <f t="shared" si="2"/>
        <v>317.15111111111116</v>
      </c>
    </row>
    <row r="27" spans="2:12" s="31" customFormat="1" ht="13.5" thickBot="1" x14ac:dyDescent="0.25">
      <c r="B27" s="1181" t="str">
        <f>+'NO-RLP'!B57</f>
        <v xml:space="preserve">         REFRIGERIOS CURSOS-COMITÉS-OTROS</v>
      </c>
      <c r="C27" s="1182"/>
      <c r="D27" s="460">
        <f>+'NO-RLP'!P57</f>
        <v>19.065555555555555</v>
      </c>
      <c r="E27" s="415" t="s">
        <v>27</v>
      </c>
      <c r="F27" s="420">
        <f t="shared" si="1"/>
        <v>19.065555555555555</v>
      </c>
      <c r="G27" s="432" t="s">
        <v>385</v>
      </c>
      <c r="H27" s="426" t="s">
        <v>54</v>
      </c>
      <c r="I27" s="60">
        <f t="shared" si="3"/>
        <v>19.065555555555555</v>
      </c>
      <c r="J27" s="78" t="s">
        <v>54</v>
      </c>
      <c r="K27" s="62">
        <f t="shared" si="2"/>
        <v>19.065555555555555</v>
      </c>
    </row>
    <row r="28" spans="2:12" s="31" customFormat="1" ht="13.5" thickBot="1" x14ac:dyDescent="0.25">
      <c r="B28" s="1181" t="str">
        <f>+'NO-RLP'!B58</f>
        <v xml:space="preserve">         REPARACION Y MANTENIMIENTO</v>
      </c>
      <c r="C28" s="1182"/>
      <c r="D28" s="460">
        <f>+'NO-RLP'!P58</f>
        <v>0</v>
      </c>
      <c r="E28" s="415" t="s">
        <v>27</v>
      </c>
      <c r="F28" s="420">
        <f t="shared" si="1"/>
        <v>0</v>
      </c>
      <c r="G28" s="432" t="s">
        <v>385</v>
      </c>
      <c r="H28" s="426" t="s">
        <v>54</v>
      </c>
      <c r="I28" s="60">
        <f t="shared" si="3"/>
        <v>0</v>
      </c>
      <c r="J28" s="78" t="s">
        <v>54</v>
      </c>
      <c r="K28" s="62">
        <f t="shared" si="2"/>
        <v>0</v>
      </c>
    </row>
    <row r="29" spans="2:12" s="31" customFormat="1" ht="13.5" thickBot="1" x14ac:dyDescent="0.25">
      <c r="B29" s="1181" t="str">
        <f>+'NO-RLP'!B59</f>
        <v xml:space="preserve">         ALQUILER OFICINAS</v>
      </c>
      <c r="C29" s="1182"/>
      <c r="D29" s="460">
        <f>+'NO-RLP'!P59</f>
        <v>0</v>
      </c>
      <c r="E29" s="415" t="s">
        <v>27</v>
      </c>
      <c r="F29" s="420">
        <f t="shared" si="1"/>
        <v>0</v>
      </c>
      <c r="G29" s="432" t="s">
        <v>385</v>
      </c>
      <c r="H29" s="426" t="s">
        <v>54</v>
      </c>
      <c r="I29" s="60">
        <f t="shared" si="3"/>
        <v>0</v>
      </c>
      <c r="J29" s="78" t="s">
        <v>54</v>
      </c>
      <c r="K29" s="62">
        <f t="shared" si="2"/>
        <v>0</v>
      </c>
    </row>
    <row r="30" spans="2:12" s="31" customFormat="1" ht="13.5" thickBot="1" x14ac:dyDescent="0.25">
      <c r="B30" s="1181" t="str">
        <f>+'NO-RLP'!B60</f>
        <v xml:space="preserve">         ALQUILER OTROS</v>
      </c>
      <c r="C30" s="1182"/>
      <c r="D30" s="460">
        <f>+'NO-RLP'!P60</f>
        <v>0</v>
      </c>
      <c r="E30" s="415" t="s">
        <v>27</v>
      </c>
      <c r="F30" s="420">
        <f t="shared" si="1"/>
        <v>0</v>
      </c>
      <c r="G30" s="432" t="s">
        <v>385</v>
      </c>
      <c r="H30" s="426" t="s">
        <v>54</v>
      </c>
      <c r="I30" s="60">
        <f t="shared" si="3"/>
        <v>0</v>
      </c>
      <c r="J30" s="78" t="s">
        <v>54</v>
      </c>
      <c r="K30" s="62">
        <f t="shared" si="2"/>
        <v>0</v>
      </c>
    </row>
    <row r="31" spans="2:12" s="31" customFormat="1" ht="13.5" thickBot="1" x14ac:dyDescent="0.25">
      <c r="B31" s="1181" t="str">
        <f>+'NO-RLP'!B61</f>
        <v xml:space="preserve">         SEGUROS</v>
      </c>
      <c r="C31" s="1182"/>
      <c r="D31" s="460">
        <f>+'NO-RLP'!P61</f>
        <v>0</v>
      </c>
      <c r="E31" s="415" t="s">
        <v>27</v>
      </c>
      <c r="F31" s="420">
        <f t="shared" si="1"/>
        <v>0</v>
      </c>
      <c r="G31" s="432" t="s">
        <v>385</v>
      </c>
      <c r="H31" s="426" t="s">
        <v>54</v>
      </c>
      <c r="I31" s="60">
        <f t="shared" si="3"/>
        <v>0</v>
      </c>
      <c r="J31" s="78" t="s">
        <v>54</v>
      </c>
      <c r="K31" s="62">
        <f t="shared" si="2"/>
        <v>0</v>
      </c>
    </row>
    <row r="32" spans="2:12" s="31" customFormat="1" ht="13.5" thickBot="1" x14ac:dyDescent="0.25">
      <c r="B32" s="1181" t="str">
        <f>+'NO-RLP'!B62</f>
        <v xml:space="preserve">         IMPUESTO A LAS TRANSACCIONES</v>
      </c>
      <c r="C32" s="1182"/>
      <c r="D32" s="460">
        <f>+'NO-RLP'!P62</f>
        <v>525.9519540229885</v>
      </c>
      <c r="E32" s="415" t="s">
        <v>27</v>
      </c>
      <c r="F32" s="420">
        <f t="shared" si="1"/>
        <v>525.9519540229885</v>
      </c>
      <c r="G32" s="432" t="s">
        <v>385</v>
      </c>
      <c r="H32" s="426" t="s">
        <v>54</v>
      </c>
      <c r="I32" s="60">
        <f t="shared" si="3"/>
        <v>525.9519540229885</v>
      </c>
      <c r="J32" s="78" t="s">
        <v>54</v>
      </c>
      <c r="K32" s="62">
        <f t="shared" si="2"/>
        <v>525.9519540229885</v>
      </c>
    </row>
    <row r="33" spans="2:11" s="31" customFormat="1" ht="13.5" thickBot="1" x14ac:dyDescent="0.25">
      <c r="B33" s="1181" t="str">
        <f>+'NO-RLP'!B63</f>
        <v xml:space="preserve">         DEPRECIACION DE ACTIVOS FIJOS</v>
      </c>
      <c r="C33" s="1182"/>
      <c r="D33" s="460">
        <f>+'NO-RLP'!P63</f>
        <v>0</v>
      </c>
      <c r="E33" s="415" t="s">
        <v>27</v>
      </c>
      <c r="F33" s="420">
        <f t="shared" si="1"/>
        <v>0</v>
      </c>
      <c r="G33" s="432" t="s">
        <v>385</v>
      </c>
      <c r="H33" s="426" t="s">
        <v>54</v>
      </c>
      <c r="I33" s="60">
        <f t="shared" si="3"/>
        <v>0</v>
      </c>
      <c r="J33" s="78" t="s">
        <v>54</v>
      </c>
      <c r="K33" s="62">
        <f t="shared" si="2"/>
        <v>0</v>
      </c>
    </row>
    <row r="34" spans="2:11" s="31" customFormat="1" ht="13.5" thickBot="1" x14ac:dyDescent="0.25">
      <c r="B34" s="1181" t="str">
        <f>+'NO-RLP'!B64</f>
        <v xml:space="preserve">         AMORTIZACION OTROS ACTIVOS</v>
      </c>
      <c r="C34" s="1182"/>
      <c r="D34" s="460">
        <f>+'NO-RLP'!P64</f>
        <v>0</v>
      </c>
      <c r="E34" s="415" t="s">
        <v>27</v>
      </c>
      <c r="F34" s="420">
        <f t="shared" si="1"/>
        <v>0</v>
      </c>
      <c r="G34" s="432" t="s">
        <v>385</v>
      </c>
      <c r="H34" s="426" t="s">
        <v>54</v>
      </c>
      <c r="I34" s="60">
        <f t="shared" si="3"/>
        <v>0</v>
      </c>
      <c r="J34" s="78" t="s">
        <v>54</v>
      </c>
      <c r="K34" s="62">
        <f t="shared" si="2"/>
        <v>0</v>
      </c>
    </row>
    <row r="35" spans="2:11" s="31" customFormat="1" ht="13.5" thickBot="1" x14ac:dyDescent="0.25">
      <c r="B35" s="1181" t="str">
        <f>+'NO-RLP'!B65</f>
        <v xml:space="preserve">         SERVICIO DE FOTOCOPIAS</v>
      </c>
      <c r="C35" s="1182"/>
      <c r="D35" s="460">
        <f>+'NO-RLP'!P65</f>
        <v>15.790000000000001</v>
      </c>
      <c r="E35" s="415" t="s">
        <v>27</v>
      </c>
      <c r="F35" s="420">
        <f t="shared" si="1"/>
        <v>15.790000000000001</v>
      </c>
      <c r="G35" s="432" t="s">
        <v>385</v>
      </c>
      <c r="H35" s="426" t="s">
        <v>54</v>
      </c>
      <c r="I35" s="60">
        <f t="shared" si="3"/>
        <v>15.790000000000001</v>
      </c>
      <c r="J35" s="78" t="s">
        <v>54</v>
      </c>
      <c r="K35" s="62">
        <f t="shared" si="2"/>
        <v>15.790000000000001</v>
      </c>
    </row>
    <row r="36" spans="2:11" s="31" customFormat="1" ht="13.5" thickBot="1" x14ac:dyDescent="0.25">
      <c r="B36" s="1181" t="str">
        <f>+'NO-RLP'!B66</f>
        <v xml:space="preserve">         PASAJES Y VIATICOS</v>
      </c>
      <c r="C36" s="1182"/>
      <c r="D36" s="460">
        <f>+'NO-RLP'!P66</f>
        <v>109.4388888888889</v>
      </c>
      <c r="E36" s="415" t="s">
        <v>27</v>
      </c>
      <c r="F36" s="420">
        <f t="shared" si="1"/>
        <v>109.4388888888889</v>
      </c>
      <c r="G36" s="432" t="s">
        <v>385</v>
      </c>
      <c r="H36" s="426" t="s">
        <v>54</v>
      </c>
      <c r="I36" s="60">
        <f t="shared" si="3"/>
        <v>109.4388888888889</v>
      </c>
      <c r="J36" s="78" t="s">
        <v>54</v>
      </c>
      <c r="K36" s="62">
        <f t="shared" si="2"/>
        <v>109.4388888888889</v>
      </c>
    </row>
    <row r="37" spans="2:11" s="31" customFormat="1" ht="13.5" thickBot="1" x14ac:dyDescent="0.25">
      <c r="B37" s="1181" t="str">
        <f>+'NO-RLP'!B67</f>
        <v xml:space="preserve">         GASTOS BANCARIOS</v>
      </c>
      <c r="C37" s="1182"/>
      <c r="D37" s="460">
        <f>+'NO-RLP'!P67</f>
        <v>234.82888888888888</v>
      </c>
      <c r="E37" s="415" t="s">
        <v>27</v>
      </c>
      <c r="F37" s="420">
        <f t="shared" si="1"/>
        <v>234.82888888888888</v>
      </c>
      <c r="G37" s="432" t="s">
        <v>385</v>
      </c>
      <c r="H37" s="426" t="s">
        <v>54</v>
      </c>
      <c r="I37" s="60">
        <f t="shared" si="3"/>
        <v>234.82888888888888</v>
      </c>
      <c r="J37" s="78" t="s">
        <v>54</v>
      </c>
      <c r="K37" s="62">
        <f t="shared" si="2"/>
        <v>234.82888888888888</v>
      </c>
    </row>
    <row r="38" spans="2:11" s="31" customFormat="1" ht="13.5" thickBot="1" x14ac:dyDescent="0.25">
      <c r="B38" s="1181" t="str">
        <f>+'NO-RLP'!B68</f>
        <v xml:space="preserve">         GASTOS DE IMPRENTA</v>
      </c>
      <c r="C38" s="1182"/>
      <c r="D38" s="460">
        <f>+'NO-RLP'!P68</f>
        <v>1245.0666666666666</v>
      </c>
      <c r="E38" s="415" t="s">
        <v>27</v>
      </c>
      <c r="F38" s="420">
        <f t="shared" si="1"/>
        <v>1245.0666666666666</v>
      </c>
      <c r="G38" s="432" t="s">
        <v>385</v>
      </c>
      <c r="H38" s="426" t="s">
        <v>54</v>
      </c>
      <c r="I38" s="60">
        <f t="shared" si="3"/>
        <v>1245.0666666666666</v>
      </c>
      <c r="J38" s="78" t="s">
        <v>54</v>
      </c>
      <c r="K38" s="62">
        <f t="shared" si="2"/>
        <v>1245.0666666666666</v>
      </c>
    </row>
    <row r="39" spans="2:11" s="31" customFormat="1" ht="13.5" thickBot="1" x14ac:dyDescent="0.25">
      <c r="B39" s="1181" t="str">
        <f>+'NO-RLP'!B69</f>
        <v xml:space="preserve">         GASTOS MOVILIDAD</v>
      </c>
      <c r="C39" s="1182"/>
      <c r="D39" s="460">
        <f>+'NO-RLP'!P69</f>
        <v>4.2088888888888887</v>
      </c>
      <c r="E39" s="415" t="s">
        <v>27</v>
      </c>
      <c r="F39" s="420">
        <f t="shared" si="1"/>
        <v>4.2088888888888887</v>
      </c>
      <c r="G39" s="432" t="s">
        <v>385</v>
      </c>
      <c r="H39" s="426" t="s">
        <v>54</v>
      </c>
      <c r="I39" s="60">
        <f t="shared" si="3"/>
        <v>4.2088888888888887</v>
      </c>
      <c r="J39" s="78" t="s">
        <v>54</v>
      </c>
      <c r="K39" s="62">
        <f t="shared" si="2"/>
        <v>4.2088888888888887</v>
      </c>
    </row>
    <row r="40" spans="2:11" s="31" customFormat="1" ht="13.5" thickBot="1" x14ac:dyDescent="0.25">
      <c r="B40" s="1181" t="str">
        <f>+'NO-RLP'!B70</f>
        <v xml:space="preserve">         SERVICIOS Y MATERIAL DE LIMPIEZA</v>
      </c>
      <c r="C40" s="1182"/>
      <c r="D40" s="460">
        <f>+'NO-RLP'!P70</f>
        <v>391.89555555555563</v>
      </c>
      <c r="E40" s="415" t="s">
        <v>27</v>
      </c>
      <c r="F40" s="420">
        <f t="shared" si="1"/>
        <v>391.89555555555563</v>
      </c>
      <c r="G40" s="432" t="s">
        <v>385</v>
      </c>
      <c r="H40" s="426" t="s">
        <v>54</v>
      </c>
      <c r="I40" s="60">
        <f t="shared" si="3"/>
        <v>391.89555555555563</v>
      </c>
      <c r="J40" s="78" t="s">
        <v>54</v>
      </c>
      <c r="K40" s="62">
        <f t="shared" si="2"/>
        <v>391.89555555555563</v>
      </c>
    </row>
    <row r="41" spans="2:11" ht="13.5" thickBot="1" x14ac:dyDescent="0.25">
      <c r="B41" s="1181" t="str">
        <f>+'NO-RLP'!B71</f>
        <v xml:space="preserve">         GASTOS DE REPRESENTACION</v>
      </c>
      <c r="C41" s="1182"/>
      <c r="D41" s="460">
        <f>+'NO-RLP'!P71</f>
        <v>0</v>
      </c>
      <c r="E41" s="415" t="s">
        <v>27</v>
      </c>
      <c r="F41" s="420">
        <f t="shared" si="1"/>
        <v>0</v>
      </c>
      <c r="G41" s="432" t="s">
        <v>385</v>
      </c>
      <c r="H41" s="427" t="s">
        <v>54</v>
      </c>
      <c r="I41" s="60">
        <f t="shared" si="3"/>
        <v>0</v>
      </c>
      <c r="J41" s="78" t="s">
        <v>54</v>
      </c>
      <c r="K41" s="62">
        <f t="shared" si="2"/>
        <v>0</v>
      </c>
    </row>
    <row r="42" spans="2:11" ht="13.5" thickBot="1" x14ac:dyDescent="0.25">
      <c r="B42" s="1181" t="str">
        <f>+'NO-RLP'!B72</f>
        <v xml:space="preserve">         SUSCRIPCIONES Y CUOTAS</v>
      </c>
      <c r="C42" s="1182"/>
      <c r="D42" s="460">
        <f>+'NO-RLP'!P72</f>
        <v>0</v>
      </c>
      <c r="E42" s="415" t="s">
        <v>27</v>
      </c>
      <c r="F42" s="420">
        <f t="shared" si="1"/>
        <v>0</v>
      </c>
      <c r="G42" s="432" t="s">
        <v>385</v>
      </c>
      <c r="H42" s="425" t="s">
        <v>54</v>
      </c>
      <c r="I42" s="60">
        <f t="shared" si="3"/>
        <v>0</v>
      </c>
      <c r="J42" s="78" t="s">
        <v>54</v>
      </c>
      <c r="K42" s="62">
        <f t="shared" si="2"/>
        <v>0</v>
      </c>
    </row>
    <row r="43" spans="2:11" ht="13.5" thickBot="1" x14ac:dyDescent="0.25">
      <c r="B43" s="1181" t="str">
        <f>+'NO-RLP'!B73</f>
        <v xml:space="preserve">         INTERESES Y MULTAS</v>
      </c>
      <c r="C43" s="1182"/>
      <c r="D43" s="460">
        <f>+'NO-RLP'!P73</f>
        <v>0</v>
      </c>
      <c r="E43" s="415" t="s">
        <v>27</v>
      </c>
      <c r="F43" s="420">
        <f t="shared" si="1"/>
        <v>0</v>
      </c>
      <c r="G43" s="432" t="s">
        <v>385</v>
      </c>
      <c r="H43" s="426" t="s">
        <v>54</v>
      </c>
      <c r="I43" s="60">
        <f t="shared" si="3"/>
        <v>0</v>
      </c>
      <c r="J43" s="78" t="s">
        <v>54</v>
      </c>
      <c r="K43" s="62">
        <f t="shared" si="2"/>
        <v>0</v>
      </c>
    </row>
    <row r="44" spans="2:11" ht="13.5" thickBot="1" x14ac:dyDescent="0.25">
      <c r="B44" s="1181" t="str">
        <f>+'NO-RLP'!B74</f>
        <v xml:space="preserve">         PATENTES MUNICIPALES</v>
      </c>
      <c r="C44" s="1182"/>
      <c r="D44" s="460">
        <f>+'NO-RLP'!P74</f>
        <v>0</v>
      </c>
      <c r="E44" s="415" t="s">
        <v>27</v>
      </c>
      <c r="F44" s="420">
        <f t="shared" si="1"/>
        <v>0</v>
      </c>
      <c r="G44" s="432" t="s">
        <v>385</v>
      </c>
      <c r="H44" s="426" t="s">
        <v>54</v>
      </c>
      <c r="I44" s="60">
        <f t="shared" si="3"/>
        <v>0</v>
      </c>
      <c r="J44" s="78" t="s">
        <v>54</v>
      </c>
      <c r="K44" s="62">
        <f t="shared" si="2"/>
        <v>0</v>
      </c>
    </row>
    <row r="45" spans="2:11" ht="13.5" thickBot="1" x14ac:dyDescent="0.25">
      <c r="B45" s="1181" t="str">
        <f>+'NO-RLP'!B75</f>
        <v xml:space="preserve">         CAPACITACION PERSONAL</v>
      </c>
      <c r="C45" s="1182"/>
      <c r="D45" s="460">
        <f>+'NO-RLP'!P75</f>
        <v>0</v>
      </c>
      <c r="E45" s="415" t="s">
        <v>27</v>
      </c>
      <c r="F45" s="420">
        <f t="shared" si="1"/>
        <v>0</v>
      </c>
      <c r="G45" s="432" t="s">
        <v>385</v>
      </c>
      <c r="H45" s="426" t="s">
        <v>54</v>
      </c>
      <c r="I45" s="60">
        <f t="shared" si="3"/>
        <v>0</v>
      </c>
      <c r="J45" s="78" t="s">
        <v>54</v>
      </c>
      <c r="K45" s="62">
        <f t="shared" si="2"/>
        <v>0</v>
      </c>
    </row>
    <row r="46" spans="2:11" ht="13.5" thickBot="1" x14ac:dyDescent="0.25">
      <c r="B46" s="1181" t="str">
        <f>+'NO-RLP'!B76</f>
        <v xml:space="preserve">         MEJORAS Y ARREGLOS A LAS INSTALACIONES</v>
      </c>
      <c r="C46" s="1182"/>
      <c r="D46" s="460">
        <f>+'NO-RLP'!P76</f>
        <v>0</v>
      </c>
      <c r="E46" s="415" t="s">
        <v>27</v>
      </c>
      <c r="F46" s="420">
        <f t="shared" si="1"/>
        <v>0</v>
      </c>
      <c r="G46" s="432" t="s">
        <v>385</v>
      </c>
      <c r="H46" s="426" t="s">
        <v>54</v>
      </c>
      <c r="I46" s="60">
        <f t="shared" si="3"/>
        <v>0</v>
      </c>
      <c r="J46" s="78" t="s">
        <v>54</v>
      </c>
      <c r="K46" s="62">
        <f t="shared" si="2"/>
        <v>0</v>
      </c>
    </row>
    <row r="47" spans="2:11" ht="13.5" thickBot="1" x14ac:dyDescent="0.25">
      <c r="B47" s="1181" t="str">
        <f>+'NO-RLP'!B77</f>
        <v xml:space="preserve">         SERVICIOS PUBLICITARIOS</v>
      </c>
      <c r="C47" s="1182"/>
      <c r="D47" s="460">
        <f>+'NO-RLP'!P77</f>
        <v>417.83222222222219</v>
      </c>
      <c r="E47" s="415" t="s">
        <v>27</v>
      </c>
      <c r="F47" s="420">
        <f t="shared" si="1"/>
        <v>417.83222222222219</v>
      </c>
      <c r="G47" s="432" t="s">
        <v>385</v>
      </c>
      <c r="H47" s="426" t="s">
        <v>54</v>
      </c>
      <c r="I47" s="60">
        <f t="shared" si="3"/>
        <v>417.83222222222219</v>
      </c>
      <c r="J47" s="78" t="s">
        <v>54</v>
      </c>
      <c r="K47" s="62">
        <f t="shared" si="2"/>
        <v>417.83222222222219</v>
      </c>
    </row>
    <row r="48" spans="2:11" ht="13.5" thickBot="1" x14ac:dyDescent="0.25">
      <c r="B48" s="1181" t="str">
        <f>+'NO-RLP'!B78</f>
        <v xml:space="preserve">         IMPUESTO A LAS TRANSCCIONES FINANCIERAS</v>
      </c>
      <c r="C48" s="1182"/>
      <c r="D48" s="460">
        <f>+'NO-RLP'!P78</f>
        <v>0</v>
      </c>
      <c r="E48" s="415" t="s">
        <v>27</v>
      </c>
      <c r="F48" s="420">
        <f t="shared" si="1"/>
        <v>0</v>
      </c>
      <c r="G48" s="432" t="s">
        <v>385</v>
      </c>
      <c r="H48" s="426" t="s">
        <v>54</v>
      </c>
      <c r="I48" s="60">
        <f t="shared" si="3"/>
        <v>0</v>
      </c>
      <c r="J48" s="78" t="s">
        <v>54</v>
      </c>
      <c r="K48" s="62">
        <f t="shared" si="2"/>
        <v>0</v>
      </c>
    </row>
    <row r="49" spans="2:11" ht="13.5" thickBot="1" x14ac:dyDescent="0.25">
      <c r="B49" s="1181" t="str">
        <f>+'NO-RLP'!B79</f>
        <v xml:space="preserve">         PERDIDA EN INVENTARIOS</v>
      </c>
      <c r="C49" s="1182"/>
      <c r="D49" s="460">
        <f>+'NO-RLP'!P79</f>
        <v>0</v>
      </c>
      <c r="E49" s="415" t="s">
        <v>27</v>
      </c>
      <c r="F49" s="420">
        <f t="shared" si="1"/>
        <v>0</v>
      </c>
      <c r="G49" s="432" t="s">
        <v>385</v>
      </c>
      <c r="H49" s="426" t="s">
        <v>54</v>
      </c>
      <c r="I49" s="60">
        <f t="shared" si="3"/>
        <v>0</v>
      </c>
      <c r="J49" s="78" t="s">
        <v>54</v>
      </c>
      <c r="K49" s="62">
        <f t="shared" si="2"/>
        <v>0</v>
      </c>
    </row>
    <row r="50" spans="2:11" ht="13.5" thickBot="1" x14ac:dyDescent="0.25">
      <c r="B50" s="1181" t="str">
        <f>+'NO-RLP'!B80</f>
        <v xml:space="preserve">         AUSPICIOS Y EVENTOS</v>
      </c>
      <c r="C50" s="1182"/>
      <c r="D50" s="460">
        <f>+'NO-RLP'!P80</f>
        <v>0</v>
      </c>
      <c r="E50" s="415" t="s">
        <v>27</v>
      </c>
      <c r="F50" s="420">
        <f t="shared" si="1"/>
        <v>0</v>
      </c>
      <c r="G50" s="432" t="s">
        <v>385</v>
      </c>
      <c r="H50" s="426" t="s">
        <v>54</v>
      </c>
      <c r="I50" s="60">
        <f t="shared" si="3"/>
        <v>0</v>
      </c>
      <c r="J50" s="78" t="s">
        <v>54</v>
      </c>
      <c r="K50" s="62">
        <f t="shared" si="2"/>
        <v>0</v>
      </c>
    </row>
    <row r="51" spans="2:11" ht="13.5" thickBot="1" x14ac:dyDescent="0.25">
      <c r="B51" s="1181" t="str">
        <f>+'NO-RLP'!B81</f>
        <v xml:space="preserve">         GASTOS VARIOS</v>
      </c>
      <c r="C51" s="1182"/>
      <c r="D51" s="460">
        <f>+'NO-RLP'!P81</f>
        <v>53.004444444444445</v>
      </c>
      <c r="E51" s="415" t="s">
        <v>27</v>
      </c>
      <c r="F51" s="420">
        <f t="shared" si="1"/>
        <v>53.004444444444445</v>
      </c>
      <c r="G51" s="432" t="s">
        <v>385</v>
      </c>
      <c r="H51" s="426" t="s">
        <v>54</v>
      </c>
      <c r="I51" s="60">
        <f t="shared" si="3"/>
        <v>53.004444444444445</v>
      </c>
      <c r="J51" s="78" t="s">
        <v>54</v>
      </c>
      <c r="K51" s="62">
        <f t="shared" si="2"/>
        <v>53.004444444444445</v>
      </c>
    </row>
    <row r="52" spans="2:11" ht="13.5" thickBot="1" x14ac:dyDescent="0.25">
      <c r="B52" s="1185" t="s">
        <v>76</v>
      </c>
      <c r="C52" s="1186"/>
      <c r="D52" s="414">
        <f>+D21+D18</f>
        <v>6438.2052873563225</v>
      </c>
      <c r="E52" s="88"/>
      <c r="F52" s="87">
        <f>+F18+F21</f>
        <v>6438.2052873563225</v>
      </c>
      <c r="G52" s="88"/>
      <c r="H52" s="87"/>
      <c r="I52" s="87">
        <f>+I18+I21</f>
        <v>6438.2052873563225</v>
      </c>
      <c r="J52" s="87"/>
      <c r="K52" s="89">
        <f>+K18+K21</f>
        <v>6438.2052873563225</v>
      </c>
    </row>
    <row r="53" spans="2:11" ht="13.5" thickBot="1" x14ac:dyDescent="0.25">
      <c r="B53" s="1181" t="str">
        <f>+'NO-RLP'!B82</f>
        <v xml:space="preserve">         GASTOS SA</v>
      </c>
      <c r="C53" s="1182"/>
      <c r="D53" s="460">
        <f>+'NO-RLP'!P82</f>
        <v>5167.4272444444459</v>
      </c>
      <c r="E53" s="415" t="s">
        <v>27</v>
      </c>
      <c r="F53" s="429">
        <f>+D53/$F$11</f>
        <v>5167.4272444444459</v>
      </c>
      <c r="G53" s="443" t="s">
        <v>385</v>
      </c>
      <c r="H53" s="426" t="s">
        <v>54</v>
      </c>
      <c r="I53" s="60">
        <f>IF($H53="S",F53,0)</f>
        <v>5167.4272444444459</v>
      </c>
      <c r="J53" s="78" t="s">
        <v>54</v>
      </c>
      <c r="K53" s="62">
        <f>IF($J53="S",F53,0)</f>
        <v>5167.4272444444459</v>
      </c>
    </row>
    <row r="54" spans="2:11" ht="13.5" thickBot="1" x14ac:dyDescent="0.25">
      <c r="B54" s="1187" t="str">
        <f>+'NO-RLP'!B83</f>
        <v xml:space="preserve">         GASTOS DN</v>
      </c>
      <c r="C54" s="1188"/>
      <c r="D54" s="378">
        <f>+'NO-RLP'!P83</f>
        <v>7473.5130000000017</v>
      </c>
      <c r="E54" s="95" t="s">
        <v>78</v>
      </c>
      <c r="F54" s="96">
        <f>D54/F11</f>
        <v>7473.5130000000017</v>
      </c>
      <c r="G54" s="95" t="s">
        <v>78</v>
      </c>
      <c r="H54" s="96"/>
      <c r="I54" s="93">
        <f>+F54</f>
        <v>7473.5130000000017</v>
      </c>
      <c r="J54" s="96"/>
      <c r="K54" s="85">
        <f>+F54</f>
        <v>7473.5130000000017</v>
      </c>
    </row>
    <row r="55" spans="2:11" ht="13.5" thickBot="1" x14ac:dyDescent="0.25">
      <c r="B55" s="1004" t="s">
        <v>80</v>
      </c>
      <c r="C55" s="1005"/>
      <c r="D55" s="97">
        <f>SUM(D52:D54)</f>
        <v>19079.145531800772</v>
      </c>
      <c r="E55" s="89"/>
      <c r="F55" s="98"/>
      <c r="G55" s="89"/>
      <c r="H55" s="87"/>
      <c r="I55" s="99">
        <f>SUM(I52:I54)</f>
        <v>19079.145531800772</v>
      </c>
      <c r="J55" s="98"/>
      <c r="K55" s="88">
        <f>SUM(K52:K54)</f>
        <v>19079.145531800772</v>
      </c>
    </row>
    <row r="56" spans="2:11" ht="13.5" thickBot="1" x14ac:dyDescent="0.25">
      <c r="B56" s="1185" t="s">
        <v>81</v>
      </c>
      <c r="C56" s="1186"/>
      <c r="D56" s="414"/>
      <c r="E56" s="437"/>
      <c r="F56" s="414"/>
      <c r="G56" s="437"/>
      <c r="H56" s="414"/>
      <c r="I56" s="457"/>
      <c r="J56" s="414"/>
      <c r="K56" s="437"/>
    </row>
    <row r="57" spans="2:11" x14ac:dyDescent="0.2">
      <c r="B57" s="1010"/>
      <c r="C57" s="1196"/>
      <c r="D57" s="456"/>
      <c r="E57" s="398"/>
      <c r="F57" s="397"/>
      <c r="G57" s="398"/>
      <c r="H57" s="59" t="s">
        <v>54</v>
      </c>
      <c r="I57" s="60">
        <f>IF($H57="S",F57,0)</f>
        <v>0</v>
      </c>
      <c r="J57" s="59" t="s">
        <v>54</v>
      </c>
      <c r="K57" s="62">
        <f>IF($J57="S",F57,0)</f>
        <v>0</v>
      </c>
    </row>
    <row r="58" spans="2:11" x14ac:dyDescent="0.2">
      <c r="B58" s="1006"/>
      <c r="C58" s="1195"/>
      <c r="D58" s="107"/>
      <c r="E58" s="91"/>
      <c r="F58" s="108"/>
      <c r="G58" s="91"/>
      <c r="H58" s="112" t="s">
        <v>57</v>
      </c>
      <c r="I58" s="81">
        <f t="shared" ref="I58:I68" si="4">IF($H58="S",F58,0)</f>
        <v>0</v>
      </c>
      <c r="J58" s="78" t="s">
        <v>54</v>
      </c>
      <c r="K58" s="82">
        <f t="shared" ref="K58:K68" si="5">IF($J58="S",F58,0)</f>
        <v>0</v>
      </c>
    </row>
    <row r="59" spans="2:11" x14ac:dyDescent="0.2">
      <c r="B59" s="1006"/>
      <c r="C59" s="1195"/>
      <c r="D59" s="107"/>
      <c r="E59" s="91"/>
      <c r="F59" s="108"/>
      <c r="G59" s="91"/>
      <c r="H59" s="112" t="s">
        <v>54</v>
      </c>
      <c r="I59" s="81">
        <f t="shared" si="4"/>
        <v>0</v>
      </c>
      <c r="J59" s="78" t="s">
        <v>54</v>
      </c>
      <c r="K59" s="82">
        <f t="shared" si="5"/>
        <v>0</v>
      </c>
    </row>
    <row r="60" spans="2:11" x14ac:dyDescent="0.2">
      <c r="B60" s="1006"/>
      <c r="C60" s="1195"/>
      <c r="D60" s="107"/>
      <c r="E60" s="91"/>
      <c r="F60" s="108"/>
      <c r="G60" s="91"/>
      <c r="H60" s="112" t="s">
        <v>57</v>
      </c>
      <c r="I60" s="81">
        <f t="shared" si="4"/>
        <v>0</v>
      </c>
      <c r="J60" s="78" t="s">
        <v>54</v>
      </c>
      <c r="K60" s="82">
        <f t="shared" si="5"/>
        <v>0</v>
      </c>
    </row>
    <row r="61" spans="2:11" x14ac:dyDescent="0.2">
      <c r="B61" s="1006"/>
      <c r="C61" s="1195"/>
      <c r="D61" s="107"/>
      <c r="E61" s="91"/>
      <c r="F61" s="108"/>
      <c r="G61" s="91"/>
      <c r="H61" s="112" t="s">
        <v>57</v>
      </c>
      <c r="I61" s="81">
        <f t="shared" si="4"/>
        <v>0</v>
      </c>
      <c r="J61" s="78" t="s">
        <v>54</v>
      </c>
      <c r="K61" s="82">
        <f t="shared" si="5"/>
        <v>0</v>
      </c>
    </row>
    <row r="62" spans="2:11" x14ac:dyDescent="0.2">
      <c r="B62" s="1006"/>
      <c r="C62" s="1195"/>
      <c r="D62" s="107"/>
      <c r="E62" s="91"/>
      <c r="F62" s="108"/>
      <c r="G62" s="91"/>
      <c r="H62" s="112" t="s">
        <v>57</v>
      </c>
      <c r="I62" s="81">
        <f t="shared" si="4"/>
        <v>0</v>
      </c>
      <c r="J62" s="78" t="s">
        <v>54</v>
      </c>
      <c r="K62" s="82">
        <f t="shared" si="5"/>
        <v>0</v>
      </c>
    </row>
    <row r="63" spans="2:11" x14ac:dyDescent="0.2">
      <c r="B63" s="1006"/>
      <c r="C63" s="1195"/>
      <c r="D63" s="107"/>
      <c r="E63" s="91"/>
      <c r="F63" s="108"/>
      <c r="G63" s="91"/>
      <c r="H63" s="112" t="s">
        <v>54</v>
      </c>
      <c r="I63" s="81">
        <f t="shared" si="4"/>
        <v>0</v>
      </c>
      <c r="J63" s="78" t="s">
        <v>54</v>
      </c>
      <c r="K63" s="82">
        <f t="shared" si="5"/>
        <v>0</v>
      </c>
    </row>
    <row r="64" spans="2:11" x14ac:dyDescent="0.2">
      <c r="B64" s="1006"/>
      <c r="C64" s="1195"/>
      <c r="D64" s="107"/>
      <c r="E64" s="91"/>
      <c r="F64" s="108"/>
      <c r="G64" s="91"/>
      <c r="H64" s="112" t="s">
        <v>54</v>
      </c>
      <c r="I64" s="81">
        <f t="shared" si="4"/>
        <v>0</v>
      </c>
      <c r="J64" s="78" t="s">
        <v>54</v>
      </c>
      <c r="K64" s="82">
        <f t="shared" si="5"/>
        <v>0</v>
      </c>
    </row>
    <row r="65" spans="1:11" x14ac:dyDescent="0.2">
      <c r="B65" s="1006"/>
      <c r="C65" s="1195"/>
      <c r="D65" s="107"/>
      <c r="E65" s="91"/>
      <c r="F65" s="111"/>
      <c r="G65" s="91"/>
      <c r="H65" s="78" t="s">
        <v>54</v>
      </c>
      <c r="I65" s="81">
        <f t="shared" si="4"/>
        <v>0</v>
      </c>
      <c r="J65" s="78" t="s">
        <v>54</v>
      </c>
      <c r="K65" s="82">
        <f t="shared" si="5"/>
        <v>0</v>
      </c>
    </row>
    <row r="66" spans="1:11" x14ac:dyDescent="0.2">
      <c r="B66" s="1006"/>
      <c r="C66" s="1195"/>
      <c r="D66" s="107"/>
      <c r="E66" s="91"/>
      <c r="F66" s="112"/>
      <c r="G66" s="91"/>
      <c r="H66" s="78" t="s">
        <v>54</v>
      </c>
      <c r="I66" s="81">
        <f t="shared" si="4"/>
        <v>0</v>
      </c>
      <c r="J66" s="78" t="s">
        <v>54</v>
      </c>
      <c r="K66" s="82">
        <f t="shared" si="5"/>
        <v>0</v>
      </c>
    </row>
    <row r="67" spans="1:11" x14ac:dyDescent="0.2">
      <c r="B67" s="1006"/>
      <c r="C67" s="1195"/>
      <c r="D67" s="107"/>
      <c r="E67" s="91"/>
      <c r="F67" s="108"/>
      <c r="G67" s="91"/>
      <c r="H67" s="78" t="s">
        <v>54</v>
      </c>
      <c r="I67" s="81">
        <f t="shared" si="4"/>
        <v>0</v>
      </c>
      <c r="J67" s="78" t="s">
        <v>54</v>
      </c>
      <c r="K67" s="82">
        <f t="shared" si="5"/>
        <v>0</v>
      </c>
    </row>
    <row r="68" spans="1:11" x14ac:dyDescent="0.2">
      <c r="B68" s="1187"/>
      <c r="C68" s="1191"/>
      <c r="D68" s="107"/>
      <c r="E68" s="113"/>
      <c r="F68" s="112"/>
      <c r="G68" s="113"/>
      <c r="H68" s="112" t="s">
        <v>57</v>
      </c>
      <c r="I68" s="81">
        <f t="shared" si="4"/>
        <v>0</v>
      </c>
      <c r="J68" s="78" t="s">
        <v>54</v>
      </c>
      <c r="K68" s="82">
        <f t="shared" si="5"/>
        <v>0</v>
      </c>
    </row>
    <row r="69" spans="1:11" s="27" customFormat="1" x14ac:dyDescent="0.2">
      <c r="B69" s="1192" t="s">
        <v>96</v>
      </c>
      <c r="C69" s="1193"/>
      <c r="D69" s="114"/>
      <c r="E69" s="115"/>
      <c r="F69" s="116"/>
      <c r="G69" s="115"/>
      <c r="H69" s="118"/>
      <c r="I69" s="117">
        <f>SUM(I57:I68)</f>
        <v>0</v>
      </c>
      <c r="J69" s="114"/>
      <c r="K69" s="453">
        <f>SUM(K57:K68)</f>
        <v>0</v>
      </c>
    </row>
    <row r="70" spans="1:11" s="27" customFormat="1" ht="13.5" thickBot="1" x14ac:dyDescent="0.25">
      <c r="B70" s="992" t="s">
        <v>45</v>
      </c>
      <c r="C70" s="1194"/>
      <c r="D70" s="454"/>
      <c r="E70" s="454"/>
      <c r="F70" s="454"/>
      <c r="G70" s="454"/>
      <c r="H70" s="454"/>
      <c r="I70" s="454">
        <f>+I69+I55</f>
        <v>19079.145531800772</v>
      </c>
      <c r="J70" s="454"/>
      <c r="K70" s="455">
        <f>+K69+K55</f>
        <v>19079.145531800772</v>
      </c>
    </row>
    <row r="71" spans="1:11" s="37" customFormat="1" ht="13.5" thickBot="1" x14ac:dyDescent="0.25">
      <c r="A71" s="441"/>
      <c r="D71" s="83"/>
      <c r="E71" s="83"/>
      <c r="G71" s="83"/>
      <c r="H71" s="134"/>
      <c r="I71" s="135"/>
      <c r="J71" s="136"/>
    </row>
    <row r="72" spans="1:11" s="37" customFormat="1" ht="34.5" thickBot="1" x14ac:dyDescent="0.25">
      <c r="A72" s="441"/>
      <c r="B72" s="1004" t="s">
        <v>80</v>
      </c>
      <c r="C72" s="1005"/>
      <c r="E72" s="364" t="s">
        <v>382</v>
      </c>
      <c r="F72" s="364" t="s">
        <v>383</v>
      </c>
      <c r="G72" s="364" t="s">
        <v>47</v>
      </c>
      <c r="H72" s="364" t="s">
        <v>384</v>
      </c>
      <c r="J72" s="1"/>
      <c r="K72" s="1"/>
    </row>
    <row r="73" spans="1:11" s="144" customFormat="1" ht="13.5" thickBot="1" x14ac:dyDescent="0.25">
      <c r="A73" s="442"/>
      <c r="B73" s="996" t="s">
        <v>81</v>
      </c>
      <c r="C73" s="997"/>
      <c r="D73" s="24"/>
      <c r="E73" s="24">
        <f>+(I55)/$F$11</f>
        <v>19079.145531800772</v>
      </c>
      <c r="F73" s="37"/>
      <c r="G73" s="24">
        <f>+(K55-$F$20)/$F$11+$F$20</f>
        <v>19079.145531800772</v>
      </c>
      <c r="H73" s="24"/>
      <c r="J73" s="1"/>
      <c r="K73" s="1"/>
    </row>
    <row r="74" spans="1:11" ht="13.5" thickBot="1" x14ac:dyDescent="0.25">
      <c r="B74" s="998" t="s">
        <v>45</v>
      </c>
      <c r="C74" s="999"/>
      <c r="D74" s="141"/>
      <c r="E74" s="141">
        <f>+I69</f>
        <v>0</v>
      </c>
      <c r="F74" s="141"/>
      <c r="G74" s="141">
        <f>+K69</f>
        <v>0</v>
      </c>
      <c r="H74" s="141"/>
    </row>
    <row r="75" spans="1:11" ht="13.5" thickBot="1" x14ac:dyDescent="0.25">
      <c r="B75" s="1000" t="s">
        <v>103</v>
      </c>
      <c r="C75" s="1001"/>
      <c r="D75" s="145"/>
      <c r="E75" s="145">
        <f>SUM(E73:E74)</f>
        <v>19079.145531800772</v>
      </c>
      <c r="F75" s="145" t="e">
        <f>+E77*E79</f>
        <v>#DIV/0!</v>
      </c>
      <c r="G75" s="145">
        <f>SUM(G73:G74)</f>
        <v>19079.145531800772</v>
      </c>
      <c r="H75" s="145"/>
    </row>
    <row r="76" spans="1:11" x14ac:dyDescent="0.2">
      <c r="B76" s="1002" t="s">
        <v>106</v>
      </c>
      <c r="C76" s="150" t="s">
        <v>107</v>
      </c>
      <c r="D76" s="147">
        <v>0</v>
      </c>
      <c r="E76" s="148"/>
      <c r="F76" s="148"/>
      <c r="G76" s="148"/>
      <c r="H76" s="148"/>
    </row>
    <row r="77" spans="1:11" x14ac:dyDescent="0.2">
      <c r="B77" s="1003"/>
      <c r="C77" s="150" t="s">
        <v>109</v>
      </c>
      <c r="D77" s="151" t="s">
        <v>108</v>
      </c>
      <c r="E77" s="152"/>
      <c r="F77" s="153"/>
      <c r="G77" s="158"/>
      <c r="H77" s="153"/>
    </row>
    <row r="78" spans="1:11" x14ac:dyDescent="0.2">
      <c r="B78" s="1189" t="s">
        <v>110</v>
      </c>
      <c r="C78" s="1190"/>
      <c r="D78" s="151" t="s">
        <v>108</v>
      </c>
      <c r="E78" s="155"/>
      <c r="F78" s="154"/>
      <c r="G78" s="15"/>
      <c r="H78" s="154"/>
    </row>
    <row r="79" spans="1:11" x14ac:dyDescent="0.2">
      <c r="D79" s="156" t="s">
        <v>111</v>
      </c>
      <c r="E79" s="402" t="e">
        <f>+E75/E77</f>
        <v>#DIV/0!</v>
      </c>
      <c r="F79" s="357"/>
      <c r="G79" s="154"/>
      <c r="H79" s="158"/>
    </row>
    <row r="80" spans="1:11" x14ac:dyDescent="0.2">
      <c r="D80" s="156" t="s">
        <v>112</v>
      </c>
      <c r="E80" s="359" t="e">
        <f>+E75/E78</f>
        <v>#DIV/0!</v>
      </c>
      <c r="F80" s="403"/>
      <c r="H80" s="15"/>
    </row>
    <row r="81" spans="4:8" x14ac:dyDescent="0.2">
      <c r="D81" s="1" t="s">
        <v>380</v>
      </c>
      <c r="E81" s="356" t="e">
        <f>+E79*E77</f>
        <v>#DIV/0!</v>
      </c>
      <c r="F81" s="143"/>
      <c r="G81" s="356"/>
      <c r="H81" s="360"/>
    </row>
    <row r="82" spans="4:8" x14ac:dyDescent="0.2">
      <c r="D82" s="1" t="s">
        <v>381</v>
      </c>
      <c r="E82" s="356" t="e">
        <f>+E80*E78</f>
        <v>#DIV/0!</v>
      </c>
      <c r="F82" s="143"/>
    </row>
    <row r="83" spans="4:8" x14ac:dyDescent="0.2">
      <c r="F83" s="37"/>
    </row>
  </sheetData>
  <sheetProtection selectLockedCells="1"/>
  <mergeCells count="71">
    <mergeCell ref="B38:C38"/>
    <mergeCell ref="B39:C39"/>
    <mergeCell ref="B40:C40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72:C72"/>
    <mergeCell ref="B73:C73"/>
    <mergeCell ref="B74:C74"/>
    <mergeCell ref="B75:C75"/>
    <mergeCell ref="B62:C62"/>
    <mergeCell ref="B63:C63"/>
    <mergeCell ref="B64:C64"/>
    <mergeCell ref="B65:C65"/>
    <mergeCell ref="B66:C66"/>
    <mergeCell ref="B67:C67"/>
    <mergeCell ref="B57:C57"/>
    <mergeCell ref="B58:C58"/>
    <mergeCell ref="B59:C59"/>
    <mergeCell ref="B60:C60"/>
    <mergeCell ref="B61:C61"/>
    <mergeCell ref="B76:B77"/>
    <mergeCell ref="B78:C78"/>
    <mergeCell ref="B68:C68"/>
    <mergeCell ref="B69:C69"/>
    <mergeCell ref="B70:C70"/>
    <mergeCell ref="B52:C52"/>
    <mergeCell ref="B55:C55"/>
    <mergeCell ref="B56:C56"/>
    <mergeCell ref="B53:C53"/>
    <mergeCell ref="B54:C54"/>
    <mergeCell ref="B51:C51"/>
    <mergeCell ref="B21:C21"/>
    <mergeCell ref="B41:C41"/>
    <mergeCell ref="B42:C42"/>
    <mergeCell ref="B43:C43"/>
    <mergeCell ref="B44:C44"/>
    <mergeCell ref="B45:C45"/>
    <mergeCell ref="B22:C22"/>
    <mergeCell ref="B23:C23"/>
    <mergeCell ref="B24:C24"/>
    <mergeCell ref="B25:C25"/>
    <mergeCell ref="B46:C46"/>
    <mergeCell ref="B47:C47"/>
    <mergeCell ref="B48:C48"/>
    <mergeCell ref="B49:C49"/>
    <mergeCell ref="B50:C50"/>
    <mergeCell ref="B20:C20"/>
    <mergeCell ref="B1:K2"/>
    <mergeCell ref="B3:K4"/>
    <mergeCell ref="B5:K6"/>
    <mergeCell ref="B9:B10"/>
    <mergeCell ref="B13:K13"/>
    <mergeCell ref="B15:C16"/>
    <mergeCell ref="D15:D16"/>
    <mergeCell ref="E15:E16"/>
    <mergeCell ref="G15:G16"/>
    <mergeCell ref="H15:I15"/>
    <mergeCell ref="J15:K15"/>
    <mergeCell ref="B17:C17"/>
    <mergeCell ref="B18:C18"/>
    <mergeCell ref="B19:C19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C00"/>
  </sheetPr>
  <dimension ref="A1:P97"/>
  <sheetViews>
    <sheetView topLeftCell="A64" zoomScaleNormal="100" workbookViewId="0">
      <selection activeCell="E44" sqref="E44"/>
    </sheetView>
  </sheetViews>
  <sheetFormatPr baseColWidth="10" defaultColWidth="10" defaultRowHeight="15" x14ac:dyDescent="0.25"/>
  <cols>
    <col min="1" max="1" width="12.28515625" style="284" customWidth="1"/>
    <col min="2" max="2" width="39.5703125" style="283" bestFit="1" customWidth="1"/>
    <col min="3" max="3" width="9.140625" style="284" hidden="1" customWidth="1"/>
    <col min="4" max="4" width="9.85546875" style="284" hidden="1" customWidth="1"/>
    <col min="5" max="7" width="9.85546875" style="285" hidden="1" customWidth="1"/>
    <col min="8" max="8" width="10.85546875" style="285" hidden="1" customWidth="1"/>
    <col min="9" max="11" width="10.140625" style="285" hidden="1" customWidth="1"/>
    <col min="12" max="13" width="10.85546875" style="285" hidden="1" customWidth="1"/>
    <col min="14" max="14" width="9.85546875" style="284" hidden="1" customWidth="1"/>
    <col min="15" max="15" width="12.28515625" style="285" hidden="1" customWidth="1"/>
    <col min="16" max="16" width="9.140625" style="284" bestFit="1" customWidth="1"/>
    <col min="17" max="241" width="10" style="284"/>
    <col min="242" max="242" width="9.7109375" style="284" bestFit="1" customWidth="1"/>
    <col min="243" max="243" width="40.140625" style="284" bestFit="1" customWidth="1"/>
    <col min="244" max="244" width="11.7109375" style="284" customWidth="1"/>
    <col min="245" max="255" width="9.85546875" style="284" customWidth="1"/>
    <col min="256" max="256" width="10.5703125" style="284" bestFit="1" customWidth="1"/>
    <col min="257" max="497" width="10" style="284"/>
    <col min="498" max="498" width="9.7109375" style="284" bestFit="1" customWidth="1"/>
    <col min="499" max="499" width="40.140625" style="284" bestFit="1" customWidth="1"/>
    <col min="500" max="500" width="11.7109375" style="284" customWidth="1"/>
    <col min="501" max="511" width="9.85546875" style="284" customWidth="1"/>
    <col min="512" max="512" width="10.5703125" style="284" bestFit="1" customWidth="1"/>
    <col min="513" max="753" width="10" style="284"/>
    <col min="754" max="754" width="9.7109375" style="284" bestFit="1" customWidth="1"/>
    <col min="755" max="755" width="40.140625" style="284" bestFit="1" customWidth="1"/>
    <col min="756" max="756" width="11.7109375" style="284" customWidth="1"/>
    <col min="757" max="767" width="9.85546875" style="284" customWidth="1"/>
    <col min="768" max="768" width="10.5703125" style="284" bestFit="1" customWidth="1"/>
    <col min="769" max="1009" width="10" style="284"/>
    <col min="1010" max="1010" width="9.7109375" style="284" bestFit="1" customWidth="1"/>
    <col min="1011" max="1011" width="40.140625" style="284" bestFit="1" customWidth="1"/>
    <col min="1012" max="1012" width="11.7109375" style="284" customWidth="1"/>
    <col min="1013" max="1023" width="9.85546875" style="284" customWidth="1"/>
    <col min="1024" max="1024" width="10.5703125" style="284" bestFit="1" customWidth="1"/>
    <col min="1025" max="1265" width="10" style="284"/>
    <col min="1266" max="1266" width="9.7109375" style="284" bestFit="1" customWidth="1"/>
    <col min="1267" max="1267" width="40.140625" style="284" bestFit="1" customWidth="1"/>
    <col min="1268" max="1268" width="11.7109375" style="284" customWidth="1"/>
    <col min="1269" max="1279" width="9.85546875" style="284" customWidth="1"/>
    <col min="1280" max="1280" width="10.5703125" style="284" bestFit="1" customWidth="1"/>
    <col min="1281" max="1521" width="10" style="284"/>
    <col min="1522" max="1522" width="9.7109375" style="284" bestFit="1" customWidth="1"/>
    <col min="1523" max="1523" width="40.140625" style="284" bestFit="1" customWidth="1"/>
    <col min="1524" max="1524" width="11.7109375" style="284" customWidth="1"/>
    <col min="1525" max="1535" width="9.85546875" style="284" customWidth="1"/>
    <col min="1536" max="1536" width="10.5703125" style="284" bestFit="1" customWidth="1"/>
    <col min="1537" max="1777" width="10" style="284"/>
    <col min="1778" max="1778" width="9.7109375" style="284" bestFit="1" customWidth="1"/>
    <col min="1779" max="1779" width="40.140625" style="284" bestFit="1" customWidth="1"/>
    <col min="1780" max="1780" width="11.7109375" style="284" customWidth="1"/>
    <col min="1781" max="1791" width="9.85546875" style="284" customWidth="1"/>
    <col min="1792" max="1792" width="10.5703125" style="284" bestFit="1" customWidth="1"/>
    <col min="1793" max="2033" width="10" style="284"/>
    <col min="2034" max="2034" width="9.7109375" style="284" bestFit="1" customWidth="1"/>
    <col min="2035" max="2035" width="40.140625" style="284" bestFit="1" customWidth="1"/>
    <col min="2036" max="2036" width="11.7109375" style="284" customWidth="1"/>
    <col min="2037" max="2047" width="9.85546875" style="284" customWidth="1"/>
    <col min="2048" max="2048" width="10.5703125" style="284" bestFit="1" customWidth="1"/>
    <col min="2049" max="2289" width="10" style="284"/>
    <col min="2290" max="2290" width="9.7109375" style="284" bestFit="1" customWidth="1"/>
    <col min="2291" max="2291" width="40.140625" style="284" bestFit="1" customWidth="1"/>
    <col min="2292" max="2292" width="11.7109375" style="284" customWidth="1"/>
    <col min="2293" max="2303" width="9.85546875" style="284" customWidth="1"/>
    <col min="2304" max="2304" width="10.5703125" style="284" bestFit="1" customWidth="1"/>
    <col min="2305" max="2545" width="10" style="284"/>
    <col min="2546" max="2546" width="9.7109375" style="284" bestFit="1" customWidth="1"/>
    <col min="2547" max="2547" width="40.140625" style="284" bestFit="1" customWidth="1"/>
    <col min="2548" max="2548" width="11.7109375" style="284" customWidth="1"/>
    <col min="2549" max="2559" width="9.85546875" style="284" customWidth="1"/>
    <col min="2560" max="2560" width="10.5703125" style="284" bestFit="1" customWidth="1"/>
    <col min="2561" max="2801" width="10" style="284"/>
    <col min="2802" max="2802" width="9.7109375" style="284" bestFit="1" customWidth="1"/>
    <col min="2803" max="2803" width="40.140625" style="284" bestFit="1" customWidth="1"/>
    <col min="2804" max="2804" width="11.7109375" style="284" customWidth="1"/>
    <col min="2805" max="2815" width="9.85546875" style="284" customWidth="1"/>
    <col min="2816" max="2816" width="10.5703125" style="284" bestFit="1" customWidth="1"/>
    <col min="2817" max="3057" width="10" style="284"/>
    <col min="3058" max="3058" width="9.7109375" style="284" bestFit="1" customWidth="1"/>
    <col min="3059" max="3059" width="40.140625" style="284" bestFit="1" customWidth="1"/>
    <col min="3060" max="3060" width="11.7109375" style="284" customWidth="1"/>
    <col min="3061" max="3071" width="9.85546875" style="284" customWidth="1"/>
    <col min="3072" max="3072" width="10.5703125" style="284" bestFit="1" customWidth="1"/>
    <col min="3073" max="3313" width="10" style="284"/>
    <col min="3314" max="3314" width="9.7109375" style="284" bestFit="1" customWidth="1"/>
    <col min="3315" max="3315" width="40.140625" style="284" bestFit="1" customWidth="1"/>
    <col min="3316" max="3316" width="11.7109375" style="284" customWidth="1"/>
    <col min="3317" max="3327" width="9.85546875" style="284" customWidth="1"/>
    <col min="3328" max="3328" width="10.5703125" style="284" bestFit="1" customWidth="1"/>
    <col min="3329" max="3569" width="10" style="284"/>
    <col min="3570" max="3570" width="9.7109375" style="284" bestFit="1" customWidth="1"/>
    <col min="3571" max="3571" width="40.140625" style="284" bestFit="1" customWidth="1"/>
    <col min="3572" max="3572" width="11.7109375" style="284" customWidth="1"/>
    <col min="3573" max="3583" width="9.85546875" style="284" customWidth="1"/>
    <col min="3584" max="3584" width="10.5703125" style="284" bestFit="1" customWidth="1"/>
    <col min="3585" max="3825" width="10" style="284"/>
    <col min="3826" max="3826" width="9.7109375" style="284" bestFit="1" customWidth="1"/>
    <col min="3827" max="3827" width="40.140625" style="284" bestFit="1" customWidth="1"/>
    <col min="3828" max="3828" width="11.7109375" style="284" customWidth="1"/>
    <col min="3829" max="3839" width="9.85546875" style="284" customWidth="1"/>
    <col min="3840" max="3840" width="10.5703125" style="284" bestFit="1" customWidth="1"/>
    <col min="3841" max="4081" width="10" style="284"/>
    <col min="4082" max="4082" width="9.7109375" style="284" bestFit="1" customWidth="1"/>
    <col min="4083" max="4083" width="40.140625" style="284" bestFit="1" customWidth="1"/>
    <col min="4084" max="4084" width="11.7109375" style="284" customWidth="1"/>
    <col min="4085" max="4095" width="9.85546875" style="284" customWidth="1"/>
    <col min="4096" max="4096" width="10.5703125" style="284" bestFit="1" customWidth="1"/>
    <col min="4097" max="4337" width="10" style="284"/>
    <col min="4338" max="4338" width="9.7109375" style="284" bestFit="1" customWidth="1"/>
    <col min="4339" max="4339" width="40.140625" style="284" bestFit="1" customWidth="1"/>
    <col min="4340" max="4340" width="11.7109375" style="284" customWidth="1"/>
    <col min="4341" max="4351" width="9.85546875" style="284" customWidth="1"/>
    <col min="4352" max="4352" width="10.5703125" style="284" bestFit="1" customWidth="1"/>
    <col min="4353" max="4593" width="10" style="284"/>
    <col min="4594" max="4594" width="9.7109375" style="284" bestFit="1" customWidth="1"/>
    <col min="4595" max="4595" width="40.140625" style="284" bestFit="1" customWidth="1"/>
    <col min="4596" max="4596" width="11.7109375" style="284" customWidth="1"/>
    <col min="4597" max="4607" width="9.85546875" style="284" customWidth="1"/>
    <col min="4608" max="4608" width="10.5703125" style="284" bestFit="1" customWidth="1"/>
    <col min="4609" max="4849" width="10" style="284"/>
    <col min="4850" max="4850" width="9.7109375" style="284" bestFit="1" customWidth="1"/>
    <col min="4851" max="4851" width="40.140625" style="284" bestFit="1" customWidth="1"/>
    <col min="4852" max="4852" width="11.7109375" style="284" customWidth="1"/>
    <col min="4853" max="4863" width="9.85546875" style="284" customWidth="1"/>
    <col min="4864" max="4864" width="10.5703125" style="284" bestFit="1" customWidth="1"/>
    <col min="4865" max="5105" width="10" style="284"/>
    <col min="5106" max="5106" width="9.7109375" style="284" bestFit="1" customWidth="1"/>
    <col min="5107" max="5107" width="40.140625" style="284" bestFit="1" customWidth="1"/>
    <col min="5108" max="5108" width="11.7109375" style="284" customWidth="1"/>
    <col min="5109" max="5119" width="9.85546875" style="284" customWidth="1"/>
    <col min="5120" max="5120" width="10.5703125" style="284" bestFit="1" customWidth="1"/>
    <col min="5121" max="5361" width="10" style="284"/>
    <col min="5362" max="5362" width="9.7109375" style="284" bestFit="1" customWidth="1"/>
    <col min="5363" max="5363" width="40.140625" style="284" bestFit="1" customWidth="1"/>
    <col min="5364" max="5364" width="11.7109375" style="284" customWidth="1"/>
    <col min="5365" max="5375" width="9.85546875" style="284" customWidth="1"/>
    <col min="5376" max="5376" width="10.5703125" style="284" bestFit="1" customWidth="1"/>
    <col min="5377" max="5617" width="10" style="284"/>
    <col min="5618" max="5618" width="9.7109375" style="284" bestFit="1" customWidth="1"/>
    <col min="5619" max="5619" width="40.140625" style="284" bestFit="1" customWidth="1"/>
    <col min="5620" max="5620" width="11.7109375" style="284" customWidth="1"/>
    <col min="5621" max="5631" width="9.85546875" style="284" customWidth="1"/>
    <col min="5632" max="5632" width="10.5703125" style="284" bestFit="1" customWidth="1"/>
    <col min="5633" max="5873" width="10" style="284"/>
    <col min="5874" max="5874" width="9.7109375" style="284" bestFit="1" customWidth="1"/>
    <col min="5875" max="5875" width="40.140625" style="284" bestFit="1" customWidth="1"/>
    <col min="5876" max="5876" width="11.7109375" style="284" customWidth="1"/>
    <col min="5877" max="5887" width="9.85546875" style="284" customWidth="1"/>
    <col min="5888" max="5888" width="10.5703125" style="284" bestFit="1" customWidth="1"/>
    <col min="5889" max="6129" width="10" style="284"/>
    <col min="6130" max="6130" width="9.7109375" style="284" bestFit="1" customWidth="1"/>
    <col min="6131" max="6131" width="40.140625" style="284" bestFit="1" customWidth="1"/>
    <col min="6132" max="6132" width="11.7109375" style="284" customWidth="1"/>
    <col min="6133" max="6143" width="9.85546875" style="284" customWidth="1"/>
    <col min="6144" max="6144" width="10.5703125" style="284" bestFit="1" customWidth="1"/>
    <col min="6145" max="6385" width="10" style="284"/>
    <col min="6386" max="6386" width="9.7109375" style="284" bestFit="1" customWidth="1"/>
    <col min="6387" max="6387" width="40.140625" style="284" bestFit="1" customWidth="1"/>
    <col min="6388" max="6388" width="11.7109375" style="284" customWidth="1"/>
    <col min="6389" max="6399" width="9.85546875" style="284" customWidth="1"/>
    <col min="6400" max="6400" width="10.5703125" style="284" bestFit="1" customWidth="1"/>
    <col min="6401" max="6641" width="10" style="284"/>
    <col min="6642" max="6642" width="9.7109375" style="284" bestFit="1" customWidth="1"/>
    <col min="6643" max="6643" width="40.140625" style="284" bestFit="1" customWidth="1"/>
    <col min="6644" max="6644" width="11.7109375" style="284" customWidth="1"/>
    <col min="6645" max="6655" width="9.85546875" style="284" customWidth="1"/>
    <col min="6656" max="6656" width="10.5703125" style="284" bestFit="1" customWidth="1"/>
    <col min="6657" max="6897" width="10" style="284"/>
    <col min="6898" max="6898" width="9.7109375" style="284" bestFit="1" customWidth="1"/>
    <col min="6899" max="6899" width="40.140625" style="284" bestFit="1" customWidth="1"/>
    <col min="6900" max="6900" width="11.7109375" style="284" customWidth="1"/>
    <col min="6901" max="6911" width="9.85546875" style="284" customWidth="1"/>
    <col min="6912" max="6912" width="10.5703125" style="284" bestFit="1" customWidth="1"/>
    <col min="6913" max="7153" width="10" style="284"/>
    <col min="7154" max="7154" width="9.7109375" style="284" bestFit="1" customWidth="1"/>
    <col min="7155" max="7155" width="40.140625" style="284" bestFit="1" customWidth="1"/>
    <col min="7156" max="7156" width="11.7109375" style="284" customWidth="1"/>
    <col min="7157" max="7167" width="9.85546875" style="284" customWidth="1"/>
    <col min="7168" max="7168" width="10.5703125" style="284" bestFit="1" customWidth="1"/>
    <col min="7169" max="7409" width="10" style="284"/>
    <col min="7410" max="7410" width="9.7109375" style="284" bestFit="1" customWidth="1"/>
    <col min="7411" max="7411" width="40.140625" style="284" bestFit="1" customWidth="1"/>
    <col min="7412" max="7412" width="11.7109375" style="284" customWidth="1"/>
    <col min="7413" max="7423" width="9.85546875" style="284" customWidth="1"/>
    <col min="7424" max="7424" width="10.5703125" style="284" bestFit="1" customWidth="1"/>
    <col min="7425" max="7665" width="10" style="284"/>
    <col min="7666" max="7666" width="9.7109375" style="284" bestFit="1" customWidth="1"/>
    <col min="7667" max="7667" width="40.140625" style="284" bestFit="1" customWidth="1"/>
    <col min="7668" max="7668" width="11.7109375" style="284" customWidth="1"/>
    <col min="7669" max="7679" width="9.85546875" style="284" customWidth="1"/>
    <col min="7680" max="7680" width="10.5703125" style="284" bestFit="1" customWidth="1"/>
    <col min="7681" max="7921" width="10" style="284"/>
    <col min="7922" max="7922" width="9.7109375" style="284" bestFit="1" customWidth="1"/>
    <col min="7923" max="7923" width="40.140625" style="284" bestFit="1" customWidth="1"/>
    <col min="7924" max="7924" width="11.7109375" style="284" customWidth="1"/>
    <col min="7925" max="7935" width="9.85546875" style="284" customWidth="1"/>
    <col min="7936" max="7936" width="10.5703125" style="284" bestFit="1" customWidth="1"/>
    <col min="7937" max="8177" width="10" style="284"/>
    <col min="8178" max="8178" width="9.7109375" style="284" bestFit="1" customWidth="1"/>
    <col min="8179" max="8179" width="40.140625" style="284" bestFit="1" customWidth="1"/>
    <col min="8180" max="8180" width="11.7109375" style="284" customWidth="1"/>
    <col min="8181" max="8191" width="9.85546875" style="284" customWidth="1"/>
    <col min="8192" max="8192" width="10.5703125" style="284" bestFit="1" customWidth="1"/>
    <col min="8193" max="8433" width="10" style="284"/>
    <col min="8434" max="8434" width="9.7109375" style="284" bestFit="1" customWidth="1"/>
    <col min="8435" max="8435" width="40.140625" style="284" bestFit="1" customWidth="1"/>
    <col min="8436" max="8436" width="11.7109375" style="284" customWidth="1"/>
    <col min="8437" max="8447" width="9.85546875" style="284" customWidth="1"/>
    <col min="8448" max="8448" width="10.5703125" style="284" bestFit="1" customWidth="1"/>
    <col min="8449" max="8689" width="10" style="284"/>
    <col min="8690" max="8690" width="9.7109375" style="284" bestFit="1" customWidth="1"/>
    <col min="8691" max="8691" width="40.140625" style="284" bestFit="1" customWidth="1"/>
    <col min="8692" max="8692" width="11.7109375" style="284" customWidth="1"/>
    <col min="8693" max="8703" width="9.85546875" style="284" customWidth="1"/>
    <col min="8704" max="8704" width="10.5703125" style="284" bestFit="1" customWidth="1"/>
    <col min="8705" max="8945" width="10" style="284"/>
    <col min="8946" max="8946" width="9.7109375" style="284" bestFit="1" customWidth="1"/>
    <col min="8947" max="8947" width="40.140625" style="284" bestFit="1" customWidth="1"/>
    <col min="8948" max="8948" width="11.7109375" style="284" customWidth="1"/>
    <col min="8949" max="8959" width="9.85546875" style="284" customWidth="1"/>
    <col min="8960" max="8960" width="10.5703125" style="284" bestFit="1" customWidth="1"/>
    <col min="8961" max="9201" width="10" style="284"/>
    <col min="9202" max="9202" width="9.7109375" style="284" bestFit="1" customWidth="1"/>
    <col min="9203" max="9203" width="40.140625" style="284" bestFit="1" customWidth="1"/>
    <col min="9204" max="9204" width="11.7109375" style="284" customWidth="1"/>
    <col min="9205" max="9215" width="9.85546875" style="284" customWidth="1"/>
    <col min="9216" max="9216" width="10.5703125" style="284" bestFit="1" customWidth="1"/>
    <col min="9217" max="9457" width="10" style="284"/>
    <col min="9458" max="9458" width="9.7109375" style="284" bestFit="1" customWidth="1"/>
    <col min="9459" max="9459" width="40.140625" style="284" bestFit="1" customWidth="1"/>
    <col min="9460" max="9460" width="11.7109375" style="284" customWidth="1"/>
    <col min="9461" max="9471" width="9.85546875" style="284" customWidth="1"/>
    <col min="9472" max="9472" width="10.5703125" style="284" bestFit="1" customWidth="1"/>
    <col min="9473" max="9713" width="10" style="284"/>
    <col min="9714" max="9714" width="9.7109375" style="284" bestFit="1" customWidth="1"/>
    <col min="9715" max="9715" width="40.140625" style="284" bestFit="1" customWidth="1"/>
    <col min="9716" max="9716" width="11.7109375" style="284" customWidth="1"/>
    <col min="9717" max="9727" width="9.85546875" style="284" customWidth="1"/>
    <col min="9728" max="9728" width="10.5703125" style="284" bestFit="1" customWidth="1"/>
    <col min="9729" max="9969" width="10" style="284"/>
    <col min="9970" max="9970" width="9.7109375" style="284" bestFit="1" customWidth="1"/>
    <col min="9971" max="9971" width="40.140625" style="284" bestFit="1" customWidth="1"/>
    <col min="9972" max="9972" width="11.7109375" style="284" customWidth="1"/>
    <col min="9973" max="9983" width="9.85546875" style="284" customWidth="1"/>
    <col min="9984" max="9984" width="10.5703125" style="284" bestFit="1" customWidth="1"/>
    <col min="9985" max="10225" width="10" style="284"/>
    <col min="10226" max="10226" width="9.7109375" style="284" bestFit="1" customWidth="1"/>
    <col min="10227" max="10227" width="40.140625" style="284" bestFit="1" customWidth="1"/>
    <col min="10228" max="10228" width="11.7109375" style="284" customWidth="1"/>
    <col min="10229" max="10239" width="9.85546875" style="284" customWidth="1"/>
    <col min="10240" max="10240" width="10.5703125" style="284" bestFit="1" customWidth="1"/>
    <col min="10241" max="10481" width="10" style="284"/>
    <col min="10482" max="10482" width="9.7109375" style="284" bestFit="1" customWidth="1"/>
    <col min="10483" max="10483" width="40.140625" style="284" bestFit="1" customWidth="1"/>
    <col min="10484" max="10484" width="11.7109375" style="284" customWidth="1"/>
    <col min="10485" max="10495" width="9.85546875" style="284" customWidth="1"/>
    <col min="10496" max="10496" width="10.5703125" style="284" bestFit="1" customWidth="1"/>
    <col min="10497" max="10737" width="10" style="284"/>
    <col min="10738" max="10738" width="9.7109375" style="284" bestFit="1" customWidth="1"/>
    <col min="10739" max="10739" width="40.140625" style="284" bestFit="1" customWidth="1"/>
    <col min="10740" max="10740" width="11.7109375" style="284" customWidth="1"/>
    <col min="10741" max="10751" width="9.85546875" style="284" customWidth="1"/>
    <col min="10752" max="10752" width="10.5703125" style="284" bestFit="1" customWidth="1"/>
    <col min="10753" max="10993" width="10" style="284"/>
    <col min="10994" max="10994" width="9.7109375" style="284" bestFit="1" customWidth="1"/>
    <col min="10995" max="10995" width="40.140625" style="284" bestFit="1" customWidth="1"/>
    <col min="10996" max="10996" width="11.7109375" style="284" customWidth="1"/>
    <col min="10997" max="11007" width="9.85546875" style="284" customWidth="1"/>
    <col min="11008" max="11008" width="10.5703125" style="284" bestFit="1" customWidth="1"/>
    <col min="11009" max="11249" width="10" style="284"/>
    <col min="11250" max="11250" width="9.7109375" style="284" bestFit="1" customWidth="1"/>
    <col min="11251" max="11251" width="40.140625" style="284" bestFit="1" customWidth="1"/>
    <col min="11252" max="11252" width="11.7109375" style="284" customWidth="1"/>
    <col min="11253" max="11263" width="9.85546875" style="284" customWidth="1"/>
    <col min="11264" max="11264" width="10.5703125" style="284" bestFit="1" customWidth="1"/>
    <col min="11265" max="11505" width="10" style="284"/>
    <col min="11506" max="11506" width="9.7109375" style="284" bestFit="1" customWidth="1"/>
    <col min="11507" max="11507" width="40.140625" style="284" bestFit="1" customWidth="1"/>
    <col min="11508" max="11508" width="11.7109375" style="284" customWidth="1"/>
    <col min="11509" max="11519" width="9.85546875" style="284" customWidth="1"/>
    <col min="11520" max="11520" width="10.5703125" style="284" bestFit="1" customWidth="1"/>
    <col min="11521" max="11761" width="10" style="284"/>
    <col min="11762" max="11762" width="9.7109375" style="284" bestFit="1" customWidth="1"/>
    <col min="11763" max="11763" width="40.140625" style="284" bestFit="1" customWidth="1"/>
    <col min="11764" max="11764" width="11.7109375" style="284" customWidth="1"/>
    <col min="11765" max="11775" width="9.85546875" style="284" customWidth="1"/>
    <col min="11776" max="11776" width="10.5703125" style="284" bestFit="1" customWidth="1"/>
    <col min="11777" max="12017" width="10" style="284"/>
    <col min="12018" max="12018" width="9.7109375" style="284" bestFit="1" customWidth="1"/>
    <col min="12019" max="12019" width="40.140625" style="284" bestFit="1" customWidth="1"/>
    <col min="12020" max="12020" width="11.7109375" style="284" customWidth="1"/>
    <col min="12021" max="12031" width="9.85546875" style="284" customWidth="1"/>
    <col min="12032" max="12032" width="10.5703125" style="284" bestFit="1" customWidth="1"/>
    <col min="12033" max="12273" width="10" style="284"/>
    <col min="12274" max="12274" width="9.7109375" style="284" bestFit="1" customWidth="1"/>
    <col min="12275" max="12275" width="40.140625" style="284" bestFit="1" customWidth="1"/>
    <col min="12276" max="12276" width="11.7109375" style="284" customWidth="1"/>
    <col min="12277" max="12287" width="9.85546875" style="284" customWidth="1"/>
    <col min="12288" max="12288" width="10.5703125" style="284" bestFit="1" customWidth="1"/>
    <col min="12289" max="12529" width="10" style="284"/>
    <col min="12530" max="12530" width="9.7109375" style="284" bestFit="1" customWidth="1"/>
    <col min="12531" max="12531" width="40.140625" style="284" bestFit="1" customWidth="1"/>
    <col min="12532" max="12532" width="11.7109375" style="284" customWidth="1"/>
    <col min="12533" max="12543" width="9.85546875" style="284" customWidth="1"/>
    <col min="12544" max="12544" width="10.5703125" style="284" bestFit="1" customWidth="1"/>
    <col min="12545" max="12785" width="10" style="284"/>
    <col min="12786" max="12786" width="9.7109375" style="284" bestFit="1" customWidth="1"/>
    <col min="12787" max="12787" width="40.140625" style="284" bestFit="1" customWidth="1"/>
    <col min="12788" max="12788" width="11.7109375" style="284" customWidth="1"/>
    <col min="12789" max="12799" width="9.85546875" style="284" customWidth="1"/>
    <col min="12800" max="12800" width="10.5703125" style="284" bestFit="1" customWidth="1"/>
    <col min="12801" max="13041" width="10" style="284"/>
    <col min="13042" max="13042" width="9.7109375" style="284" bestFit="1" customWidth="1"/>
    <col min="13043" max="13043" width="40.140625" style="284" bestFit="1" customWidth="1"/>
    <col min="13044" max="13044" width="11.7109375" style="284" customWidth="1"/>
    <col min="13045" max="13055" width="9.85546875" style="284" customWidth="1"/>
    <col min="13056" max="13056" width="10.5703125" style="284" bestFit="1" customWidth="1"/>
    <col min="13057" max="13297" width="10" style="284"/>
    <col min="13298" max="13298" width="9.7109375" style="284" bestFit="1" customWidth="1"/>
    <col min="13299" max="13299" width="40.140625" style="284" bestFit="1" customWidth="1"/>
    <col min="13300" max="13300" width="11.7109375" style="284" customWidth="1"/>
    <col min="13301" max="13311" width="9.85546875" style="284" customWidth="1"/>
    <col min="13312" max="13312" width="10.5703125" style="284" bestFit="1" customWidth="1"/>
    <col min="13313" max="13553" width="10" style="284"/>
    <col min="13554" max="13554" width="9.7109375" style="284" bestFit="1" customWidth="1"/>
    <col min="13555" max="13555" width="40.140625" style="284" bestFit="1" customWidth="1"/>
    <col min="13556" max="13556" width="11.7109375" style="284" customWidth="1"/>
    <col min="13557" max="13567" width="9.85546875" style="284" customWidth="1"/>
    <col min="13568" max="13568" width="10.5703125" style="284" bestFit="1" customWidth="1"/>
    <col min="13569" max="13809" width="10" style="284"/>
    <col min="13810" max="13810" width="9.7109375" style="284" bestFit="1" customWidth="1"/>
    <col min="13811" max="13811" width="40.140625" style="284" bestFit="1" customWidth="1"/>
    <col min="13812" max="13812" width="11.7109375" style="284" customWidth="1"/>
    <col min="13813" max="13823" width="9.85546875" style="284" customWidth="1"/>
    <col min="13824" max="13824" width="10.5703125" style="284" bestFit="1" customWidth="1"/>
    <col min="13825" max="14065" width="10" style="284"/>
    <col min="14066" max="14066" width="9.7109375" style="284" bestFit="1" customWidth="1"/>
    <col min="14067" max="14067" width="40.140625" style="284" bestFit="1" customWidth="1"/>
    <col min="14068" max="14068" width="11.7109375" style="284" customWidth="1"/>
    <col min="14069" max="14079" width="9.85546875" style="284" customWidth="1"/>
    <col min="14080" max="14080" width="10.5703125" style="284" bestFit="1" customWidth="1"/>
    <col min="14081" max="14321" width="10" style="284"/>
    <col min="14322" max="14322" width="9.7109375" style="284" bestFit="1" customWidth="1"/>
    <col min="14323" max="14323" width="40.140625" style="284" bestFit="1" customWidth="1"/>
    <col min="14324" max="14324" width="11.7109375" style="284" customWidth="1"/>
    <col min="14325" max="14335" width="9.85546875" style="284" customWidth="1"/>
    <col min="14336" max="14336" width="10.5703125" style="284" bestFit="1" customWidth="1"/>
    <col min="14337" max="14577" width="10" style="284"/>
    <col min="14578" max="14578" width="9.7109375" style="284" bestFit="1" customWidth="1"/>
    <col min="14579" max="14579" width="40.140625" style="284" bestFit="1" customWidth="1"/>
    <col min="14580" max="14580" width="11.7109375" style="284" customWidth="1"/>
    <col min="14581" max="14591" width="9.85546875" style="284" customWidth="1"/>
    <col min="14592" max="14592" width="10.5703125" style="284" bestFit="1" customWidth="1"/>
    <col min="14593" max="14833" width="10" style="284"/>
    <col min="14834" max="14834" width="9.7109375" style="284" bestFit="1" customWidth="1"/>
    <col min="14835" max="14835" width="40.140625" style="284" bestFit="1" customWidth="1"/>
    <col min="14836" max="14836" width="11.7109375" style="284" customWidth="1"/>
    <col min="14837" max="14847" width="9.85546875" style="284" customWidth="1"/>
    <col min="14848" max="14848" width="10.5703125" style="284" bestFit="1" customWidth="1"/>
    <col min="14849" max="15089" width="10" style="284"/>
    <col min="15090" max="15090" width="9.7109375" style="284" bestFit="1" customWidth="1"/>
    <col min="15091" max="15091" width="40.140625" style="284" bestFit="1" customWidth="1"/>
    <col min="15092" max="15092" width="11.7109375" style="284" customWidth="1"/>
    <col min="15093" max="15103" width="9.85546875" style="284" customWidth="1"/>
    <col min="15104" max="15104" width="10.5703125" style="284" bestFit="1" customWidth="1"/>
    <col min="15105" max="15345" width="10" style="284"/>
    <col min="15346" max="15346" width="9.7109375" style="284" bestFit="1" customWidth="1"/>
    <col min="15347" max="15347" width="40.140625" style="284" bestFit="1" customWidth="1"/>
    <col min="15348" max="15348" width="11.7109375" style="284" customWidth="1"/>
    <col min="15349" max="15359" width="9.85546875" style="284" customWidth="1"/>
    <col min="15360" max="15360" width="10.5703125" style="284" bestFit="1" customWidth="1"/>
    <col min="15361" max="15601" width="10" style="284"/>
    <col min="15602" max="15602" width="9.7109375" style="284" bestFit="1" customWidth="1"/>
    <col min="15603" max="15603" width="40.140625" style="284" bestFit="1" customWidth="1"/>
    <col min="15604" max="15604" width="11.7109375" style="284" customWidth="1"/>
    <col min="15605" max="15615" width="9.85546875" style="284" customWidth="1"/>
    <col min="15616" max="15616" width="10.5703125" style="284" bestFit="1" customWidth="1"/>
    <col min="15617" max="15857" width="10" style="284"/>
    <col min="15858" max="15858" width="9.7109375" style="284" bestFit="1" customWidth="1"/>
    <col min="15859" max="15859" width="40.140625" style="284" bestFit="1" customWidth="1"/>
    <col min="15860" max="15860" width="11.7109375" style="284" customWidth="1"/>
    <col min="15861" max="15871" width="9.85546875" style="284" customWidth="1"/>
    <col min="15872" max="15872" width="10.5703125" style="284" bestFit="1" customWidth="1"/>
    <col min="15873" max="16113" width="10" style="284"/>
    <col min="16114" max="16114" width="9.7109375" style="284" bestFit="1" customWidth="1"/>
    <col min="16115" max="16115" width="40.140625" style="284" bestFit="1" customWidth="1"/>
    <col min="16116" max="16116" width="11.7109375" style="284" customWidth="1"/>
    <col min="16117" max="16127" width="9.85546875" style="284" customWidth="1"/>
    <col min="16128" max="16128" width="10.5703125" style="284" bestFit="1" customWidth="1"/>
    <col min="16129" max="16384" width="10" style="284"/>
  </cols>
  <sheetData>
    <row r="1" spans="1:16" s="280" customFormat="1" ht="30" customHeight="1" x14ac:dyDescent="0.2">
      <c r="B1" s="1198" t="s">
        <v>208</v>
      </c>
      <c r="C1" s="1199"/>
      <c r="D1" s="1199"/>
      <c r="E1" s="1199"/>
      <c r="F1" s="1199"/>
      <c r="G1" s="1199"/>
      <c r="H1" s="1199"/>
      <c r="I1" s="1199"/>
      <c r="J1" s="1199"/>
      <c r="K1" s="1199"/>
      <c r="L1" s="1199"/>
      <c r="M1" s="1199"/>
      <c r="N1" s="1199"/>
      <c r="O1" s="1200"/>
    </row>
    <row r="2" spans="1:16" s="280" customFormat="1" ht="30" customHeight="1" x14ac:dyDescent="0.2">
      <c r="A2" s="281"/>
      <c r="B2" s="1201"/>
      <c r="C2" s="1202"/>
      <c r="D2" s="1202"/>
      <c r="E2" s="1202"/>
      <c r="F2" s="1202"/>
      <c r="G2" s="1202"/>
      <c r="H2" s="1202"/>
      <c r="I2" s="1202"/>
      <c r="J2" s="1202"/>
      <c r="K2" s="1202"/>
      <c r="L2" s="1202"/>
      <c r="M2" s="1202"/>
      <c r="N2" s="1202"/>
      <c r="O2" s="1203"/>
    </row>
    <row r="3" spans="1:16" x14ac:dyDescent="0.25">
      <c r="A3" s="282"/>
    </row>
    <row r="4" spans="1:16" x14ac:dyDescent="0.25">
      <c r="A4" s="287"/>
      <c r="B4" s="287"/>
      <c r="C4" s="287"/>
      <c r="D4" s="287"/>
      <c r="E4" s="288"/>
      <c r="F4" s="288"/>
      <c r="G4" s="288"/>
      <c r="H4" s="288"/>
      <c r="I4" s="288"/>
      <c r="J4" s="288"/>
      <c r="K4" s="288"/>
      <c r="L4" s="288"/>
      <c r="M4" s="288"/>
    </row>
    <row r="5" spans="1:16" x14ac:dyDescent="0.25">
      <c r="A5" s="282"/>
      <c r="N5" s="1204">
        <v>2019</v>
      </c>
      <c r="O5" s="1205"/>
    </row>
    <row r="6" spans="1:16" x14ac:dyDescent="0.25">
      <c r="A6" s="282" t="s">
        <v>209</v>
      </c>
      <c r="B6" s="289"/>
      <c r="N6" s="1206"/>
      <c r="O6" s="1207"/>
    </row>
    <row r="8" spans="1:16" ht="12.75" customHeight="1" x14ac:dyDescent="0.25">
      <c r="A8" s="1164" t="s">
        <v>210</v>
      </c>
      <c r="B8" s="1165"/>
      <c r="C8" s="1168" t="s">
        <v>516</v>
      </c>
      <c r="D8" s="1168" t="s">
        <v>212</v>
      </c>
      <c r="E8" s="1168" t="s">
        <v>213</v>
      </c>
      <c r="F8" s="1168" t="s">
        <v>214</v>
      </c>
      <c r="G8" s="1168" t="s">
        <v>215</v>
      </c>
      <c r="H8" s="1168" t="s">
        <v>216</v>
      </c>
      <c r="I8" s="1168" t="s">
        <v>517</v>
      </c>
      <c r="J8" s="1168" t="s">
        <v>218</v>
      </c>
      <c r="K8" s="1168" t="s">
        <v>518</v>
      </c>
      <c r="L8" s="1150" t="s">
        <v>519</v>
      </c>
      <c r="M8" s="1150" t="s">
        <v>520</v>
      </c>
      <c r="N8" s="1150" t="s">
        <v>222</v>
      </c>
      <c r="O8" s="1150" t="s">
        <v>152</v>
      </c>
      <c r="P8" s="171"/>
    </row>
    <row r="9" spans="1:16" x14ac:dyDescent="0.25">
      <c r="A9" s="1166"/>
      <c r="B9" s="1167"/>
      <c r="C9" s="1169"/>
      <c r="D9" s="1169"/>
      <c r="E9" s="1169"/>
      <c r="F9" s="1169"/>
      <c r="G9" s="1169"/>
      <c r="H9" s="1169"/>
      <c r="I9" s="1169"/>
      <c r="J9" s="1169"/>
      <c r="K9" s="1169"/>
      <c r="L9" s="1197"/>
      <c r="M9" s="1197"/>
      <c r="N9" s="1197"/>
      <c r="O9" s="1197"/>
      <c r="P9" s="171"/>
    </row>
    <row r="10" spans="1:16" s="294" customFormat="1" ht="13.5" customHeight="1" x14ac:dyDescent="0.2">
      <c r="A10" s="719" t="s">
        <v>223</v>
      </c>
      <c r="B10" s="720" t="s">
        <v>224</v>
      </c>
      <c r="C10" s="721">
        <f>C11+C24+C27</f>
        <v>4174.3500000000004</v>
      </c>
      <c r="D10" s="721">
        <f t="shared" ref="D10:N10" si="0">D11+D24+D27</f>
        <v>5585.53</v>
      </c>
      <c r="E10" s="721">
        <f t="shared" si="0"/>
        <v>45886.94</v>
      </c>
      <c r="F10" s="721">
        <f t="shared" si="0"/>
        <v>10027.44</v>
      </c>
      <c r="G10" s="721">
        <f t="shared" si="0"/>
        <v>11684.88</v>
      </c>
      <c r="H10" s="721">
        <f t="shared" si="0"/>
        <v>13009.3</v>
      </c>
      <c r="I10" s="721">
        <f t="shared" si="0"/>
        <v>26288.93</v>
      </c>
      <c r="J10" s="721">
        <f t="shared" si="0"/>
        <v>6707.64</v>
      </c>
      <c r="K10" s="721">
        <f t="shared" si="0"/>
        <v>13908.45</v>
      </c>
      <c r="L10" s="721">
        <f t="shared" si="0"/>
        <v>20500</v>
      </c>
      <c r="M10" s="721">
        <f t="shared" si="0"/>
        <v>20500</v>
      </c>
      <c r="N10" s="721">
        <f t="shared" si="0"/>
        <v>18500</v>
      </c>
      <c r="O10" s="721">
        <f t="shared" ref="O10:O41" si="1">SUM(C10:N10)</f>
        <v>196773.46000000002</v>
      </c>
      <c r="P10" s="721">
        <f>+AVERAGE(C10:K10)</f>
        <v>15252.606666666668</v>
      </c>
    </row>
    <row r="11" spans="1:16" s="294" customFormat="1" ht="13.5" customHeight="1" x14ac:dyDescent="0.2">
      <c r="A11" s="725" t="s">
        <v>225</v>
      </c>
      <c r="B11" s="726" t="s">
        <v>226</v>
      </c>
      <c r="C11" s="727">
        <f>C12+C17+C20+C22</f>
        <v>4174.3500000000004</v>
      </c>
      <c r="D11" s="727">
        <f t="shared" ref="D11:N11" si="2">D12+D17+D20+D22</f>
        <v>5585.53</v>
      </c>
      <c r="E11" s="727">
        <f t="shared" si="2"/>
        <v>45886.94</v>
      </c>
      <c r="F11" s="727">
        <f t="shared" si="2"/>
        <v>10027.44</v>
      </c>
      <c r="G11" s="727">
        <f t="shared" si="2"/>
        <v>11684.88</v>
      </c>
      <c r="H11" s="727">
        <f t="shared" si="2"/>
        <v>13009.3</v>
      </c>
      <c r="I11" s="727">
        <f t="shared" si="2"/>
        <v>26288.93</v>
      </c>
      <c r="J11" s="727">
        <f t="shared" si="2"/>
        <v>6707.64</v>
      </c>
      <c r="K11" s="727">
        <f t="shared" si="2"/>
        <v>13908.45</v>
      </c>
      <c r="L11" s="727">
        <f t="shared" si="2"/>
        <v>20500</v>
      </c>
      <c r="M11" s="727">
        <f t="shared" si="2"/>
        <v>20500</v>
      </c>
      <c r="N11" s="727">
        <f t="shared" si="2"/>
        <v>18500</v>
      </c>
      <c r="O11" s="728">
        <f t="shared" si="1"/>
        <v>196773.46000000002</v>
      </c>
      <c r="P11" s="727">
        <f t="shared" ref="P11:P74" si="3">+AVERAGE(C11:K11)</f>
        <v>15252.606666666668</v>
      </c>
    </row>
    <row r="12" spans="1:16" s="294" customFormat="1" ht="13.5" customHeight="1" x14ac:dyDescent="0.2">
      <c r="A12" s="731" t="s">
        <v>227</v>
      </c>
      <c r="B12" s="732" t="s">
        <v>228</v>
      </c>
      <c r="C12" s="733">
        <f>C13+C14+C15+C16</f>
        <v>0</v>
      </c>
      <c r="D12" s="733">
        <f t="shared" ref="D12:N12" si="4">D13+D14+D15+D16</f>
        <v>0</v>
      </c>
      <c r="E12" s="733">
        <f t="shared" si="4"/>
        <v>0</v>
      </c>
      <c r="F12" s="733">
        <f t="shared" si="4"/>
        <v>0</v>
      </c>
      <c r="G12" s="733">
        <f t="shared" si="4"/>
        <v>0</v>
      </c>
      <c r="H12" s="733">
        <f t="shared" si="4"/>
        <v>0</v>
      </c>
      <c r="I12" s="733">
        <f t="shared" si="4"/>
        <v>0</v>
      </c>
      <c r="J12" s="733">
        <f t="shared" si="4"/>
        <v>0</v>
      </c>
      <c r="K12" s="733">
        <f t="shared" si="4"/>
        <v>0</v>
      </c>
      <c r="L12" s="733">
        <f t="shared" si="4"/>
        <v>0</v>
      </c>
      <c r="M12" s="733">
        <f t="shared" si="4"/>
        <v>0</v>
      </c>
      <c r="N12" s="733">
        <f t="shared" si="4"/>
        <v>0</v>
      </c>
      <c r="O12" s="728">
        <f t="shared" si="1"/>
        <v>0</v>
      </c>
      <c r="P12" s="733">
        <f t="shared" si="3"/>
        <v>0</v>
      </c>
    </row>
    <row r="13" spans="1:16" s="309" customFormat="1" ht="13.5" customHeight="1" x14ac:dyDescent="0.2">
      <c r="A13" s="735" t="s">
        <v>229</v>
      </c>
      <c r="B13" s="736" t="s">
        <v>230</v>
      </c>
      <c r="C13" s="737">
        <v>0</v>
      </c>
      <c r="D13" s="737">
        <v>0</v>
      </c>
      <c r="E13" s="737">
        <v>0</v>
      </c>
      <c r="F13" s="737">
        <v>0</v>
      </c>
      <c r="G13" s="737">
        <v>0</v>
      </c>
      <c r="H13" s="737">
        <v>0</v>
      </c>
      <c r="I13" s="737">
        <v>0</v>
      </c>
      <c r="J13" s="737">
        <v>0</v>
      </c>
      <c r="K13" s="737">
        <v>0</v>
      </c>
      <c r="L13" s="737">
        <v>0</v>
      </c>
      <c r="M13" s="737">
        <v>0</v>
      </c>
      <c r="N13" s="737">
        <v>0</v>
      </c>
      <c r="O13" s="728">
        <f t="shared" si="1"/>
        <v>0</v>
      </c>
      <c r="P13" s="737">
        <f t="shared" si="3"/>
        <v>0</v>
      </c>
    </row>
    <row r="14" spans="1:16" s="309" customFormat="1" ht="13.5" customHeight="1" x14ac:dyDescent="0.2">
      <c r="A14" s="735" t="s">
        <v>231</v>
      </c>
      <c r="B14" s="736" t="s">
        <v>232</v>
      </c>
      <c r="C14" s="737">
        <v>0</v>
      </c>
      <c r="D14" s="737">
        <v>0</v>
      </c>
      <c r="E14" s="737">
        <v>0</v>
      </c>
      <c r="F14" s="737">
        <v>0</v>
      </c>
      <c r="G14" s="737">
        <v>0</v>
      </c>
      <c r="H14" s="737">
        <v>0</v>
      </c>
      <c r="I14" s="737">
        <v>0</v>
      </c>
      <c r="J14" s="737">
        <v>0</v>
      </c>
      <c r="K14" s="737">
        <v>0</v>
      </c>
      <c r="L14" s="737">
        <v>0</v>
      </c>
      <c r="M14" s="737">
        <v>0</v>
      </c>
      <c r="N14" s="737">
        <v>0</v>
      </c>
      <c r="O14" s="728">
        <f t="shared" si="1"/>
        <v>0</v>
      </c>
      <c r="P14" s="737">
        <f t="shared" si="3"/>
        <v>0</v>
      </c>
    </row>
    <row r="15" spans="1:16" s="309" customFormat="1" ht="13.5" customHeight="1" x14ac:dyDescent="0.2">
      <c r="A15" s="735" t="s">
        <v>233</v>
      </c>
      <c r="B15" s="736" t="s">
        <v>234</v>
      </c>
      <c r="C15" s="741">
        <v>0</v>
      </c>
      <c r="D15" s="741">
        <v>0</v>
      </c>
      <c r="E15" s="741">
        <v>0</v>
      </c>
      <c r="F15" s="741">
        <v>0</v>
      </c>
      <c r="G15" s="741">
        <v>0</v>
      </c>
      <c r="H15" s="741">
        <v>0</v>
      </c>
      <c r="I15" s="741">
        <v>0</v>
      </c>
      <c r="J15" s="741">
        <v>0</v>
      </c>
      <c r="K15" s="741">
        <v>0</v>
      </c>
      <c r="L15" s="741">
        <v>0</v>
      </c>
      <c r="M15" s="741">
        <v>0</v>
      </c>
      <c r="N15" s="741">
        <v>0</v>
      </c>
      <c r="O15" s="728">
        <f t="shared" si="1"/>
        <v>0</v>
      </c>
      <c r="P15" s="741">
        <f t="shared" si="3"/>
        <v>0</v>
      </c>
    </row>
    <row r="16" spans="1:16" s="294" customFormat="1" ht="13.5" customHeight="1" x14ac:dyDescent="0.2">
      <c r="A16" s="735" t="s">
        <v>235</v>
      </c>
      <c r="B16" s="736" t="s">
        <v>236</v>
      </c>
      <c r="C16" s="737">
        <v>0</v>
      </c>
      <c r="D16" s="737">
        <v>0</v>
      </c>
      <c r="E16" s="737">
        <v>0</v>
      </c>
      <c r="F16" s="737">
        <v>0</v>
      </c>
      <c r="G16" s="737">
        <v>0</v>
      </c>
      <c r="H16" s="737">
        <v>0</v>
      </c>
      <c r="I16" s="737">
        <v>0</v>
      </c>
      <c r="J16" s="737">
        <v>0</v>
      </c>
      <c r="K16" s="737">
        <v>0</v>
      </c>
      <c r="L16" s="737">
        <v>0</v>
      </c>
      <c r="M16" s="737">
        <v>0</v>
      </c>
      <c r="N16" s="737">
        <v>0</v>
      </c>
      <c r="O16" s="728">
        <f t="shared" si="1"/>
        <v>0</v>
      </c>
      <c r="P16" s="737">
        <f t="shared" si="3"/>
        <v>0</v>
      </c>
    </row>
    <row r="17" spans="1:16" s="294" customFormat="1" ht="13.5" customHeight="1" x14ac:dyDescent="0.2">
      <c r="A17" s="731" t="s">
        <v>237</v>
      </c>
      <c r="B17" s="732" t="s">
        <v>238</v>
      </c>
      <c r="C17" s="733">
        <f>C18+C19</f>
        <v>4174.3500000000004</v>
      </c>
      <c r="D17" s="733">
        <f t="shared" ref="D17:N17" si="5">D18+D19</f>
        <v>5585.53</v>
      </c>
      <c r="E17" s="733">
        <f t="shared" si="5"/>
        <v>45886.94</v>
      </c>
      <c r="F17" s="733">
        <f t="shared" si="5"/>
        <v>10027.44</v>
      </c>
      <c r="G17" s="733">
        <f t="shared" si="5"/>
        <v>11684.88</v>
      </c>
      <c r="H17" s="733">
        <f t="shared" si="5"/>
        <v>13009.3</v>
      </c>
      <c r="I17" s="733">
        <f t="shared" si="5"/>
        <v>26288.93</v>
      </c>
      <c r="J17" s="733">
        <f t="shared" si="5"/>
        <v>6707.64</v>
      </c>
      <c r="K17" s="733">
        <f t="shared" si="5"/>
        <v>13908.45</v>
      </c>
      <c r="L17" s="733">
        <f t="shared" si="5"/>
        <v>20500</v>
      </c>
      <c r="M17" s="733">
        <f t="shared" si="5"/>
        <v>20500</v>
      </c>
      <c r="N17" s="733">
        <f t="shared" si="5"/>
        <v>18500</v>
      </c>
      <c r="O17" s="728">
        <f t="shared" si="1"/>
        <v>196773.46000000002</v>
      </c>
      <c r="P17" s="733">
        <f t="shared" si="3"/>
        <v>15252.606666666668</v>
      </c>
    </row>
    <row r="18" spans="1:16" s="294" customFormat="1" ht="13.5" customHeight="1" x14ac:dyDescent="0.2">
      <c r="A18" s="735" t="s">
        <v>239</v>
      </c>
      <c r="B18" s="736" t="s">
        <v>240</v>
      </c>
      <c r="C18" s="737">
        <v>4174.3500000000004</v>
      </c>
      <c r="D18" s="737">
        <v>5585.53</v>
      </c>
      <c r="E18" s="737">
        <v>45886.94</v>
      </c>
      <c r="F18" s="737">
        <v>10027.44</v>
      </c>
      <c r="G18" s="737">
        <v>11684.88</v>
      </c>
      <c r="H18" s="737">
        <v>13009.3</v>
      </c>
      <c r="I18" s="737">
        <v>26288.93</v>
      </c>
      <c r="J18" s="737">
        <v>6707.64</v>
      </c>
      <c r="K18" s="737">
        <v>13908.45</v>
      </c>
      <c r="L18" s="737">
        <v>20500</v>
      </c>
      <c r="M18" s="737">
        <v>20500</v>
      </c>
      <c r="N18" s="737">
        <v>18500</v>
      </c>
      <c r="O18" s="728">
        <f t="shared" si="1"/>
        <v>196773.46000000002</v>
      </c>
      <c r="P18" s="737">
        <f t="shared" si="3"/>
        <v>15252.606666666668</v>
      </c>
    </row>
    <row r="19" spans="1:16" s="294" customFormat="1" ht="13.5" customHeight="1" x14ac:dyDescent="0.2">
      <c r="A19" s="735" t="s">
        <v>241</v>
      </c>
      <c r="B19" s="736" t="s">
        <v>242</v>
      </c>
      <c r="C19" s="737">
        <v>0</v>
      </c>
      <c r="D19" s="737">
        <v>0</v>
      </c>
      <c r="E19" s="737">
        <v>0</v>
      </c>
      <c r="F19" s="737">
        <v>0</v>
      </c>
      <c r="G19" s="737">
        <v>0</v>
      </c>
      <c r="H19" s="737">
        <v>0</v>
      </c>
      <c r="I19" s="737">
        <v>0</v>
      </c>
      <c r="J19" s="737">
        <v>0</v>
      </c>
      <c r="K19" s="737">
        <v>0</v>
      </c>
      <c r="L19" s="737">
        <v>0</v>
      </c>
      <c r="M19" s="737">
        <v>0</v>
      </c>
      <c r="N19" s="737">
        <v>0</v>
      </c>
      <c r="O19" s="728">
        <f t="shared" si="1"/>
        <v>0</v>
      </c>
      <c r="P19" s="737">
        <f t="shared" si="3"/>
        <v>0</v>
      </c>
    </row>
    <row r="20" spans="1:16" s="294" customFormat="1" ht="13.5" customHeight="1" x14ac:dyDescent="0.2">
      <c r="A20" s="731" t="s">
        <v>243</v>
      </c>
      <c r="B20" s="732" t="s">
        <v>244</v>
      </c>
      <c r="C20" s="733">
        <f>C21</f>
        <v>0</v>
      </c>
      <c r="D20" s="733">
        <f t="shared" ref="D20:N20" si="6">D21</f>
        <v>0</v>
      </c>
      <c r="E20" s="733">
        <f t="shared" si="6"/>
        <v>0</v>
      </c>
      <c r="F20" s="733">
        <f t="shared" si="6"/>
        <v>0</v>
      </c>
      <c r="G20" s="733">
        <f t="shared" si="6"/>
        <v>0</v>
      </c>
      <c r="H20" s="733">
        <f t="shared" si="6"/>
        <v>0</v>
      </c>
      <c r="I20" s="733">
        <f t="shared" si="6"/>
        <v>0</v>
      </c>
      <c r="J20" s="733">
        <f t="shared" si="6"/>
        <v>0</v>
      </c>
      <c r="K20" s="733">
        <f t="shared" si="6"/>
        <v>0</v>
      </c>
      <c r="L20" s="733">
        <f t="shared" si="6"/>
        <v>0</v>
      </c>
      <c r="M20" s="733">
        <f t="shared" si="6"/>
        <v>0</v>
      </c>
      <c r="N20" s="733">
        <f t="shared" si="6"/>
        <v>0</v>
      </c>
      <c r="O20" s="728">
        <f t="shared" si="1"/>
        <v>0</v>
      </c>
      <c r="P20" s="733">
        <f t="shared" si="3"/>
        <v>0</v>
      </c>
    </row>
    <row r="21" spans="1:16" s="294" customFormat="1" ht="13.5" customHeight="1" x14ac:dyDescent="0.2">
      <c r="A21" s="735" t="s">
        <v>245</v>
      </c>
      <c r="B21" s="736" t="s">
        <v>246</v>
      </c>
      <c r="C21" s="737">
        <v>0</v>
      </c>
      <c r="D21" s="737">
        <v>0</v>
      </c>
      <c r="E21" s="737">
        <v>0</v>
      </c>
      <c r="F21" s="737">
        <v>0</v>
      </c>
      <c r="G21" s="737">
        <v>0</v>
      </c>
      <c r="H21" s="737">
        <v>0</v>
      </c>
      <c r="I21" s="737">
        <v>0</v>
      </c>
      <c r="J21" s="737">
        <v>0</v>
      </c>
      <c r="K21" s="737">
        <v>0</v>
      </c>
      <c r="L21" s="737">
        <v>0</v>
      </c>
      <c r="M21" s="737">
        <v>0</v>
      </c>
      <c r="N21" s="737">
        <v>0</v>
      </c>
      <c r="O21" s="728">
        <f t="shared" si="1"/>
        <v>0</v>
      </c>
      <c r="P21" s="737">
        <f t="shared" si="3"/>
        <v>0</v>
      </c>
    </row>
    <row r="22" spans="1:16" s="294" customFormat="1" ht="13.5" customHeight="1" x14ac:dyDescent="0.2">
      <c r="A22" s="731" t="s">
        <v>247</v>
      </c>
      <c r="B22" s="732" t="s">
        <v>248</v>
      </c>
      <c r="C22" s="733">
        <f>C23</f>
        <v>0</v>
      </c>
      <c r="D22" s="733">
        <f t="shared" ref="D22:N22" si="7">D23</f>
        <v>0</v>
      </c>
      <c r="E22" s="733">
        <f t="shared" si="7"/>
        <v>0</v>
      </c>
      <c r="F22" s="733">
        <f t="shared" si="7"/>
        <v>0</v>
      </c>
      <c r="G22" s="733">
        <f t="shared" si="7"/>
        <v>0</v>
      </c>
      <c r="H22" s="733">
        <f t="shared" si="7"/>
        <v>0</v>
      </c>
      <c r="I22" s="733">
        <f t="shared" si="7"/>
        <v>0</v>
      </c>
      <c r="J22" s="733">
        <f t="shared" si="7"/>
        <v>0</v>
      </c>
      <c r="K22" s="733">
        <f t="shared" si="7"/>
        <v>0</v>
      </c>
      <c r="L22" s="733">
        <f t="shared" si="7"/>
        <v>0</v>
      </c>
      <c r="M22" s="733">
        <f t="shared" si="7"/>
        <v>0</v>
      </c>
      <c r="N22" s="733">
        <f t="shared" si="7"/>
        <v>0</v>
      </c>
      <c r="O22" s="728">
        <f t="shared" si="1"/>
        <v>0</v>
      </c>
      <c r="P22" s="733">
        <f t="shared" si="3"/>
        <v>0</v>
      </c>
    </row>
    <row r="23" spans="1:16" s="294" customFormat="1" ht="13.5" customHeight="1" x14ac:dyDescent="0.2">
      <c r="A23" s="735" t="s">
        <v>249</v>
      </c>
      <c r="B23" s="736" t="s">
        <v>250</v>
      </c>
      <c r="C23" s="737">
        <v>0</v>
      </c>
      <c r="D23" s="737">
        <v>0</v>
      </c>
      <c r="E23" s="737">
        <v>0</v>
      </c>
      <c r="F23" s="737">
        <v>0</v>
      </c>
      <c r="G23" s="737">
        <v>0</v>
      </c>
      <c r="H23" s="737">
        <v>0</v>
      </c>
      <c r="I23" s="737">
        <v>0</v>
      </c>
      <c r="J23" s="737">
        <v>0</v>
      </c>
      <c r="K23" s="737">
        <v>0</v>
      </c>
      <c r="L23" s="737">
        <v>0</v>
      </c>
      <c r="M23" s="737">
        <v>0</v>
      </c>
      <c r="N23" s="737">
        <v>0</v>
      </c>
      <c r="O23" s="728">
        <f t="shared" si="1"/>
        <v>0</v>
      </c>
      <c r="P23" s="737">
        <f t="shared" si="3"/>
        <v>0</v>
      </c>
    </row>
    <row r="24" spans="1:16" s="294" customFormat="1" ht="13.5" customHeight="1" x14ac:dyDescent="0.2">
      <c r="A24" s="725" t="s">
        <v>251</v>
      </c>
      <c r="B24" s="726" t="s">
        <v>252</v>
      </c>
      <c r="C24" s="727">
        <f>C25</f>
        <v>0</v>
      </c>
      <c r="D24" s="727">
        <f t="shared" ref="D24:N25" si="8">D25</f>
        <v>0</v>
      </c>
      <c r="E24" s="727">
        <f t="shared" si="8"/>
        <v>0</v>
      </c>
      <c r="F24" s="727">
        <f t="shared" si="8"/>
        <v>0</v>
      </c>
      <c r="G24" s="727">
        <f t="shared" si="8"/>
        <v>0</v>
      </c>
      <c r="H24" s="727">
        <f t="shared" si="8"/>
        <v>0</v>
      </c>
      <c r="I24" s="727">
        <f t="shared" si="8"/>
        <v>0</v>
      </c>
      <c r="J24" s="727">
        <f t="shared" si="8"/>
        <v>0</v>
      </c>
      <c r="K24" s="727">
        <f t="shared" si="8"/>
        <v>0</v>
      </c>
      <c r="L24" s="727">
        <f t="shared" si="8"/>
        <v>0</v>
      </c>
      <c r="M24" s="727">
        <f t="shared" si="8"/>
        <v>0</v>
      </c>
      <c r="N24" s="727">
        <f t="shared" si="8"/>
        <v>0</v>
      </c>
      <c r="O24" s="728">
        <f t="shared" si="1"/>
        <v>0</v>
      </c>
      <c r="P24" s="727">
        <f t="shared" si="3"/>
        <v>0</v>
      </c>
    </row>
    <row r="25" spans="1:16" s="294" customFormat="1" ht="13.5" customHeight="1" x14ac:dyDescent="0.2">
      <c r="A25" s="731" t="s">
        <v>253</v>
      </c>
      <c r="B25" s="732" t="s">
        <v>254</v>
      </c>
      <c r="C25" s="733">
        <f>C26</f>
        <v>0</v>
      </c>
      <c r="D25" s="733">
        <f t="shared" si="8"/>
        <v>0</v>
      </c>
      <c r="E25" s="733">
        <f t="shared" si="8"/>
        <v>0</v>
      </c>
      <c r="F25" s="733">
        <f t="shared" si="8"/>
        <v>0</v>
      </c>
      <c r="G25" s="733">
        <f t="shared" si="8"/>
        <v>0</v>
      </c>
      <c r="H25" s="733">
        <f t="shared" si="8"/>
        <v>0</v>
      </c>
      <c r="I25" s="733">
        <f t="shared" si="8"/>
        <v>0</v>
      </c>
      <c r="J25" s="733">
        <f t="shared" si="8"/>
        <v>0</v>
      </c>
      <c r="K25" s="733">
        <f t="shared" si="8"/>
        <v>0</v>
      </c>
      <c r="L25" s="733">
        <f t="shared" si="8"/>
        <v>0</v>
      </c>
      <c r="M25" s="733">
        <f t="shared" si="8"/>
        <v>0</v>
      </c>
      <c r="N25" s="733">
        <f t="shared" si="8"/>
        <v>0</v>
      </c>
      <c r="O25" s="728">
        <f t="shared" si="1"/>
        <v>0</v>
      </c>
      <c r="P25" s="733">
        <f t="shared" si="3"/>
        <v>0</v>
      </c>
    </row>
    <row r="26" spans="1:16" s="294" customFormat="1" ht="13.5" customHeight="1" x14ac:dyDescent="0.2">
      <c r="A26" s="735" t="s">
        <v>255</v>
      </c>
      <c r="B26" s="736" t="s">
        <v>256</v>
      </c>
      <c r="C26" s="737">
        <v>0</v>
      </c>
      <c r="D26" s="737">
        <v>0</v>
      </c>
      <c r="E26" s="737">
        <v>0</v>
      </c>
      <c r="F26" s="737">
        <v>0</v>
      </c>
      <c r="G26" s="737">
        <v>0</v>
      </c>
      <c r="H26" s="737">
        <v>0</v>
      </c>
      <c r="I26" s="737">
        <v>0</v>
      </c>
      <c r="J26" s="737">
        <v>0</v>
      </c>
      <c r="K26" s="737">
        <v>0</v>
      </c>
      <c r="L26" s="737">
        <v>0</v>
      </c>
      <c r="M26" s="737">
        <v>0</v>
      </c>
      <c r="N26" s="737">
        <v>0</v>
      </c>
      <c r="O26" s="728">
        <f t="shared" si="1"/>
        <v>0</v>
      </c>
      <c r="P26" s="737">
        <f t="shared" si="3"/>
        <v>0</v>
      </c>
    </row>
    <row r="27" spans="1:16" s="294" customFormat="1" ht="13.5" customHeight="1" x14ac:dyDescent="0.2">
      <c r="A27" s="725" t="s">
        <v>257</v>
      </c>
      <c r="B27" s="726" t="s">
        <v>258</v>
      </c>
      <c r="C27" s="727">
        <f>C28+C31</f>
        <v>0</v>
      </c>
      <c r="D27" s="727">
        <f t="shared" ref="D27:N27" si="9">D28+D31</f>
        <v>0</v>
      </c>
      <c r="E27" s="727">
        <f t="shared" si="9"/>
        <v>0</v>
      </c>
      <c r="F27" s="727">
        <f t="shared" si="9"/>
        <v>0</v>
      </c>
      <c r="G27" s="727">
        <f t="shared" si="9"/>
        <v>0</v>
      </c>
      <c r="H27" s="727">
        <f t="shared" si="9"/>
        <v>0</v>
      </c>
      <c r="I27" s="727">
        <f t="shared" si="9"/>
        <v>0</v>
      </c>
      <c r="J27" s="727">
        <f t="shared" si="9"/>
        <v>0</v>
      </c>
      <c r="K27" s="727">
        <f t="shared" si="9"/>
        <v>0</v>
      </c>
      <c r="L27" s="727">
        <f t="shared" si="9"/>
        <v>0</v>
      </c>
      <c r="M27" s="727">
        <f t="shared" si="9"/>
        <v>0</v>
      </c>
      <c r="N27" s="727">
        <f t="shared" si="9"/>
        <v>0</v>
      </c>
      <c r="O27" s="728">
        <f t="shared" si="1"/>
        <v>0</v>
      </c>
      <c r="P27" s="727">
        <f t="shared" si="3"/>
        <v>0</v>
      </c>
    </row>
    <row r="28" spans="1:16" s="294" customFormat="1" ht="13.5" customHeight="1" x14ac:dyDescent="0.2">
      <c r="A28" s="731" t="s">
        <v>259</v>
      </c>
      <c r="B28" s="732" t="s">
        <v>260</v>
      </c>
      <c r="C28" s="733">
        <f>C29+C30</f>
        <v>0</v>
      </c>
      <c r="D28" s="733">
        <f t="shared" ref="D28:N28" si="10">D29+D30</f>
        <v>0</v>
      </c>
      <c r="E28" s="733">
        <f t="shared" si="10"/>
        <v>0</v>
      </c>
      <c r="F28" s="733">
        <f t="shared" si="10"/>
        <v>0</v>
      </c>
      <c r="G28" s="733">
        <f t="shared" si="10"/>
        <v>0</v>
      </c>
      <c r="H28" s="733">
        <f t="shared" si="10"/>
        <v>0</v>
      </c>
      <c r="I28" s="733">
        <f t="shared" si="10"/>
        <v>0</v>
      </c>
      <c r="J28" s="733">
        <f t="shared" si="10"/>
        <v>0</v>
      </c>
      <c r="K28" s="733">
        <f t="shared" si="10"/>
        <v>0</v>
      </c>
      <c r="L28" s="733">
        <f t="shared" si="10"/>
        <v>0</v>
      </c>
      <c r="M28" s="733">
        <f t="shared" si="10"/>
        <v>0</v>
      </c>
      <c r="N28" s="733">
        <f t="shared" si="10"/>
        <v>0</v>
      </c>
      <c r="O28" s="728">
        <f t="shared" si="1"/>
        <v>0</v>
      </c>
      <c r="P28" s="733">
        <f t="shared" si="3"/>
        <v>0</v>
      </c>
    </row>
    <row r="29" spans="1:16" s="309" customFormat="1" ht="13.5" customHeight="1" x14ac:dyDescent="0.2">
      <c r="A29" s="735" t="s">
        <v>261</v>
      </c>
      <c r="B29" s="736" t="s">
        <v>262</v>
      </c>
      <c r="C29" s="737">
        <v>0</v>
      </c>
      <c r="D29" s="737">
        <v>0</v>
      </c>
      <c r="E29" s="737">
        <v>0</v>
      </c>
      <c r="F29" s="737">
        <v>0</v>
      </c>
      <c r="G29" s="737">
        <v>0</v>
      </c>
      <c r="H29" s="737">
        <v>0</v>
      </c>
      <c r="I29" s="737">
        <v>0</v>
      </c>
      <c r="J29" s="737">
        <v>0</v>
      </c>
      <c r="K29" s="737">
        <v>0</v>
      </c>
      <c r="L29" s="737">
        <v>0</v>
      </c>
      <c r="M29" s="737">
        <v>0</v>
      </c>
      <c r="N29" s="737">
        <v>0</v>
      </c>
      <c r="O29" s="728">
        <f t="shared" si="1"/>
        <v>0</v>
      </c>
      <c r="P29" s="737">
        <f t="shared" si="3"/>
        <v>0</v>
      </c>
    </row>
    <row r="30" spans="1:16" s="294" customFormat="1" ht="13.5" customHeight="1" x14ac:dyDescent="0.2">
      <c r="A30" s="735" t="s">
        <v>263</v>
      </c>
      <c r="B30" s="736" t="s">
        <v>264</v>
      </c>
      <c r="C30" s="737">
        <v>0</v>
      </c>
      <c r="D30" s="737">
        <v>0</v>
      </c>
      <c r="E30" s="737">
        <v>0</v>
      </c>
      <c r="F30" s="737">
        <v>0</v>
      </c>
      <c r="G30" s="737">
        <v>0</v>
      </c>
      <c r="H30" s="737">
        <v>0</v>
      </c>
      <c r="I30" s="737">
        <v>0</v>
      </c>
      <c r="J30" s="737">
        <v>0</v>
      </c>
      <c r="K30" s="737">
        <v>0</v>
      </c>
      <c r="L30" s="737">
        <v>0</v>
      </c>
      <c r="M30" s="737">
        <v>0</v>
      </c>
      <c r="N30" s="737">
        <v>0</v>
      </c>
      <c r="O30" s="728">
        <f t="shared" si="1"/>
        <v>0</v>
      </c>
      <c r="P30" s="737">
        <f t="shared" si="3"/>
        <v>0</v>
      </c>
    </row>
    <row r="31" spans="1:16" s="294" customFormat="1" ht="13.5" customHeight="1" x14ac:dyDescent="0.2">
      <c r="A31" s="731" t="s">
        <v>265</v>
      </c>
      <c r="B31" s="732" t="s">
        <v>266</v>
      </c>
      <c r="C31" s="733">
        <f>C32</f>
        <v>0</v>
      </c>
      <c r="D31" s="733">
        <f t="shared" ref="D31:N31" si="11">D32</f>
        <v>0</v>
      </c>
      <c r="E31" s="733">
        <f t="shared" si="11"/>
        <v>0</v>
      </c>
      <c r="F31" s="733">
        <f t="shared" si="11"/>
        <v>0</v>
      </c>
      <c r="G31" s="733">
        <f t="shared" si="11"/>
        <v>0</v>
      </c>
      <c r="H31" s="733">
        <f t="shared" si="11"/>
        <v>0</v>
      </c>
      <c r="I31" s="733">
        <f t="shared" si="11"/>
        <v>0</v>
      </c>
      <c r="J31" s="733">
        <f t="shared" si="11"/>
        <v>0</v>
      </c>
      <c r="K31" s="733">
        <f t="shared" si="11"/>
        <v>0</v>
      </c>
      <c r="L31" s="733">
        <f t="shared" si="11"/>
        <v>0</v>
      </c>
      <c r="M31" s="733">
        <f t="shared" si="11"/>
        <v>0</v>
      </c>
      <c r="N31" s="733">
        <f t="shared" si="11"/>
        <v>0</v>
      </c>
      <c r="O31" s="728">
        <f t="shared" si="1"/>
        <v>0</v>
      </c>
      <c r="P31" s="733">
        <f t="shared" si="3"/>
        <v>0</v>
      </c>
    </row>
    <row r="32" spans="1:16" s="309" customFormat="1" ht="13.5" customHeight="1" x14ac:dyDescent="0.2">
      <c r="A32" s="735" t="s">
        <v>267</v>
      </c>
      <c r="B32" s="736" t="s">
        <v>256</v>
      </c>
      <c r="C32" s="737">
        <v>0</v>
      </c>
      <c r="D32" s="737">
        <v>0</v>
      </c>
      <c r="E32" s="737">
        <v>0</v>
      </c>
      <c r="F32" s="737">
        <v>0</v>
      </c>
      <c r="G32" s="737">
        <v>0</v>
      </c>
      <c r="H32" s="737">
        <v>0</v>
      </c>
      <c r="I32" s="737">
        <v>0</v>
      </c>
      <c r="J32" s="737">
        <v>0</v>
      </c>
      <c r="K32" s="737">
        <v>0</v>
      </c>
      <c r="L32" s="737">
        <v>0</v>
      </c>
      <c r="M32" s="737">
        <v>0</v>
      </c>
      <c r="N32" s="737">
        <v>0</v>
      </c>
      <c r="O32" s="728">
        <f t="shared" si="1"/>
        <v>0</v>
      </c>
      <c r="P32" s="737">
        <f t="shared" si="3"/>
        <v>0</v>
      </c>
    </row>
    <row r="33" spans="1:16" s="294" customFormat="1" ht="13.5" customHeight="1" x14ac:dyDescent="0.2">
      <c r="A33" s="719" t="s">
        <v>268</v>
      </c>
      <c r="B33" s="720" t="s">
        <v>269</v>
      </c>
      <c r="C33" s="721">
        <f t="shared" ref="C33:N33" si="12">C34+C37+C50+C85</f>
        <v>10071.786103448276</v>
      </c>
      <c r="D33" s="721">
        <f t="shared" si="12"/>
        <v>10389.276582758623</v>
      </c>
      <c r="E33" s="721">
        <f t="shared" si="12"/>
        <v>21417.76117586207</v>
      </c>
      <c r="F33" s="721">
        <f t="shared" si="12"/>
        <v>18518.763793103448</v>
      </c>
      <c r="G33" s="721">
        <f t="shared" si="12"/>
        <v>14257.042696551725</v>
      </c>
      <c r="H33" s="721">
        <f t="shared" si="12"/>
        <v>19820.136851724143</v>
      </c>
      <c r="I33" s="721">
        <f t="shared" si="12"/>
        <v>17898.920227586204</v>
      </c>
      <c r="J33" s="721">
        <f t="shared" si="12"/>
        <v>21828.404131034487</v>
      </c>
      <c r="K33" s="721">
        <f t="shared" si="12"/>
        <v>24147.018224137933</v>
      </c>
      <c r="L33" s="721">
        <f t="shared" si="12"/>
        <v>14379.191118384761</v>
      </c>
      <c r="M33" s="721">
        <f t="shared" si="12"/>
        <v>13653.90781838476</v>
      </c>
      <c r="N33" s="721">
        <f t="shared" si="12"/>
        <v>20829.241718384761</v>
      </c>
      <c r="O33" s="721">
        <f t="shared" si="1"/>
        <v>207211.45044136117</v>
      </c>
      <c r="P33" s="721">
        <f t="shared" si="3"/>
        <v>17594.345531800765</v>
      </c>
    </row>
    <row r="34" spans="1:16" s="294" customFormat="1" ht="13.5" customHeight="1" x14ac:dyDescent="0.2">
      <c r="A34" s="725" t="s">
        <v>270</v>
      </c>
      <c r="B34" s="726" t="s">
        <v>271</v>
      </c>
      <c r="C34" s="745">
        <f>C35</f>
        <v>0</v>
      </c>
      <c r="D34" s="745">
        <f t="shared" ref="D34:N35" si="13">D35</f>
        <v>0</v>
      </c>
      <c r="E34" s="745">
        <f t="shared" si="13"/>
        <v>0</v>
      </c>
      <c r="F34" s="745">
        <f t="shared" si="13"/>
        <v>0</v>
      </c>
      <c r="G34" s="745">
        <f t="shared" si="13"/>
        <v>0</v>
      </c>
      <c r="H34" s="745">
        <f t="shared" si="13"/>
        <v>0</v>
      </c>
      <c r="I34" s="745">
        <f t="shared" si="13"/>
        <v>0</v>
      </c>
      <c r="J34" s="745">
        <f t="shared" si="13"/>
        <v>0</v>
      </c>
      <c r="K34" s="745">
        <f t="shared" si="13"/>
        <v>0</v>
      </c>
      <c r="L34" s="745">
        <f t="shared" si="13"/>
        <v>0</v>
      </c>
      <c r="M34" s="745">
        <f t="shared" si="13"/>
        <v>0</v>
      </c>
      <c r="N34" s="745">
        <f t="shared" si="13"/>
        <v>0</v>
      </c>
      <c r="O34" s="728">
        <f t="shared" si="1"/>
        <v>0</v>
      </c>
      <c r="P34" s="745">
        <f t="shared" si="3"/>
        <v>0</v>
      </c>
    </row>
    <row r="35" spans="1:16" s="294" customFormat="1" ht="13.5" customHeight="1" x14ac:dyDescent="0.2">
      <c r="A35" s="731" t="s">
        <v>272</v>
      </c>
      <c r="B35" s="732" t="s">
        <v>273</v>
      </c>
      <c r="C35" s="747">
        <f>C36</f>
        <v>0</v>
      </c>
      <c r="D35" s="747">
        <f t="shared" si="13"/>
        <v>0</v>
      </c>
      <c r="E35" s="747">
        <f t="shared" si="13"/>
        <v>0</v>
      </c>
      <c r="F35" s="747">
        <f t="shared" si="13"/>
        <v>0</v>
      </c>
      <c r="G35" s="747">
        <f t="shared" si="13"/>
        <v>0</v>
      </c>
      <c r="H35" s="747">
        <f t="shared" si="13"/>
        <v>0</v>
      </c>
      <c r="I35" s="747">
        <f t="shared" si="13"/>
        <v>0</v>
      </c>
      <c r="J35" s="747">
        <f t="shared" si="13"/>
        <v>0</v>
      </c>
      <c r="K35" s="747">
        <f t="shared" si="13"/>
        <v>0</v>
      </c>
      <c r="L35" s="747">
        <f t="shared" si="13"/>
        <v>0</v>
      </c>
      <c r="M35" s="747">
        <f t="shared" si="13"/>
        <v>0</v>
      </c>
      <c r="N35" s="747">
        <f t="shared" si="13"/>
        <v>0</v>
      </c>
      <c r="O35" s="728">
        <f t="shared" si="1"/>
        <v>0</v>
      </c>
      <c r="P35" s="747">
        <f t="shared" si="3"/>
        <v>0</v>
      </c>
    </row>
    <row r="36" spans="1:16" s="309" customFormat="1" ht="13.5" customHeight="1" x14ac:dyDescent="0.2">
      <c r="A36" s="735" t="s">
        <v>274</v>
      </c>
      <c r="B36" s="736" t="s">
        <v>275</v>
      </c>
      <c r="C36" s="743">
        <v>0</v>
      </c>
      <c r="D36" s="743">
        <v>0</v>
      </c>
      <c r="E36" s="743">
        <v>0</v>
      </c>
      <c r="F36" s="743">
        <v>0</v>
      </c>
      <c r="G36" s="743">
        <v>0</v>
      </c>
      <c r="H36" s="743">
        <v>0</v>
      </c>
      <c r="I36" s="743">
        <v>0</v>
      </c>
      <c r="J36" s="743">
        <v>0</v>
      </c>
      <c r="K36" s="743">
        <v>0</v>
      </c>
      <c r="L36" s="737">
        <v>0</v>
      </c>
      <c r="M36" s="737">
        <v>0</v>
      </c>
      <c r="N36" s="737">
        <v>0</v>
      </c>
      <c r="O36" s="728">
        <f t="shared" si="1"/>
        <v>0</v>
      </c>
      <c r="P36" s="737">
        <f t="shared" si="3"/>
        <v>0</v>
      </c>
    </row>
    <row r="37" spans="1:16" s="294" customFormat="1" ht="13.5" customHeight="1" x14ac:dyDescent="0.2">
      <c r="A37" s="725" t="s">
        <v>276</v>
      </c>
      <c r="B37" s="726" t="s">
        <v>277</v>
      </c>
      <c r="C37" s="727">
        <f>C38+C46</f>
        <v>0</v>
      </c>
      <c r="D37" s="727">
        <f t="shared" ref="D37:N37" si="14">D38+D46</f>
        <v>0</v>
      </c>
      <c r="E37" s="727">
        <f t="shared" si="14"/>
        <v>0</v>
      </c>
      <c r="F37" s="727">
        <f t="shared" si="14"/>
        <v>0</v>
      </c>
      <c r="G37" s="727">
        <f t="shared" si="14"/>
        <v>0</v>
      </c>
      <c r="H37" s="727">
        <f t="shared" si="14"/>
        <v>0</v>
      </c>
      <c r="I37" s="727">
        <f t="shared" si="14"/>
        <v>0</v>
      </c>
      <c r="J37" s="727">
        <f t="shared" si="14"/>
        <v>1670.4</v>
      </c>
      <c r="K37" s="727">
        <f t="shared" si="14"/>
        <v>0</v>
      </c>
      <c r="L37" s="727">
        <f t="shared" si="14"/>
        <v>0</v>
      </c>
      <c r="M37" s="727">
        <f t="shared" si="14"/>
        <v>0</v>
      </c>
      <c r="N37" s="727">
        <f t="shared" si="14"/>
        <v>0</v>
      </c>
      <c r="O37" s="728">
        <f t="shared" si="1"/>
        <v>1670.4</v>
      </c>
      <c r="P37" s="727">
        <f t="shared" si="3"/>
        <v>185.60000000000002</v>
      </c>
    </row>
    <row r="38" spans="1:16" s="309" customFormat="1" ht="13.5" customHeight="1" x14ac:dyDescent="0.2">
      <c r="A38" s="731" t="s">
        <v>276</v>
      </c>
      <c r="B38" s="732" t="s">
        <v>278</v>
      </c>
      <c r="C38" s="733">
        <f>C39+C40+C41+C42+C43+C44+C45</f>
        <v>0</v>
      </c>
      <c r="D38" s="733">
        <f t="shared" ref="D38:N38" si="15">D39+D40+D41+D42+D43+D44+D45</f>
        <v>0</v>
      </c>
      <c r="E38" s="733">
        <f t="shared" si="15"/>
        <v>0</v>
      </c>
      <c r="F38" s="733">
        <f t="shared" si="15"/>
        <v>0</v>
      </c>
      <c r="G38" s="733">
        <f t="shared" si="15"/>
        <v>0</v>
      </c>
      <c r="H38" s="733">
        <f t="shared" si="15"/>
        <v>0</v>
      </c>
      <c r="I38" s="733">
        <f t="shared" si="15"/>
        <v>0</v>
      </c>
      <c r="J38" s="733">
        <f t="shared" si="15"/>
        <v>0</v>
      </c>
      <c r="K38" s="733">
        <f t="shared" si="15"/>
        <v>0</v>
      </c>
      <c r="L38" s="733">
        <f t="shared" si="15"/>
        <v>0</v>
      </c>
      <c r="M38" s="733">
        <f t="shared" si="15"/>
        <v>0</v>
      </c>
      <c r="N38" s="733">
        <f t="shared" si="15"/>
        <v>0</v>
      </c>
      <c r="O38" s="728">
        <f t="shared" si="1"/>
        <v>0</v>
      </c>
      <c r="P38" s="733">
        <f t="shared" si="3"/>
        <v>0</v>
      </c>
    </row>
    <row r="39" spans="1:16" s="309" customFormat="1" ht="13.5" customHeight="1" x14ac:dyDescent="0.2">
      <c r="A39" s="735" t="s">
        <v>279</v>
      </c>
      <c r="B39" s="736" t="s">
        <v>280</v>
      </c>
      <c r="C39" s="750">
        <v>0</v>
      </c>
      <c r="D39" s="750">
        <v>0</v>
      </c>
      <c r="E39" s="750">
        <v>0</v>
      </c>
      <c r="F39" s="750">
        <v>0</v>
      </c>
      <c r="G39" s="750">
        <v>0</v>
      </c>
      <c r="H39" s="750">
        <v>0</v>
      </c>
      <c r="I39" s="750">
        <v>0</v>
      </c>
      <c r="J39" s="750">
        <v>0</v>
      </c>
      <c r="K39" s="750">
        <v>0</v>
      </c>
      <c r="L39" s="743">
        <v>0</v>
      </c>
      <c r="M39" s="743">
        <v>0</v>
      </c>
      <c r="N39" s="743">
        <v>0</v>
      </c>
      <c r="O39" s="728">
        <f t="shared" si="1"/>
        <v>0</v>
      </c>
      <c r="P39" s="743">
        <f t="shared" si="3"/>
        <v>0</v>
      </c>
    </row>
    <row r="40" spans="1:16" s="309" customFormat="1" ht="13.5" customHeight="1" x14ac:dyDescent="0.2">
      <c r="A40" s="752" t="s">
        <v>281</v>
      </c>
      <c r="B40" s="753" t="s">
        <v>282</v>
      </c>
      <c r="C40" s="755">
        <v>0</v>
      </c>
      <c r="D40" s="755">
        <v>0</v>
      </c>
      <c r="E40" s="755">
        <v>0</v>
      </c>
      <c r="F40" s="755">
        <v>0</v>
      </c>
      <c r="G40" s="755">
        <v>0</v>
      </c>
      <c r="H40" s="755">
        <v>0</v>
      </c>
      <c r="I40" s="755">
        <v>0</v>
      </c>
      <c r="J40" s="755">
        <v>0</v>
      </c>
      <c r="K40" s="755">
        <v>0</v>
      </c>
      <c r="L40" s="754">
        <v>0</v>
      </c>
      <c r="M40" s="754">
        <v>0</v>
      </c>
      <c r="N40" s="754">
        <v>0</v>
      </c>
      <c r="O40" s="728">
        <f t="shared" si="1"/>
        <v>0</v>
      </c>
      <c r="P40" s="754">
        <f t="shared" si="3"/>
        <v>0</v>
      </c>
    </row>
    <row r="41" spans="1:16" s="309" customFormat="1" ht="13.5" customHeight="1" x14ac:dyDescent="0.2">
      <c r="A41" s="752" t="s">
        <v>283</v>
      </c>
      <c r="B41" s="753" t="s">
        <v>284</v>
      </c>
      <c r="C41" s="755">
        <v>0</v>
      </c>
      <c r="D41" s="755">
        <v>0</v>
      </c>
      <c r="E41" s="755">
        <v>0</v>
      </c>
      <c r="F41" s="755">
        <v>0</v>
      </c>
      <c r="G41" s="755">
        <v>0</v>
      </c>
      <c r="H41" s="755">
        <v>0</v>
      </c>
      <c r="I41" s="755">
        <v>0</v>
      </c>
      <c r="J41" s="755">
        <v>0</v>
      </c>
      <c r="K41" s="755">
        <v>0</v>
      </c>
      <c r="L41" s="754">
        <v>0</v>
      </c>
      <c r="M41" s="754">
        <v>0</v>
      </c>
      <c r="N41" s="754">
        <v>0</v>
      </c>
      <c r="O41" s="728">
        <f t="shared" si="1"/>
        <v>0</v>
      </c>
      <c r="P41" s="754">
        <f t="shared" si="3"/>
        <v>0</v>
      </c>
    </row>
    <row r="42" spans="1:16" s="309" customFormat="1" ht="13.5" customHeight="1" x14ac:dyDescent="0.2">
      <c r="A42" s="752" t="s">
        <v>285</v>
      </c>
      <c r="B42" s="753" t="s">
        <v>286</v>
      </c>
      <c r="C42" s="755">
        <v>0</v>
      </c>
      <c r="D42" s="755">
        <v>0</v>
      </c>
      <c r="E42" s="755">
        <v>0</v>
      </c>
      <c r="F42" s="755">
        <v>0</v>
      </c>
      <c r="G42" s="755">
        <v>0</v>
      </c>
      <c r="H42" s="755">
        <v>0</v>
      </c>
      <c r="I42" s="755">
        <v>0</v>
      </c>
      <c r="J42" s="755">
        <v>0</v>
      </c>
      <c r="K42" s="755">
        <v>0</v>
      </c>
      <c r="L42" s="754">
        <v>0</v>
      </c>
      <c r="M42" s="754">
        <v>0</v>
      </c>
      <c r="N42" s="754">
        <v>0</v>
      </c>
      <c r="O42" s="728">
        <f t="shared" ref="O42:O73" si="16">SUM(C42:N42)</f>
        <v>0</v>
      </c>
      <c r="P42" s="754">
        <f t="shared" si="3"/>
        <v>0</v>
      </c>
    </row>
    <row r="43" spans="1:16" s="309" customFormat="1" ht="13.5" customHeight="1" x14ac:dyDescent="0.2">
      <c r="A43" s="735" t="s">
        <v>287</v>
      </c>
      <c r="B43" s="736" t="s">
        <v>288</v>
      </c>
      <c r="C43" s="750">
        <v>0</v>
      </c>
      <c r="D43" s="750">
        <v>0</v>
      </c>
      <c r="E43" s="750">
        <v>0</v>
      </c>
      <c r="F43" s="750">
        <v>0</v>
      </c>
      <c r="G43" s="750">
        <v>0</v>
      </c>
      <c r="H43" s="750">
        <v>0</v>
      </c>
      <c r="I43" s="750">
        <v>0</v>
      </c>
      <c r="J43" s="750">
        <v>0</v>
      </c>
      <c r="K43" s="750">
        <v>0</v>
      </c>
      <c r="L43" s="743">
        <v>0</v>
      </c>
      <c r="M43" s="743">
        <v>0</v>
      </c>
      <c r="N43" s="743">
        <v>0</v>
      </c>
      <c r="O43" s="728">
        <f t="shared" si="16"/>
        <v>0</v>
      </c>
      <c r="P43" s="743">
        <f t="shared" si="3"/>
        <v>0</v>
      </c>
    </row>
    <row r="44" spans="1:16" s="309" customFormat="1" ht="13.5" customHeight="1" x14ac:dyDescent="0.2">
      <c r="A44" s="735" t="s">
        <v>289</v>
      </c>
      <c r="B44" s="736" t="s">
        <v>290</v>
      </c>
      <c r="C44" s="750">
        <v>0</v>
      </c>
      <c r="D44" s="750">
        <v>0</v>
      </c>
      <c r="E44" s="750">
        <v>0</v>
      </c>
      <c r="F44" s="750">
        <v>0</v>
      </c>
      <c r="G44" s="750">
        <v>0</v>
      </c>
      <c r="H44" s="750">
        <v>0</v>
      </c>
      <c r="I44" s="750">
        <v>0</v>
      </c>
      <c r="J44" s="750">
        <v>0</v>
      </c>
      <c r="K44" s="750">
        <v>0</v>
      </c>
      <c r="L44" s="743">
        <v>0</v>
      </c>
      <c r="M44" s="743">
        <v>0</v>
      </c>
      <c r="N44" s="743">
        <v>0</v>
      </c>
      <c r="O44" s="728">
        <f t="shared" si="16"/>
        <v>0</v>
      </c>
      <c r="P44" s="743">
        <f t="shared" si="3"/>
        <v>0</v>
      </c>
    </row>
    <row r="45" spans="1:16" s="309" customFormat="1" ht="13.5" customHeight="1" x14ac:dyDescent="0.2">
      <c r="A45" s="735" t="s">
        <v>291</v>
      </c>
      <c r="B45" s="736" t="s">
        <v>292</v>
      </c>
      <c r="C45" s="750">
        <v>0</v>
      </c>
      <c r="D45" s="750">
        <v>0</v>
      </c>
      <c r="E45" s="750">
        <v>0</v>
      </c>
      <c r="F45" s="750">
        <v>0</v>
      </c>
      <c r="G45" s="750">
        <v>0</v>
      </c>
      <c r="H45" s="750">
        <v>0</v>
      </c>
      <c r="I45" s="750">
        <v>0</v>
      </c>
      <c r="J45" s="750">
        <v>0</v>
      </c>
      <c r="K45" s="750">
        <v>0</v>
      </c>
      <c r="L45" s="743">
        <v>0</v>
      </c>
      <c r="M45" s="743">
        <v>0</v>
      </c>
      <c r="N45" s="743">
        <v>0</v>
      </c>
      <c r="O45" s="728">
        <f t="shared" si="16"/>
        <v>0</v>
      </c>
      <c r="P45" s="743">
        <f t="shared" si="3"/>
        <v>0</v>
      </c>
    </row>
    <row r="46" spans="1:16" s="309" customFormat="1" ht="13.5" customHeight="1" x14ac:dyDescent="0.2">
      <c r="A46" s="731" t="s">
        <v>293</v>
      </c>
      <c r="B46" s="732" t="s">
        <v>294</v>
      </c>
      <c r="C46" s="733">
        <f>C47+C48+C49</f>
        <v>0</v>
      </c>
      <c r="D46" s="733">
        <f t="shared" ref="D46:N46" si="17">D47+D48+D49</f>
        <v>0</v>
      </c>
      <c r="E46" s="733">
        <f t="shared" si="17"/>
        <v>0</v>
      </c>
      <c r="F46" s="733">
        <f t="shared" si="17"/>
        <v>0</v>
      </c>
      <c r="G46" s="733">
        <f t="shared" si="17"/>
        <v>0</v>
      </c>
      <c r="H46" s="733">
        <f t="shared" si="17"/>
        <v>0</v>
      </c>
      <c r="I46" s="733">
        <f t="shared" si="17"/>
        <v>0</v>
      </c>
      <c r="J46" s="733">
        <f t="shared" si="17"/>
        <v>1670.4</v>
      </c>
      <c r="K46" s="733">
        <f t="shared" si="17"/>
        <v>0</v>
      </c>
      <c r="L46" s="733">
        <f t="shared" si="17"/>
        <v>0</v>
      </c>
      <c r="M46" s="733">
        <f t="shared" si="17"/>
        <v>0</v>
      </c>
      <c r="N46" s="733">
        <f t="shared" si="17"/>
        <v>0</v>
      </c>
      <c r="O46" s="728">
        <f t="shared" si="16"/>
        <v>1670.4</v>
      </c>
      <c r="P46" s="733">
        <f t="shared" si="3"/>
        <v>185.60000000000002</v>
      </c>
    </row>
    <row r="47" spans="1:16" s="309" customFormat="1" ht="13.5" customHeight="1" x14ac:dyDescent="0.2">
      <c r="A47" s="735" t="s">
        <v>295</v>
      </c>
      <c r="B47" s="736" t="s">
        <v>296</v>
      </c>
      <c r="C47" s="750">
        <v>0</v>
      </c>
      <c r="D47" s="750">
        <v>0</v>
      </c>
      <c r="E47" s="750">
        <v>0</v>
      </c>
      <c r="F47" s="750">
        <v>0</v>
      </c>
      <c r="G47" s="750">
        <v>0</v>
      </c>
      <c r="H47" s="750">
        <v>0</v>
      </c>
      <c r="I47" s="750">
        <v>0</v>
      </c>
      <c r="J47" s="750">
        <v>1670.4</v>
      </c>
      <c r="K47" s="750">
        <v>0</v>
      </c>
      <c r="L47" s="743">
        <v>0</v>
      </c>
      <c r="M47" s="743">
        <v>0</v>
      </c>
      <c r="N47" s="743">
        <v>0</v>
      </c>
      <c r="O47" s="728">
        <f t="shared" si="16"/>
        <v>1670.4</v>
      </c>
      <c r="P47" s="743">
        <f t="shared" si="3"/>
        <v>185.60000000000002</v>
      </c>
    </row>
    <row r="48" spans="1:16" s="309" customFormat="1" ht="13.5" customHeight="1" x14ac:dyDescent="0.2">
      <c r="A48" s="735" t="s">
        <v>297</v>
      </c>
      <c r="B48" s="736" t="s">
        <v>298</v>
      </c>
      <c r="C48" s="750">
        <v>0</v>
      </c>
      <c r="D48" s="750">
        <v>0</v>
      </c>
      <c r="E48" s="750">
        <v>0</v>
      </c>
      <c r="F48" s="750">
        <v>0</v>
      </c>
      <c r="G48" s="750">
        <v>0</v>
      </c>
      <c r="H48" s="750">
        <v>0</v>
      </c>
      <c r="I48" s="750">
        <v>0</v>
      </c>
      <c r="J48" s="750">
        <v>0</v>
      </c>
      <c r="K48" s="750">
        <v>0</v>
      </c>
      <c r="L48" s="743">
        <v>0</v>
      </c>
      <c r="M48" s="743">
        <v>0</v>
      </c>
      <c r="N48" s="743">
        <v>0</v>
      </c>
      <c r="O48" s="728">
        <f t="shared" si="16"/>
        <v>0</v>
      </c>
      <c r="P48" s="743">
        <f t="shared" si="3"/>
        <v>0</v>
      </c>
    </row>
    <row r="49" spans="1:16" s="309" customFormat="1" ht="13.5" customHeight="1" x14ac:dyDescent="0.2">
      <c r="A49" s="735" t="s">
        <v>299</v>
      </c>
      <c r="B49" s="736" t="s">
        <v>300</v>
      </c>
      <c r="C49" s="750">
        <v>0</v>
      </c>
      <c r="D49" s="750">
        <v>0</v>
      </c>
      <c r="E49" s="750">
        <v>0</v>
      </c>
      <c r="F49" s="750">
        <v>0</v>
      </c>
      <c r="G49" s="750">
        <v>0</v>
      </c>
      <c r="H49" s="750">
        <v>0</v>
      </c>
      <c r="I49" s="750">
        <v>0</v>
      </c>
      <c r="J49" s="750">
        <v>0</v>
      </c>
      <c r="K49" s="750">
        <v>0</v>
      </c>
      <c r="L49" s="743">
        <v>0</v>
      </c>
      <c r="M49" s="743">
        <v>0</v>
      </c>
      <c r="N49" s="743">
        <v>0</v>
      </c>
      <c r="O49" s="728">
        <f t="shared" si="16"/>
        <v>0</v>
      </c>
      <c r="P49" s="743">
        <f t="shared" si="3"/>
        <v>0</v>
      </c>
    </row>
    <row r="50" spans="1:16" s="294" customFormat="1" ht="13.5" customHeight="1" x14ac:dyDescent="0.2">
      <c r="A50" s="757" t="s">
        <v>301</v>
      </c>
      <c r="B50" s="726" t="s">
        <v>302</v>
      </c>
      <c r="C50" s="727">
        <f>C51</f>
        <v>10071.786103448276</v>
      </c>
      <c r="D50" s="727">
        <f t="shared" ref="D50:N50" si="18">D51</f>
        <v>10389.276582758623</v>
      </c>
      <c r="E50" s="727">
        <f t="shared" si="18"/>
        <v>21417.76117586207</v>
      </c>
      <c r="F50" s="727">
        <f t="shared" si="18"/>
        <v>18518.763793103448</v>
      </c>
      <c r="G50" s="727">
        <f t="shared" si="18"/>
        <v>14257.042696551725</v>
      </c>
      <c r="H50" s="727">
        <f t="shared" si="18"/>
        <v>19820.136851724143</v>
      </c>
      <c r="I50" s="727">
        <f t="shared" si="18"/>
        <v>17898.920227586204</v>
      </c>
      <c r="J50" s="727">
        <f t="shared" si="18"/>
        <v>20158.004131034486</v>
      </c>
      <c r="K50" s="727">
        <f t="shared" si="18"/>
        <v>24147.018224137933</v>
      </c>
      <c r="L50" s="727">
        <f t="shared" si="18"/>
        <v>14379.191118384761</v>
      </c>
      <c r="M50" s="727">
        <f t="shared" si="18"/>
        <v>13653.90781838476</v>
      </c>
      <c r="N50" s="727">
        <f t="shared" si="18"/>
        <v>20829.241718384761</v>
      </c>
      <c r="O50" s="728">
        <f t="shared" si="16"/>
        <v>205541.05044136118</v>
      </c>
      <c r="P50" s="727">
        <f t="shared" si="3"/>
        <v>17408.745531800767</v>
      </c>
    </row>
    <row r="51" spans="1:16" s="294" customFormat="1" ht="13.5" customHeight="1" x14ac:dyDescent="0.2">
      <c r="A51" s="758" t="s">
        <v>303</v>
      </c>
      <c r="B51" s="732" t="s">
        <v>304</v>
      </c>
      <c r="C51" s="733">
        <f>SUM(C52:C84)</f>
        <v>10071.786103448276</v>
      </c>
      <c r="D51" s="733">
        <f t="shared" ref="D51:N51" si="19">SUM(D52:D84)</f>
        <v>10389.276582758623</v>
      </c>
      <c r="E51" s="733">
        <f t="shared" si="19"/>
        <v>21417.76117586207</v>
      </c>
      <c r="F51" s="733">
        <f t="shared" si="19"/>
        <v>18518.763793103448</v>
      </c>
      <c r="G51" s="733">
        <f t="shared" si="19"/>
        <v>14257.042696551725</v>
      </c>
      <c r="H51" s="733">
        <f t="shared" si="19"/>
        <v>19820.136851724143</v>
      </c>
      <c r="I51" s="733">
        <f t="shared" si="19"/>
        <v>17898.920227586204</v>
      </c>
      <c r="J51" s="733">
        <f t="shared" si="19"/>
        <v>20158.004131034486</v>
      </c>
      <c r="K51" s="733">
        <f t="shared" si="19"/>
        <v>24147.018224137933</v>
      </c>
      <c r="L51" s="733">
        <f t="shared" si="19"/>
        <v>14379.191118384761</v>
      </c>
      <c r="M51" s="733">
        <f t="shared" si="19"/>
        <v>13653.90781838476</v>
      </c>
      <c r="N51" s="733">
        <f t="shared" si="19"/>
        <v>20829.241718384761</v>
      </c>
      <c r="O51" s="728">
        <f t="shared" si="16"/>
        <v>205541.05044136118</v>
      </c>
      <c r="P51" s="733">
        <f t="shared" si="3"/>
        <v>17408.745531800767</v>
      </c>
    </row>
    <row r="52" spans="1:16" s="309" customFormat="1" ht="13.5" customHeight="1" x14ac:dyDescent="0.2">
      <c r="A52" s="735" t="s">
        <v>305</v>
      </c>
      <c r="B52" s="736" t="s">
        <v>59</v>
      </c>
      <c r="C52" s="750">
        <v>0</v>
      </c>
      <c r="D52" s="750">
        <v>0</v>
      </c>
      <c r="E52" s="750">
        <v>329.38</v>
      </c>
      <c r="F52" s="750">
        <v>1614.29</v>
      </c>
      <c r="G52" s="750">
        <v>456.05</v>
      </c>
      <c r="H52" s="750">
        <v>0</v>
      </c>
      <c r="I52" s="750">
        <v>223.16</v>
      </c>
      <c r="J52" s="750">
        <v>0</v>
      </c>
      <c r="K52" s="750">
        <v>624.14</v>
      </c>
      <c r="L52" s="743">
        <v>0</v>
      </c>
      <c r="M52" s="743">
        <v>0</v>
      </c>
      <c r="N52" s="743">
        <v>0</v>
      </c>
      <c r="O52" s="728">
        <f t="shared" si="16"/>
        <v>3247.02</v>
      </c>
      <c r="P52" s="743">
        <f t="shared" si="3"/>
        <v>360.78</v>
      </c>
    </row>
    <row r="53" spans="1:16" s="309" customFormat="1" ht="13.5" customHeight="1" x14ac:dyDescent="0.2">
      <c r="A53" s="735" t="s">
        <v>306</v>
      </c>
      <c r="B53" s="736" t="s">
        <v>61</v>
      </c>
      <c r="C53" s="750">
        <v>18.420000000000002</v>
      </c>
      <c r="D53" s="750">
        <v>0</v>
      </c>
      <c r="E53" s="750">
        <v>352.8</v>
      </c>
      <c r="F53" s="750">
        <v>0</v>
      </c>
      <c r="G53" s="750">
        <v>233.43</v>
      </c>
      <c r="H53" s="750">
        <v>0</v>
      </c>
      <c r="I53" s="750">
        <v>2112.4499999999998</v>
      </c>
      <c r="J53" s="750">
        <v>0</v>
      </c>
      <c r="K53" s="750">
        <v>0</v>
      </c>
      <c r="L53" s="743">
        <v>0</v>
      </c>
      <c r="M53" s="743">
        <v>0</v>
      </c>
      <c r="N53" s="743">
        <v>0</v>
      </c>
      <c r="O53" s="728">
        <f t="shared" si="16"/>
        <v>2717.1</v>
      </c>
      <c r="P53" s="743">
        <f t="shared" si="3"/>
        <v>301.89999999999998</v>
      </c>
    </row>
    <row r="54" spans="1:16" s="309" customFormat="1" ht="13.5" customHeight="1" x14ac:dyDescent="0.2">
      <c r="A54" s="735" t="s">
        <v>307</v>
      </c>
      <c r="B54" s="736" t="s">
        <v>62</v>
      </c>
      <c r="C54" s="750">
        <v>0</v>
      </c>
      <c r="D54" s="750">
        <v>0</v>
      </c>
      <c r="E54" s="750">
        <v>15.66</v>
      </c>
      <c r="F54" s="750">
        <v>6.96</v>
      </c>
      <c r="G54" s="750">
        <v>47.85</v>
      </c>
      <c r="H54" s="750">
        <v>72.47</v>
      </c>
      <c r="I54" s="750">
        <v>31.32</v>
      </c>
      <c r="J54" s="750">
        <v>12.18</v>
      </c>
      <c r="K54" s="750">
        <v>231.42</v>
      </c>
      <c r="L54" s="743">
        <v>0</v>
      </c>
      <c r="M54" s="743">
        <v>0</v>
      </c>
      <c r="N54" s="743">
        <v>0</v>
      </c>
      <c r="O54" s="728">
        <f t="shared" si="16"/>
        <v>417.86</v>
      </c>
      <c r="P54" s="743">
        <f t="shared" si="3"/>
        <v>46.428888888888892</v>
      </c>
    </row>
    <row r="55" spans="1:16" s="309" customFormat="1" ht="13.5" customHeight="1" x14ac:dyDescent="0.2">
      <c r="A55" s="735" t="s">
        <v>308</v>
      </c>
      <c r="B55" s="736" t="s">
        <v>63</v>
      </c>
      <c r="C55" s="750">
        <v>652.46</v>
      </c>
      <c r="D55" s="750">
        <v>651.41999999999996</v>
      </c>
      <c r="E55" s="750">
        <v>715.43</v>
      </c>
      <c r="F55" s="750">
        <v>870.31</v>
      </c>
      <c r="G55" s="750">
        <v>675.63</v>
      </c>
      <c r="H55" s="750">
        <v>746.31</v>
      </c>
      <c r="I55" s="750">
        <v>727.54</v>
      </c>
      <c r="J55" s="750">
        <v>750.7</v>
      </c>
      <c r="K55" s="750">
        <v>730.36</v>
      </c>
      <c r="L55" s="743">
        <v>1019</v>
      </c>
      <c r="M55" s="743">
        <v>1019</v>
      </c>
      <c r="N55" s="743">
        <v>1019</v>
      </c>
      <c r="O55" s="728">
        <f t="shared" si="16"/>
        <v>9577.16</v>
      </c>
      <c r="P55" s="743">
        <f t="shared" si="3"/>
        <v>724.46222222222207</v>
      </c>
    </row>
    <row r="56" spans="1:16" s="309" customFormat="1" ht="13.5" customHeight="1" x14ac:dyDescent="0.2">
      <c r="A56" s="735" t="s">
        <v>309</v>
      </c>
      <c r="B56" s="736" t="s">
        <v>64</v>
      </c>
      <c r="C56" s="750">
        <v>452.59</v>
      </c>
      <c r="D56" s="750">
        <v>452.59</v>
      </c>
      <c r="E56" s="750">
        <v>452.59</v>
      </c>
      <c r="F56" s="750">
        <v>452.59</v>
      </c>
      <c r="G56" s="750">
        <v>208.8</v>
      </c>
      <c r="H56" s="750">
        <v>208.8</v>
      </c>
      <c r="I56" s="750">
        <v>208.8</v>
      </c>
      <c r="J56" s="750">
        <v>208.8</v>
      </c>
      <c r="K56" s="750">
        <v>208.8</v>
      </c>
      <c r="L56" s="743">
        <v>522</v>
      </c>
      <c r="M56" s="743">
        <v>522</v>
      </c>
      <c r="N56" s="743">
        <v>522</v>
      </c>
      <c r="O56" s="728">
        <f t="shared" si="16"/>
        <v>4420.3600000000006</v>
      </c>
      <c r="P56" s="743">
        <f t="shared" si="3"/>
        <v>317.15111111111116</v>
      </c>
    </row>
    <row r="57" spans="1:16" s="309" customFormat="1" ht="13.5" customHeight="1" x14ac:dyDescent="0.2">
      <c r="A57" s="735" t="s">
        <v>310</v>
      </c>
      <c r="B57" s="736" t="s">
        <v>311</v>
      </c>
      <c r="C57" s="750">
        <v>0</v>
      </c>
      <c r="D57" s="750">
        <v>0</v>
      </c>
      <c r="E57" s="750">
        <v>0</v>
      </c>
      <c r="F57" s="750">
        <v>0</v>
      </c>
      <c r="G57" s="750">
        <v>0</v>
      </c>
      <c r="H57" s="750">
        <v>35.32</v>
      </c>
      <c r="I57" s="750">
        <v>90.48</v>
      </c>
      <c r="J57" s="750">
        <v>13.04</v>
      </c>
      <c r="K57" s="750">
        <v>32.75</v>
      </c>
      <c r="L57" s="743">
        <v>0</v>
      </c>
      <c r="M57" s="743">
        <v>0</v>
      </c>
      <c r="N57" s="743">
        <v>0</v>
      </c>
      <c r="O57" s="728">
        <f t="shared" si="16"/>
        <v>171.59</v>
      </c>
      <c r="P57" s="743">
        <f t="shared" si="3"/>
        <v>19.065555555555555</v>
      </c>
    </row>
    <row r="58" spans="1:16" s="309" customFormat="1" ht="13.5" customHeight="1" x14ac:dyDescent="0.2">
      <c r="A58" s="735" t="s">
        <v>312</v>
      </c>
      <c r="B58" s="736" t="s">
        <v>313</v>
      </c>
      <c r="C58" s="750">
        <v>0</v>
      </c>
      <c r="D58" s="750">
        <v>0</v>
      </c>
      <c r="E58" s="750">
        <v>0</v>
      </c>
      <c r="F58" s="750">
        <v>0</v>
      </c>
      <c r="G58" s="750">
        <v>0</v>
      </c>
      <c r="H58" s="750">
        <v>0</v>
      </c>
      <c r="I58" s="750">
        <v>0</v>
      </c>
      <c r="J58" s="750">
        <v>0</v>
      </c>
      <c r="K58" s="750">
        <v>0</v>
      </c>
      <c r="L58" s="743">
        <v>0</v>
      </c>
      <c r="M58" s="743">
        <v>0</v>
      </c>
      <c r="N58" s="743">
        <v>0</v>
      </c>
      <c r="O58" s="728">
        <f t="shared" si="16"/>
        <v>0</v>
      </c>
      <c r="P58" s="743">
        <f t="shared" si="3"/>
        <v>0</v>
      </c>
    </row>
    <row r="59" spans="1:16" s="309" customFormat="1" ht="13.5" customHeight="1" x14ac:dyDescent="0.2">
      <c r="A59" s="735" t="s">
        <v>314</v>
      </c>
      <c r="B59" s="736" t="s">
        <v>150</v>
      </c>
      <c r="C59" s="750">
        <v>0</v>
      </c>
      <c r="D59" s="750">
        <v>0</v>
      </c>
      <c r="E59" s="750">
        <v>0</v>
      </c>
      <c r="F59" s="750">
        <v>0</v>
      </c>
      <c r="G59" s="750">
        <v>0</v>
      </c>
      <c r="H59" s="750">
        <v>0</v>
      </c>
      <c r="I59" s="750">
        <v>0</v>
      </c>
      <c r="J59" s="750">
        <v>0</v>
      </c>
      <c r="K59" s="750">
        <v>0</v>
      </c>
      <c r="L59" s="743">
        <v>0</v>
      </c>
      <c r="M59" s="743">
        <v>0</v>
      </c>
      <c r="N59" s="743">
        <v>0</v>
      </c>
      <c r="O59" s="728">
        <f t="shared" si="16"/>
        <v>0</v>
      </c>
      <c r="P59" s="743">
        <f t="shared" si="3"/>
        <v>0</v>
      </c>
    </row>
    <row r="60" spans="1:16" s="309" customFormat="1" ht="13.5" customHeight="1" x14ac:dyDescent="0.2">
      <c r="A60" s="735" t="s">
        <v>315</v>
      </c>
      <c r="B60" s="736" t="s">
        <v>65</v>
      </c>
      <c r="C60" s="750">
        <v>0</v>
      </c>
      <c r="D60" s="750">
        <v>0</v>
      </c>
      <c r="E60" s="750">
        <v>0</v>
      </c>
      <c r="F60" s="750">
        <v>0</v>
      </c>
      <c r="G60" s="750">
        <v>0</v>
      </c>
      <c r="H60" s="750">
        <v>0</v>
      </c>
      <c r="I60" s="750">
        <v>0</v>
      </c>
      <c r="J60" s="750">
        <v>0</v>
      </c>
      <c r="K60" s="750">
        <v>0</v>
      </c>
      <c r="L60" s="743">
        <v>0</v>
      </c>
      <c r="M60" s="743">
        <v>0</v>
      </c>
      <c r="N60" s="743">
        <v>0</v>
      </c>
      <c r="O60" s="728">
        <f t="shared" si="16"/>
        <v>0</v>
      </c>
      <c r="P60" s="743">
        <f t="shared" si="3"/>
        <v>0</v>
      </c>
    </row>
    <row r="61" spans="1:16" s="309" customFormat="1" ht="13.5" customHeight="1" x14ac:dyDescent="0.2">
      <c r="A61" s="735" t="s">
        <v>316</v>
      </c>
      <c r="B61" s="736" t="s">
        <v>317</v>
      </c>
      <c r="C61" s="750">
        <v>0</v>
      </c>
      <c r="D61" s="750">
        <v>0</v>
      </c>
      <c r="E61" s="750">
        <v>0</v>
      </c>
      <c r="F61" s="750">
        <v>0</v>
      </c>
      <c r="G61" s="750">
        <v>0</v>
      </c>
      <c r="H61" s="750">
        <v>0</v>
      </c>
      <c r="I61" s="750">
        <v>0</v>
      </c>
      <c r="J61" s="750">
        <v>0</v>
      </c>
      <c r="K61" s="750">
        <v>0</v>
      </c>
      <c r="L61" s="743">
        <v>0</v>
      </c>
      <c r="M61" s="743">
        <v>0</v>
      </c>
      <c r="N61" s="743">
        <v>0</v>
      </c>
      <c r="O61" s="728">
        <f t="shared" si="16"/>
        <v>0</v>
      </c>
      <c r="P61" s="743">
        <f t="shared" si="3"/>
        <v>0</v>
      </c>
    </row>
    <row r="62" spans="1:16" s="309" customFormat="1" ht="13.5" customHeight="1" x14ac:dyDescent="0.2">
      <c r="A62" s="735" t="s">
        <v>318</v>
      </c>
      <c r="B62" s="736" t="s">
        <v>151</v>
      </c>
      <c r="C62" s="750">
        <f>C10*100/87*3%</f>
        <v>143.94310344827588</v>
      </c>
      <c r="D62" s="750">
        <f>CONCATENATE(D10*100)/87*3%</f>
        <v>192.60448275862069</v>
      </c>
      <c r="E62" s="750">
        <f>CONCATENATE(E10*100)/87*3%</f>
        <v>1582.308275862069</v>
      </c>
      <c r="F62" s="750">
        <f t="shared" ref="F62:K62" si="20">F10*100/87*3%</f>
        <v>345.77379310344827</v>
      </c>
      <c r="G62" s="750">
        <f t="shared" si="20"/>
        <v>402.9268965517241</v>
      </c>
      <c r="H62" s="750">
        <f t="shared" si="20"/>
        <v>448.5965517241379</v>
      </c>
      <c r="I62" s="750">
        <f t="shared" si="20"/>
        <v>906.51482758620693</v>
      </c>
      <c r="J62" s="750">
        <f t="shared" si="20"/>
        <v>231.29793103448276</v>
      </c>
      <c r="K62" s="750">
        <f t="shared" si="20"/>
        <v>479.601724137931</v>
      </c>
      <c r="L62" s="743">
        <v>637.93103448275861</v>
      </c>
      <c r="M62" s="743">
        <v>637.93103448275861</v>
      </c>
      <c r="N62" s="743">
        <v>637.93103448275861</v>
      </c>
      <c r="O62" s="728">
        <f t="shared" si="16"/>
        <v>6647.3606896551737</v>
      </c>
      <c r="P62" s="743">
        <f t="shared" si="3"/>
        <v>525.9519540229885</v>
      </c>
    </row>
    <row r="63" spans="1:16" s="309" customFormat="1" ht="13.5" customHeight="1" x14ac:dyDescent="0.2">
      <c r="A63" s="735" t="s">
        <v>319</v>
      </c>
      <c r="B63" s="736" t="s">
        <v>320</v>
      </c>
      <c r="C63" s="750">
        <v>0</v>
      </c>
      <c r="D63" s="750">
        <v>0</v>
      </c>
      <c r="E63" s="750">
        <v>0</v>
      </c>
      <c r="F63" s="750">
        <v>0</v>
      </c>
      <c r="G63" s="750">
        <v>0</v>
      </c>
      <c r="H63" s="750">
        <v>0</v>
      </c>
      <c r="I63" s="750">
        <v>0</v>
      </c>
      <c r="J63" s="750">
        <v>0</v>
      </c>
      <c r="K63" s="750">
        <v>0</v>
      </c>
      <c r="L63" s="743">
        <v>0</v>
      </c>
      <c r="M63" s="743">
        <v>0</v>
      </c>
      <c r="N63" s="743">
        <v>0</v>
      </c>
      <c r="O63" s="728">
        <f t="shared" si="16"/>
        <v>0</v>
      </c>
      <c r="P63" s="743">
        <f t="shared" si="3"/>
        <v>0</v>
      </c>
    </row>
    <row r="64" spans="1:16" s="309" customFormat="1" ht="13.5" customHeight="1" x14ac:dyDescent="0.2">
      <c r="A64" s="735" t="s">
        <v>321</v>
      </c>
      <c r="B64" s="736" t="s">
        <v>322</v>
      </c>
      <c r="C64" s="750">
        <v>0</v>
      </c>
      <c r="D64" s="750">
        <v>0</v>
      </c>
      <c r="E64" s="750">
        <v>0</v>
      </c>
      <c r="F64" s="750">
        <v>0</v>
      </c>
      <c r="G64" s="750">
        <v>0</v>
      </c>
      <c r="H64" s="750">
        <v>0</v>
      </c>
      <c r="I64" s="750">
        <v>0</v>
      </c>
      <c r="J64" s="750">
        <v>0</v>
      </c>
      <c r="K64" s="750">
        <v>0</v>
      </c>
      <c r="L64" s="743">
        <v>0</v>
      </c>
      <c r="M64" s="743">
        <v>0</v>
      </c>
      <c r="N64" s="743">
        <v>0</v>
      </c>
      <c r="O64" s="728">
        <f t="shared" si="16"/>
        <v>0</v>
      </c>
      <c r="P64" s="743">
        <f t="shared" si="3"/>
        <v>0</v>
      </c>
    </row>
    <row r="65" spans="1:16" s="309" customFormat="1" ht="13.5" customHeight="1" x14ac:dyDescent="0.2">
      <c r="A65" s="735" t="s">
        <v>323</v>
      </c>
      <c r="B65" s="736" t="s">
        <v>324</v>
      </c>
      <c r="C65" s="750">
        <v>0</v>
      </c>
      <c r="D65" s="750">
        <v>0</v>
      </c>
      <c r="E65" s="750">
        <v>0</v>
      </c>
      <c r="F65" s="750">
        <v>0</v>
      </c>
      <c r="G65" s="750">
        <v>0</v>
      </c>
      <c r="H65" s="750">
        <v>0</v>
      </c>
      <c r="I65" s="750">
        <v>142.11000000000001</v>
      </c>
      <c r="J65" s="750">
        <v>0</v>
      </c>
      <c r="K65" s="750">
        <v>0</v>
      </c>
      <c r="L65" s="743">
        <v>0</v>
      </c>
      <c r="M65" s="743">
        <v>0</v>
      </c>
      <c r="N65" s="743">
        <v>0</v>
      </c>
      <c r="O65" s="728">
        <f t="shared" si="16"/>
        <v>142.11000000000001</v>
      </c>
      <c r="P65" s="743">
        <f t="shared" si="3"/>
        <v>15.790000000000001</v>
      </c>
    </row>
    <row r="66" spans="1:16" s="322" customFormat="1" ht="13.5" customHeight="1" x14ac:dyDescent="0.2">
      <c r="A66" s="735" t="s">
        <v>325</v>
      </c>
      <c r="B66" s="736" t="s">
        <v>326</v>
      </c>
      <c r="C66" s="750">
        <v>0</v>
      </c>
      <c r="D66" s="750">
        <v>0</v>
      </c>
      <c r="E66" s="750">
        <v>0</v>
      </c>
      <c r="F66" s="750">
        <v>0</v>
      </c>
      <c r="G66" s="750">
        <v>984.95</v>
      </c>
      <c r="H66" s="750">
        <v>0</v>
      </c>
      <c r="I66" s="750">
        <v>0</v>
      </c>
      <c r="J66" s="750">
        <v>0</v>
      </c>
      <c r="K66" s="750">
        <v>0</v>
      </c>
      <c r="L66" s="743">
        <v>0</v>
      </c>
      <c r="M66" s="743">
        <v>0</v>
      </c>
      <c r="N66" s="743">
        <v>0</v>
      </c>
      <c r="O66" s="728">
        <f t="shared" si="16"/>
        <v>984.95</v>
      </c>
      <c r="P66" s="743">
        <f t="shared" si="3"/>
        <v>109.4388888888889</v>
      </c>
    </row>
    <row r="67" spans="1:16" s="309" customFormat="1" ht="13.5" customHeight="1" x14ac:dyDescent="0.2">
      <c r="A67" s="735" t="s">
        <v>327</v>
      </c>
      <c r="B67" s="736" t="s">
        <v>328</v>
      </c>
      <c r="C67" s="750">
        <v>112.97</v>
      </c>
      <c r="D67" s="750">
        <v>60.68</v>
      </c>
      <c r="E67" s="750">
        <v>0</v>
      </c>
      <c r="F67" s="750">
        <v>201.77</v>
      </c>
      <c r="G67" s="750">
        <v>670.99</v>
      </c>
      <c r="H67" s="750">
        <v>59.68</v>
      </c>
      <c r="I67" s="750">
        <v>8.93</v>
      </c>
      <c r="J67" s="750">
        <v>63.45</v>
      </c>
      <c r="K67" s="750">
        <v>934.99</v>
      </c>
      <c r="L67" s="743">
        <v>0</v>
      </c>
      <c r="M67" s="743">
        <v>0</v>
      </c>
      <c r="N67" s="743">
        <v>0</v>
      </c>
      <c r="O67" s="728">
        <f t="shared" si="16"/>
        <v>2113.46</v>
      </c>
      <c r="P67" s="743">
        <f t="shared" si="3"/>
        <v>234.82888888888888</v>
      </c>
    </row>
    <row r="68" spans="1:16" s="309" customFormat="1" ht="13.5" customHeight="1" x14ac:dyDescent="0.2">
      <c r="A68" s="735" t="s">
        <v>329</v>
      </c>
      <c r="B68" s="736" t="s">
        <v>330</v>
      </c>
      <c r="C68" s="750">
        <v>0</v>
      </c>
      <c r="D68" s="750">
        <v>0</v>
      </c>
      <c r="E68" s="750">
        <v>0</v>
      </c>
      <c r="F68" s="750">
        <v>3958.5</v>
      </c>
      <c r="G68" s="750">
        <v>0</v>
      </c>
      <c r="H68" s="750">
        <v>0</v>
      </c>
      <c r="I68" s="750">
        <v>0</v>
      </c>
      <c r="J68" s="750">
        <v>7247.1</v>
      </c>
      <c r="K68" s="750">
        <v>0</v>
      </c>
      <c r="L68" s="743">
        <v>0</v>
      </c>
      <c r="M68" s="743">
        <v>0</v>
      </c>
      <c r="N68" s="743">
        <v>0</v>
      </c>
      <c r="O68" s="728">
        <f t="shared" si="16"/>
        <v>11205.6</v>
      </c>
      <c r="P68" s="743">
        <f t="shared" si="3"/>
        <v>1245.0666666666666</v>
      </c>
    </row>
    <row r="69" spans="1:16" s="309" customFormat="1" ht="13.5" customHeight="1" x14ac:dyDescent="0.2">
      <c r="A69" s="735" t="s">
        <v>331</v>
      </c>
      <c r="B69" s="736" t="s">
        <v>70</v>
      </c>
      <c r="C69" s="750">
        <v>0</v>
      </c>
      <c r="D69" s="750">
        <v>0</v>
      </c>
      <c r="E69" s="750">
        <v>0</v>
      </c>
      <c r="F69" s="750">
        <v>0</v>
      </c>
      <c r="G69" s="750">
        <v>0</v>
      </c>
      <c r="H69" s="750">
        <v>0</v>
      </c>
      <c r="I69" s="750">
        <v>8.2899999999999991</v>
      </c>
      <c r="J69" s="750">
        <v>17.75</v>
      </c>
      <c r="K69" s="750">
        <v>11.84</v>
      </c>
      <c r="L69" s="743">
        <v>0</v>
      </c>
      <c r="M69" s="743">
        <v>0</v>
      </c>
      <c r="N69" s="743">
        <v>0</v>
      </c>
      <c r="O69" s="728">
        <f t="shared" si="16"/>
        <v>37.879999999999995</v>
      </c>
      <c r="P69" s="743">
        <f t="shared" si="3"/>
        <v>4.2088888888888887</v>
      </c>
    </row>
    <row r="70" spans="1:16" s="309" customFormat="1" ht="13.5" customHeight="1" x14ac:dyDescent="0.2">
      <c r="A70" s="735" t="s">
        <v>332</v>
      </c>
      <c r="B70" s="736" t="s">
        <v>71</v>
      </c>
      <c r="C70" s="750">
        <v>457.64</v>
      </c>
      <c r="D70" s="750">
        <v>457.64</v>
      </c>
      <c r="E70" s="750">
        <v>457.64</v>
      </c>
      <c r="F70" s="750">
        <v>457.64</v>
      </c>
      <c r="G70" s="750">
        <v>339.3</v>
      </c>
      <c r="H70" s="750">
        <v>339.3</v>
      </c>
      <c r="I70" s="750">
        <v>339.3</v>
      </c>
      <c r="J70" s="750">
        <v>339.3</v>
      </c>
      <c r="K70" s="750">
        <v>339.3</v>
      </c>
      <c r="L70" s="743">
        <v>530</v>
      </c>
      <c r="M70" s="743">
        <v>530</v>
      </c>
      <c r="N70" s="743">
        <v>530</v>
      </c>
      <c r="O70" s="728">
        <f t="shared" si="16"/>
        <v>5117.0600000000013</v>
      </c>
      <c r="P70" s="743">
        <f t="shared" si="3"/>
        <v>391.89555555555563</v>
      </c>
    </row>
    <row r="71" spans="1:16" s="309" customFormat="1" ht="13.5" customHeight="1" x14ac:dyDescent="0.2">
      <c r="A71" s="735" t="s">
        <v>333</v>
      </c>
      <c r="B71" s="736" t="s">
        <v>334</v>
      </c>
      <c r="C71" s="750">
        <v>0</v>
      </c>
      <c r="D71" s="750">
        <v>0</v>
      </c>
      <c r="E71" s="750">
        <v>0</v>
      </c>
      <c r="F71" s="750">
        <v>0</v>
      </c>
      <c r="G71" s="750">
        <v>0</v>
      </c>
      <c r="H71" s="750">
        <v>0</v>
      </c>
      <c r="I71" s="750">
        <v>0</v>
      </c>
      <c r="J71" s="750">
        <v>0</v>
      </c>
      <c r="K71" s="750">
        <v>0</v>
      </c>
      <c r="L71" s="743">
        <v>0</v>
      </c>
      <c r="M71" s="743">
        <v>0</v>
      </c>
      <c r="N71" s="743">
        <v>0</v>
      </c>
      <c r="O71" s="728">
        <f t="shared" si="16"/>
        <v>0</v>
      </c>
      <c r="P71" s="743">
        <f t="shared" si="3"/>
        <v>0</v>
      </c>
    </row>
    <row r="72" spans="1:16" s="309" customFormat="1" ht="13.5" customHeight="1" x14ac:dyDescent="0.2">
      <c r="A72" s="735" t="s">
        <v>335</v>
      </c>
      <c r="B72" s="736" t="s">
        <v>73</v>
      </c>
      <c r="C72" s="750">
        <v>0</v>
      </c>
      <c r="D72" s="750">
        <v>0</v>
      </c>
      <c r="E72" s="750">
        <v>0</v>
      </c>
      <c r="F72" s="750">
        <v>0</v>
      </c>
      <c r="G72" s="750">
        <v>0</v>
      </c>
      <c r="H72" s="750">
        <v>0</v>
      </c>
      <c r="I72" s="750">
        <v>0</v>
      </c>
      <c r="J72" s="750">
        <v>0</v>
      </c>
      <c r="K72" s="750">
        <v>0</v>
      </c>
      <c r="L72" s="743">
        <v>0</v>
      </c>
      <c r="M72" s="743">
        <v>0</v>
      </c>
      <c r="N72" s="743">
        <v>0</v>
      </c>
      <c r="O72" s="728">
        <f t="shared" si="16"/>
        <v>0</v>
      </c>
      <c r="P72" s="743">
        <f t="shared" si="3"/>
        <v>0</v>
      </c>
    </row>
    <row r="73" spans="1:16" s="309" customFormat="1" ht="13.5" customHeight="1" x14ac:dyDescent="0.2">
      <c r="A73" s="735" t="s">
        <v>336</v>
      </c>
      <c r="B73" s="736" t="s">
        <v>337</v>
      </c>
      <c r="C73" s="750">
        <v>0</v>
      </c>
      <c r="D73" s="750">
        <v>0</v>
      </c>
      <c r="E73" s="750">
        <v>0</v>
      </c>
      <c r="F73" s="750">
        <v>0</v>
      </c>
      <c r="G73" s="750">
        <v>0</v>
      </c>
      <c r="H73" s="750">
        <v>0</v>
      </c>
      <c r="I73" s="750">
        <v>0</v>
      </c>
      <c r="J73" s="750">
        <v>0</v>
      </c>
      <c r="K73" s="750">
        <v>0</v>
      </c>
      <c r="L73" s="743">
        <v>0</v>
      </c>
      <c r="M73" s="743">
        <v>0</v>
      </c>
      <c r="N73" s="743">
        <v>0</v>
      </c>
      <c r="O73" s="728">
        <f t="shared" si="16"/>
        <v>0</v>
      </c>
      <c r="P73" s="743">
        <f t="shared" si="3"/>
        <v>0</v>
      </c>
    </row>
    <row r="74" spans="1:16" s="309" customFormat="1" ht="13.5" customHeight="1" x14ac:dyDescent="0.2">
      <c r="A74" s="735" t="s">
        <v>338</v>
      </c>
      <c r="B74" s="736" t="s">
        <v>339</v>
      </c>
      <c r="C74" s="750">
        <v>0</v>
      </c>
      <c r="D74" s="750">
        <v>0</v>
      </c>
      <c r="E74" s="750">
        <v>0</v>
      </c>
      <c r="F74" s="750">
        <v>0</v>
      </c>
      <c r="G74" s="750">
        <v>0</v>
      </c>
      <c r="H74" s="750">
        <v>0</v>
      </c>
      <c r="I74" s="750">
        <v>0</v>
      </c>
      <c r="J74" s="750">
        <v>0</v>
      </c>
      <c r="K74" s="750">
        <v>0</v>
      </c>
      <c r="L74" s="743">
        <v>0</v>
      </c>
      <c r="M74" s="743">
        <v>0</v>
      </c>
      <c r="N74" s="743">
        <v>0</v>
      </c>
      <c r="O74" s="728">
        <f t="shared" ref="O74:O96" si="21">SUM(C74:N74)</f>
        <v>0</v>
      </c>
      <c r="P74" s="743">
        <f t="shared" si="3"/>
        <v>0</v>
      </c>
    </row>
    <row r="75" spans="1:16" s="309" customFormat="1" ht="13.5" customHeight="1" x14ac:dyDescent="0.2">
      <c r="A75" s="735" t="s">
        <v>340</v>
      </c>
      <c r="B75" s="736" t="s">
        <v>341</v>
      </c>
      <c r="C75" s="750">
        <v>0</v>
      </c>
      <c r="D75" s="750">
        <v>0</v>
      </c>
      <c r="E75" s="750">
        <v>0</v>
      </c>
      <c r="F75" s="750">
        <v>0</v>
      </c>
      <c r="G75" s="750">
        <v>0</v>
      </c>
      <c r="H75" s="750">
        <v>0</v>
      </c>
      <c r="I75" s="750">
        <v>0</v>
      </c>
      <c r="J75" s="750">
        <v>0</v>
      </c>
      <c r="K75" s="750">
        <v>0</v>
      </c>
      <c r="L75" s="743">
        <v>0</v>
      </c>
      <c r="M75" s="743">
        <v>0</v>
      </c>
      <c r="N75" s="743">
        <v>0</v>
      </c>
      <c r="O75" s="728">
        <f t="shared" si="21"/>
        <v>0</v>
      </c>
      <c r="P75" s="743">
        <f t="shared" ref="P75:P96" si="22">+AVERAGE(C75:K75)</f>
        <v>0</v>
      </c>
    </row>
    <row r="76" spans="1:16" s="309" customFormat="1" ht="13.5" customHeight="1" x14ac:dyDescent="0.2">
      <c r="A76" s="735" t="s">
        <v>342</v>
      </c>
      <c r="B76" s="736" t="s">
        <v>74</v>
      </c>
      <c r="C76" s="750">
        <v>0</v>
      </c>
      <c r="D76" s="750">
        <v>0</v>
      </c>
      <c r="E76" s="750">
        <v>0</v>
      </c>
      <c r="F76" s="750">
        <v>0</v>
      </c>
      <c r="G76" s="750">
        <v>0</v>
      </c>
      <c r="H76" s="750">
        <v>0</v>
      </c>
      <c r="I76" s="750">
        <v>0</v>
      </c>
      <c r="J76" s="750">
        <v>0</v>
      </c>
      <c r="K76" s="750">
        <v>0</v>
      </c>
      <c r="L76" s="743">
        <v>0</v>
      </c>
      <c r="M76" s="743">
        <v>0</v>
      </c>
      <c r="N76" s="743">
        <v>0</v>
      </c>
      <c r="O76" s="728">
        <f t="shared" si="21"/>
        <v>0</v>
      </c>
      <c r="P76" s="743">
        <f t="shared" si="22"/>
        <v>0</v>
      </c>
    </row>
    <row r="77" spans="1:16" s="309" customFormat="1" ht="13.5" customHeight="1" x14ac:dyDescent="0.2">
      <c r="A77" s="735" t="s">
        <v>343</v>
      </c>
      <c r="B77" s="736" t="s">
        <v>75</v>
      </c>
      <c r="C77" s="750">
        <v>0</v>
      </c>
      <c r="D77" s="750">
        <v>0</v>
      </c>
      <c r="E77" s="750">
        <v>0</v>
      </c>
      <c r="F77" s="750">
        <v>520.61</v>
      </c>
      <c r="G77" s="750">
        <v>0</v>
      </c>
      <c r="H77" s="750">
        <v>0</v>
      </c>
      <c r="I77" s="750">
        <v>1851.36</v>
      </c>
      <c r="J77" s="750">
        <v>0</v>
      </c>
      <c r="K77" s="750">
        <v>1388.52</v>
      </c>
      <c r="L77" s="743">
        <v>0</v>
      </c>
      <c r="M77" s="743">
        <v>0</v>
      </c>
      <c r="N77" s="743">
        <v>0</v>
      </c>
      <c r="O77" s="728">
        <f t="shared" si="21"/>
        <v>3760.49</v>
      </c>
      <c r="P77" s="743">
        <f t="shared" si="22"/>
        <v>417.83222222222219</v>
      </c>
    </row>
    <row r="78" spans="1:16" s="309" customFormat="1" ht="13.5" customHeight="1" x14ac:dyDescent="0.2">
      <c r="A78" s="735" t="s">
        <v>344</v>
      </c>
      <c r="B78" s="736" t="s">
        <v>345</v>
      </c>
      <c r="C78" s="750">
        <v>0</v>
      </c>
      <c r="D78" s="750">
        <v>0</v>
      </c>
      <c r="E78" s="750">
        <v>0</v>
      </c>
      <c r="F78" s="750">
        <v>0</v>
      </c>
      <c r="G78" s="750">
        <v>0</v>
      </c>
      <c r="H78" s="750">
        <v>0</v>
      </c>
      <c r="I78" s="750">
        <v>0</v>
      </c>
      <c r="J78" s="750">
        <v>0</v>
      </c>
      <c r="K78" s="750">
        <v>0</v>
      </c>
      <c r="L78" s="743">
        <v>0</v>
      </c>
      <c r="M78" s="743">
        <v>0</v>
      </c>
      <c r="N78" s="743">
        <v>0</v>
      </c>
      <c r="O78" s="728">
        <f t="shared" si="21"/>
        <v>0</v>
      </c>
      <c r="P78" s="743">
        <f t="shared" si="22"/>
        <v>0</v>
      </c>
    </row>
    <row r="79" spans="1:16" s="309" customFormat="1" ht="13.5" customHeight="1" x14ac:dyDescent="0.2">
      <c r="A79" s="735" t="s">
        <v>346</v>
      </c>
      <c r="B79" s="736" t="s">
        <v>347</v>
      </c>
      <c r="C79" s="750">
        <v>0</v>
      </c>
      <c r="D79" s="750">
        <v>0</v>
      </c>
      <c r="E79" s="750">
        <v>0</v>
      </c>
      <c r="F79" s="750">
        <v>0</v>
      </c>
      <c r="G79" s="750">
        <v>0</v>
      </c>
      <c r="H79" s="750">
        <v>0</v>
      </c>
      <c r="I79" s="750">
        <v>0</v>
      </c>
      <c r="J79" s="750">
        <v>0</v>
      </c>
      <c r="K79" s="750">
        <v>0</v>
      </c>
      <c r="L79" s="743">
        <v>0</v>
      </c>
      <c r="M79" s="743">
        <v>0</v>
      </c>
      <c r="N79" s="743">
        <v>0</v>
      </c>
      <c r="O79" s="728">
        <f t="shared" si="21"/>
        <v>0</v>
      </c>
      <c r="P79" s="743">
        <f t="shared" si="22"/>
        <v>0</v>
      </c>
    </row>
    <row r="80" spans="1:16" s="309" customFormat="1" ht="13.5" customHeight="1" x14ac:dyDescent="0.2">
      <c r="A80" s="735" t="s">
        <v>348</v>
      </c>
      <c r="B80" s="736" t="s">
        <v>242</v>
      </c>
      <c r="C80" s="750">
        <v>0</v>
      </c>
      <c r="D80" s="750">
        <v>0</v>
      </c>
      <c r="E80" s="750">
        <v>0</v>
      </c>
      <c r="F80" s="750">
        <v>0</v>
      </c>
      <c r="G80" s="750">
        <v>0</v>
      </c>
      <c r="H80" s="750">
        <v>0</v>
      </c>
      <c r="I80" s="750">
        <v>0</v>
      </c>
      <c r="J80" s="750">
        <v>0</v>
      </c>
      <c r="K80" s="750">
        <v>0</v>
      </c>
      <c r="L80" s="743">
        <v>0</v>
      </c>
      <c r="M80" s="743">
        <v>0</v>
      </c>
      <c r="N80" s="743">
        <v>0</v>
      </c>
      <c r="O80" s="728">
        <f t="shared" si="21"/>
        <v>0</v>
      </c>
      <c r="P80" s="743">
        <f t="shared" si="22"/>
        <v>0</v>
      </c>
    </row>
    <row r="81" spans="1:16" s="309" customFormat="1" ht="13.5" customHeight="1" x14ac:dyDescent="0.2">
      <c r="A81" s="735" t="s">
        <v>349</v>
      </c>
      <c r="B81" s="736" t="s">
        <v>69</v>
      </c>
      <c r="C81" s="750">
        <v>248.66</v>
      </c>
      <c r="D81" s="750">
        <v>0</v>
      </c>
      <c r="E81" s="750">
        <v>0</v>
      </c>
      <c r="F81" s="750">
        <v>0</v>
      </c>
      <c r="G81" s="750">
        <v>173.57</v>
      </c>
      <c r="H81" s="750">
        <v>0</v>
      </c>
      <c r="I81" s="750">
        <v>54.81</v>
      </c>
      <c r="J81" s="750">
        <v>0</v>
      </c>
      <c r="K81" s="750">
        <v>0</v>
      </c>
      <c r="L81" s="743">
        <v>0</v>
      </c>
      <c r="M81" s="743">
        <v>0</v>
      </c>
      <c r="N81" s="743">
        <v>0</v>
      </c>
      <c r="O81" s="728">
        <f t="shared" si="21"/>
        <v>477.04</v>
      </c>
      <c r="P81" s="743">
        <f t="shared" si="22"/>
        <v>53.004444444444445</v>
      </c>
    </row>
    <row r="82" spans="1:16" s="309" customFormat="1" ht="13.5" customHeight="1" x14ac:dyDescent="0.2">
      <c r="A82" s="735" t="s">
        <v>349</v>
      </c>
      <c r="B82" s="736" t="s">
        <v>77</v>
      </c>
      <c r="C82" s="750">
        <v>1698.8230000000003</v>
      </c>
      <c r="D82" s="750">
        <v>1916.7421000000006</v>
      </c>
      <c r="E82" s="750">
        <v>9364.7028999999984</v>
      </c>
      <c r="F82" s="750">
        <v>2609.2600000000002</v>
      </c>
      <c r="G82" s="750">
        <v>2222.7205000000004</v>
      </c>
      <c r="H82" s="750">
        <v>9591.168300000003</v>
      </c>
      <c r="I82" s="750">
        <v>3800.0256000000004</v>
      </c>
      <c r="J82" s="750">
        <v>3632.7480000000005</v>
      </c>
      <c r="K82" s="750">
        <v>11670.654800000002</v>
      </c>
      <c r="L82" s="743">
        <v>3379.6056839020007</v>
      </c>
      <c r="M82" s="743">
        <v>3209.7310839020006</v>
      </c>
      <c r="N82" s="743">
        <v>10543.195683902002</v>
      </c>
      <c r="O82" s="728">
        <f t="shared" si="21"/>
        <v>63639.377651706018</v>
      </c>
      <c r="P82" s="743">
        <f t="shared" si="22"/>
        <v>5167.4272444444459</v>
      </c>
    </row>
    <row r="83" spans="1:16" s="294" customFormat="1" ht="13.5" customHeight="1" x14ac:dyDescent="0.2">
      <c r="A83" s="735" t="s">
        <v>349</v>
      </c>
      <c r="B83" s="736" t="s">
        <v>79</v>
      </c>
      <c r="C83" s="750">
        <v>6286.28</v>
      </c>
      <c r="D83" s="750">
        <v>6657.6</v>
      </c>
      <c r="E83" s="750">
        <v>8147.25</v>
      </c>
      <c r="F83" s="750">
        <v>7481.06</v>
      </c>
      <c r="G83" s="750">
        <v>7840.8253000000013</v>
      </c>
      <c r="H83" s="750">
        <v>8318.492000000002</v>
      </c>
      <c r="I83" s="750">
        <v>7393.8297999999995</v>
      </c>
      <c r="J83" s="750">
        <v>7641.6382000000012</v>
      </c>
      <c r="K83" s="750">
        <v>7494.6416999999992</v>
      </c>
      <c r="L83" s="743">
        <v>8290.6544000000013</v>
      </c>
      <c r="M83" s="743">
        <v>7735.2457000000004</v>
      </c>
      <c r="N83" s="743">
        <v>7577.1150000000007</v>
      </c>
      <c r="O83" s="728">
        <f t="shared" si="21"/>
        <v>90864.632100000017</v>
      </c>
      <c r="P83" s="743">
        <f t="shared" si="22"/>
        <v>7473.5130000000017</v>
      </c>
    </row>
    <row r="84" spans="1:16" s="294" customFormat="1" ht="13.5" customHeight="1" x14ac:dyDescent="0.2">
      <c r="A84" s="735" t="s">
        <v>350</v>
      </c>
      <c r="B84" s="736" t="s">
        <v>351</v>
      </c>
      <c r="C84" s="750">
        <v>0</v>
      </c>
      <c r="D84" s="750">
        <v>0</v>
      </c>
      <c r="E84" s="750">
        <v>0</v>
      </c>
      <c r="F84" s="750">
        <v>0</v>
      </c>
      <c r="G84" s="750">
        <v>0</v>
      </c>
      <c r="H84" s="750">
        <v>0</v>
      </c>
      <c r="I84" s="750">
        <v>0</v>
      </c>
      <c r="J84" s="750">
        <v>0</v>
      </c>
      <c r="K84" s="750">
        <v>0</v>
      </c>
      <c r="L84" s="743">
        <v>0</v>
      </c>
      <c r="M84" s="743">
        <v>0</v>
      </c>
      <c r="N84" s="743">
        <v>0</v>
      </c>
      <c r="O84" s="728">
        <f t="shared" si="21"/>
        <v>0</v>
      </c>
      <c r="P84" s="743">
        <f t="shared" si="22"/>
        <v>0</v>
      </c>
    </row>
    <row r="85" spans="1:16" s="309" customFormat="1" ht="13.5" customHeight="1" x14ac:dyDescent="0.2">
      <c r="A85" s="725" t="s">
        <v>354</v>
      </c>
      <c r="B85" s="726" t="s">
        <v>355</v>
      </c>
      <c r="C85" s="727">
        <f>C86+C88+C90+C92+C94</f>
        <v>0</v>
      </c>
      <c r="D85" s="727">
        <f t="shared" ref="D85:N85" si="23">D86+D88+D90+D92+D94</f>
        <v>0</v>
      </c>
      <c r="E85" s="727">
        <f t="shared" si="23"/>
        <v>0</v>
      </c>
      <c r="F85" s="727">
        <f t="shared" si="23"/>
        <v>0</v>
      </c>
      <c r="G85" s="727">
        <f t="shared" si="23"/>
        <v>0</v>
      </c>
      <c r="H85" s="727">
        <f t="shared" si="23"/>
        <v>0</v>
      </c>
      <c r="I85" s="727">
        <f t="shared" si="23"/>
        <v>0</v>
      </c>
      <c r="J85" s="727">
        <f t="shared" si="23"/>
        <v>0</v>
      </c>
      <c r="K85" s="727">
        <f t="shared" si="23"/>
        <v>0</v>
      </c>
      <c r="L85" s="727">
        <f t="shared" si="23"/>
        <v>0</v>
      </c>
      <c r="M85" s="727">
        <f t="shared" si="23"/>
        <v>0</v>
      </c>
      <c r="N85" s="727">
        <f t="shared" si="23"/>
        <v>0</v>
      </c>
      <c r="O85" s="728">
        <f t="shared" si="21"/>
        <v>0</v>
      </c>
      <c r="P85" s="727">
        <f t="shared" si="22"/>
        <v>0</v>
      </c>
    </row>
    <row r="86" spans="1:16" s="309" customFormat="1" ht="13.5" customHeight="1" x14ac:dyDescent="0.2">
      <c r="A86" s="758" t="s">
        <v>356</v>
      </c>
      <c r="B86" s="732" t="s">
        <v>357</v>
      </c>
      <c r="C86" s="733">
        <f>C87</f>
        <v>0</v>
      </c>
      <c r="D86" s="733">
        <f t="shared" ref="D86:N86" si="24">D87</f>
        <v>0</v>
      </c>
      <c r="E86" s="733">
        <f t="shared" si="24"/>
        <v>0</v>
      </c>
      <c r="F86" s="733">
        <f t="shared" si="24"/>
        <v>0</v>
      </c>
      <c r="G86" s="733">
        <f t="shared" si="24"/>
        <v>0</v>
      </c>
      <c r="H86" s="733">
        <f t="shared" si="24"/>
        <v>0</v>
      </c>
      <c r="I86" s="733">
        <f t="shared" si="24"/>
        <v>0</v>
      </c>
      <c r="J86" s="733">
        <f t="shared" si="24"/>
        <v>0</v>
      </c>
      <c r="K86" s="733">
        <f t="shared" si="24"/>
        <v>0</v>
      </c>
      <c r="L86" s="733">
        <f t="shared" si="24"/>
        <v>0</v>
      </c>
      <c r="M86" s="733">
        <f t="shared" si="24"/>
        <v>0</v>
      </c>
      <c r="N86" s="733">
        <f t="shared" si="24"/>
        <v>0</v>
      </c>
      <c r="O86" s="728">
        <f t="shared" si="21"/>
        <v>0</v>
      </c>
      <c r="P86" s="733">
        <f t="shared" si="22"/>
        <v>0</v>
      </c>
    </row>
    <row r="87" spans="1:16" s="309" customFormat="1" ht="13.5" customHeight="1" x14ac:dyDescent="0.2">
      <c r="A87" s="735" t="s">
        <v>358</v>
      </c>
      <c r="B87" s="736" t="s">
        <v>359</v>
      </c>
      <c r="C87" s="761">
        <v>0</v>
      </c>
      <c r="D87" s="761">
        <v>0</v>
      </c>
      <c r="E87" s="761">
        <v>0</v>
      </c>
      <c r="F87" s="761">
        <v>0</v>
      </c>
      <c r="G87" s="761">
        <v>0</v>
      </c>
      <c r="H87" s="761">
        <v>0</v>
      </c>
      <c r="I87" s="761">
        <v>0</v>
      </c>
      <c r="J87" s="761">
        <v>0</v>
      </c>
      <c r="K87" s="761">
        <v>0</v>
      </c>
      <c r="L87" s="761">
        <v>0</v>
      </c>
      <c r="M87" s="761">
        <v>0</v>
      </c>
      <c r="N87" s="761">
        <v>0</v>
      </c>
      <c r="O87" s="728">
        <f t="shared" si="21"/>
        <v>0</v>
      </c>
      <c r="P87" s="761">
        <f t="shared" si="22"/>
        <v>0</v>
      </c>
    </row>
    <row r="88" spans="1:16" s="309" customFormat="1" ht="13.5" customHeight="1" x14ac:dyDescent="0.2">
      <c r="A88" s="758" t="s">
        <v>360</v>
      </c>
      <c r="B88" s="732" t="s">
        <v>361</v>
      </c>
      <c r="C88" s="733">
        <f>C89</f>
        <v>0</v>
      </c>
      <c r="D88" s="733">
        <f t="shared" ref="D88:N88" si="25">D89</f>
        <v>0</v>
      </c>
      <c r="E88" s="733">
        <f t="shared" si="25"/>
        <v>0</v>
      </c>
      <c r="F88" s="733">
        <f t="shared" si="25"/>
        <v>0</v>
      </c>
      <c r="G88" s="733">
        <f t="shared" si="25"/>
        <v>0</v>
      </c>
      <c r="H88" s="733">
        <f t="shared" si="25"/>
        <v>0</v>
      </c>
      <c r="I88" s="733">
        <f t="shared" si="25"/>
        <v>0</v>
      </c>
      <c r="J88" s="733">
        <f t="shared" si="25"/>
        <v>0</v>
      </c>
      <c r="K88" s="733">
        <f t="shared" si="25"/>
        <v>0</v>
      </c>
      <c r="L88" s="733">
        <f t="shared" si="25"/>
        <v>0</v>
      </c>
      <c r="M88" s="733">
        <f t="shared" si="25"/>
        <v>0</v>
      </c>
      <c r="N88" s="733">
        <f t="shared" si="25"/>
        <v>0</v>
      </c>
      <c r="O88" s="728">
        <f t="shared" si="21"/>
        <v>0</v>
      </c>
      <c r="P88" s="733">
        <f t="shared" si="22"/>
        <v>0</v>
      </c>
    </row>
    <row r="89" spans="1:16" s="294" customFormat="1" ht="13.5" customHeight="1" x14ac:dyDescent="0.2">
      <c r="A89" s="735" t="s">
        <v>362</v>
      </c>
      <c r="B89" s="736" t="s">
        <v>363</v>
      </c>
      <c r="C89" s="761">
        <v>0</v>
      </c>
      <c r="D89" s="761">
        <v>0</v>
      </c>
      <c r="E89" s="761">
        <v>0</v>
      </c>
      <c r="F89" s="761">
        <v>0</v>
      </c>
      <c r="G89" s="761">
        <v>0</v>
      </c>
      <c r="H89" s="761">
        <v>0</v>
      </c>
      <c r="I89" s="761">
        <v>0</v>
      </c>
      <c r="J89" s="761">
        <v>0</v>
      </c>
      <c r="K89" s="761">
        <v>0</v>
      </c>
      <c r="L89" s="761">
        <v>0</v>
      </c>
      <c r="M89" s="761">
        <v>0</v>
      </c>
      <c r="N89" s="761">
        <v>0</v>
      </c>
      <c r="O89" s="728">
        <f t="shared" si="21"/>
        <v>0</v>
      </c>
      <c r="P89" s="761">
        <f t="shared" si="22"/>
        <v>0</v>
      </c>
    </row>
    <row r="90" spans="1:16" s="309" customFormat="1" ht="13.5" customHeight="1" x14ac:dyDescent="0.2">
      <c r="A90" s="758" t="s">
        <v>364</v>
      </c>
      <c r="B90" s="732" t="s">
        <v>365</v>
      </c>
      <c r="C90" s="733">
        <f>C91</f>
        <v>0</v>
      </c>
      <c r="D90" s="733">
        <f t="shared" ref="D90:N90" si="26">D91</f>
        <v>0</v>
      </c>
      <c r="E90" s="733">
        <f t="shared" si="26"/>
        <v>0</v>
      </c>
      <c r="F90" s="733">
        <f t="shared" si="26"/>
        <v>0</v>
      </c>
      <c r="G90" s="733">
        <f t="shared" si="26"/>
        <v>0</v>
      </c>
      <c r="H90" s="733">
        <f t="shared" si="26"/>
        <v>0</v>
      </c>
      <c r="I90" s="733">
        <f t="shared" si="26"/>
        <v>0</v>
      </c>
      <c r="J90" s="733">
        <f t="shared" si="26"/>
        <v>0</v>
      </c>
      <c r="K90" s="733">
        <f t="shared" si="26"/>
        <v>0</v>
      </c>
      <c r="L90" s="733">
        <f t="shared" si="26"/>
        <v>0</v>
      </c>
      <c r="M90" s="733">
        <f t="shared" si="26"/>
        <v>0</v>
      </c>
      <c r="N90" s="733">
        <f t="shared" si="26"/>
        <v>0</v>
      </c>
      <c r="O90" s="728">
        <f t="shared" si="21"/>
        <v>0</v>
      </c>
      <c r="P90" s="733">
        <f t="shared" si="22"/>
        <v>0</v>
      </c>
    </row>
    <row r="91" spans="1:16" s="294" customFormat="1" ht="13.5" customHeight="1" x14ac:dyDescent="0.2">
      <c r="A91" s="735" t="s">
        <v>366</v>
      </c>
      <c r="B91" s="736" t="s">
        <v>367</v>
      </c>
      <c r="C91" s="761">
        <v>0</v>
      </c>
      <c r="D91" s="761">
        <v>0</v>
      </c>
      <c r="E91" s="761">
        <v>0</v>
      </c>
      <c r="F91" s="761">
        <v>0</v>
      </c>
      <c r="G91" s="761">
        <v>0</v>
      </c>
      <c r="H91" s="761">
        <v>0</v>
      </c>
      <c r="I91" s="761">
        <v>0</v>
      </c>
      <c r="J91" s="761">
        <v>0</v>
      </c>
      <c r="K91" s="761">
        <v>0</v>
      </c>
      <c r="L91" s="761">
        <v>0</v>
      </c>
      <c r="M91" s="761">
        <v>0</v>
      </c>
      <c r="N91" s="761">
        <v>0</v>
      </c>
      <c r="O91" s="728">
        <f t="shared" si="21"/>
        <v>0</v>
      </c>
      <c r="P91" s="761">
        <f t="shared" si="22"/>
        <v>0</v>
      </c>
    </row>
    <row r="92" spans="1:16" s="309" customFormat="1" ht="13.5" customHeight="1" x14ac:dyDescent="0.2">
      <c r="A92" s="758" t="s">
        <v>368</v>
      </c>
      <c r="B92" s="732" t="s">
        <v>369</v>
      </c>
      <c r="C92" s="733">
        <f>C93</f>
        <v>0</v>
      </c>
      <c r="D92" s="733">
        <f t="shared" ref="D92:N92" si="27">D93</f>
        <v>0</v>
      </c>
      <c r="E92" s="733">
        <f t="shared" si="27"/>
        <v>0</v>
      </c>
      <c r="F92" s="733">
        <f t="shared" si="27"/>
        <v>0</v>
      </c>
      <c r="G92" s="733">
        <f t="shared" si="27"/>
        <v>0</v>
      </c>
      <c r="H92" s="733">
        <f t="shared" si="27"/>
        <v>0</v>
      </c>
      <c r="I92" s="733">
        <f t="shared" si="27"/>
        <v>0</v>
      </c>
      <c r="J92" s="733">
        <f t="shared" si="27"/>
        <v>0</v>
      </c>
      <c r="K92" s="733">
        <f t="shared" si="27"/>
        <v>0</v>
      </c>
      <c r="L92" s="733">
        <f t="shared" si="27"/>
        <v>0</v>
      </c>
      <c r="M92" s="733">
        <f t="shared" si="27"/>
        <v>0</v>
      </c>
      <c r="N92" s="733">
        <f t="shared" si="27"/>
        <v>0</v>
      </c>
      <c r="O92" s="728">
        <f t="shared" si="21"/>
        <v>0</v>
      </c>
      <c r="P92" s="733">
        <f t="shared" si="22"/>
        <v>0</v>
      </c>
    </row>
    <row r="93" spans="1:16" s="294" customFormat="1" ht="13.5" customHeight="1" x14ac:dyDescent="0.2">
      <c r="A93" s="735" t="s">
        <v>370</v>
      </c>
      <c r="B93" s="736" t="s">
        <v>371</v>
      </c>
      <c r="C93" s="761">
        <v>0</v>
      </c>
      <c r="D93" s="761">
        <v>0</v>
      </c>
      <c r="E93" s="761">
        <v>0</v>
      </c>
      <c r="F93" s="761">
        <v>0</v>
      </c>
      <c r="G93" s="761">
        <v>0</v>
      </c>
      <c r="H93" s="761">
        <v>0</v>
      </c>
      <c r="I93" s="761">
        <v>0</v>
      </c>
      <c r="J93" s="761">
        <v>0</v>
      </c>
      <c r="K93" s="761">
        <v>0</v>
      </c>
      <c r="L93" s="761">
        <v>0</v>
      </c>
      <c r="M93" s="761">
        <v>0</v>
      </c>
      <c r="N93" s="761">
        <v>0</v>
      </c>
      <c r="O93" s="728">
        <f t="shared" si="21"/>
        <v>0</v>
      </c>
      <c r="P93" s="761">
        <f t="shared" si="22"/>
        <v>0</v>
      </c>
    </row>
    <row r="94" spans="1:16" s="294" customFormat="1" ht="13.5" customHeight="1" x14ac:dyDescent="0.2">
      <c r="A94" s="758" t="s">
        <v>372</v>
      </c>
      <c r="B94" s="732" t="s">
        <v>373</v>
      </c>
      <c r="C94" s="733">
        <f>C95</f>
        <v>0</v>
      </c>
      <c r="D94" s="733">
        <f t="shared" ref="D94:N94" si="28">D95</f>
        <v>0</v>
      </c>
      <c r="E94" s="733">
        <f t="shared" si="28"/>
        <v>0</v>
      </c>
      <c r="F94" s="733">
        <f t="shared" si="28"/>
        <v>0</v>
      </c>
      <c r="G94" s="733">
        <f t="shared" si="28"/>
        <v>0</v>
      </c>
      <c r="H94" s="733">
        <f t="shared" si="28"/>
        <v>0</v>
      </c>
      <c r="I94" s="733">
        <f t="shared" si="28"/>
        <v>0</v>
      </c>
      <c r="J94" s="733">
        <f t="shared" si="28"/>
        <v>0</v>
      </c>
      <c r="K94" s="733">
        <f t="shared" si="28"/>
        <v>0</v>
      </c>
      <c r="L94" s="733">
        <f t="shared" si="28"/>
        <v>0</v>
      </c>
      <c r="M94" s="733">
        <f t="shared" si="28"/>
        <v>0</v>
      </c>
      <c r="N94" s="733">
        <f t="shared" si="28"/>
        <v>0</v>
      </c>
      <c r="O94" s="728">
        <f t="shared" si="21"/>
        <v>0</v>
      </c>
      <c r="P94" s="733">
        <f t="shared" si="22"/>
        <v>0</v>
      </c>
    </row>
    <row r="95" spans="1:16" ht="13.5" customHeight="1" x14ac:dyDescent="0.25">
      <c r="A95" s="735" t="s">
        <v>374</v>
      </c>
      <c r="B95" s="736" t="s">
        <v>375</v>
      </c>
      <c r="C95" s="761">
        <v>0</v>
      </c>
      <c r="D95" s="761">
        <v>0</v>
      </c>
      <c r="E95" s="761">
        <v>0</v>
      </c>
      <c r="F95" s="761">
        <v>0</v>
      </c>
      <c r="G95" s="761">
        <v>0</v>
      </c>
      <c r="H95" s="761">
        <v>0</v>
      </c>
      <c r="I95" s="761">
        <v>0</v>
      </c>
      <c r="J95" s="761">
        <v>0</v>
      </c>
      <c r="K95" s="761">
        <v>0</v>
      </c>
      <c r="L95" s="761">
        <v>0</v>
      </c>
      <c r="M95" s="761">
        <v>0</v>
      </c>
      <c r="N95" s="761">
        <v>0</v>
      </c>
      <c r="O95" s="728">
        <f t="shared" si="21"/>
        <v>0</v>
      </c>
      <c r="P95" s="761">
        <f t="shared" si="22"/>
        <v>0</v>
      </c>
    </row>
    <row r="96" spans="1:16" x14ac:dyDescent="0.25">
      <c r="A96" s="763"/>
      <c r="B96" s="720" t="s">
        <v>376</v>
      </c>
      <c r="C96" s="721">
        <f t="shared" ref="C96:N96" si="29">C10-C33</f>
        <v>-5897.4361034482754</v>
      </c>
      <c r="D96" s="721">
        <f t="shared" si="29"/>
        <v>-4803.7465827586229</v>
      </c>
      <c r="E96" s="721">
        <f t="shared" si="29"/>
        <v>24469.178824137933</v>
      </c>
      <c r="F96" s="721">
        <f t="shared" si="29"/>
        <v>-8491.3237931034473</v>
      </c>
      <c r="G96" s="721">
        <f t="shared" si="29"/>
        <v>-2572.1626965517262</v>
      </c>
      <c r="H96" s="721">
        <f t="shared" si="29"/>
        <v>-6810.8368517241433</v>
      </c>
      <c r="I96" s="721">
        <f t="shared" si="29"/>
        <v>8390.0097724137959</v>
      </c>
      <c r="J96" s="721">
        <f t="shared" si="29"/>
        <v>-15120.764131034488</v>
      </c>
      <c r="K96" s="721">
        <f t="shared" si="29"/>
        <v>-10238.568224137933</v>
      </c>
      <c r="L96" s="721">
        <f t="shared" si="29"/>
        <v>6120.8088816152394</v>
      </c>
      <c r="M96" s="721">
        <f t="shared" si="29"/>
        <v>6846.0921816152404</v>
      </c>
      <c r="N96" s="721">
        <f t="shared" si="29"/>
        <v>-2329.241718384761</v>
      </c>
      <c r="O96" s="721">
        <f t="shared" si="21"/>
        <v>-10437.990441361189</v>
      </c>
      <c r="P96" s="721">
        <f t="shared" si="22"/>
        <v>-2341.7388651341007</v>
      </c>
    </row>
    <row r="97" spans="8:15" x14ac:dyDescent="0.25">
      <c r="H97" s="286"/>
      <c r="I97" s="286"/>
      <c r="L97" s="286"/>
      <c r="M97" s="286"/>
      <c r="O97" s="286"/>
    </row>
  </sheetData>
  <autoFilter ref="A8:O95" xr:uid="{00000000-0009-0000-0000-000007000000}">
    <filterColumn colId="0" showButton="0"/>
  </autoFilter>
  <mergeCells count="17">
    <mergeCell ref="K8:K9"/>
    <mergeCell ref="L8:L9"/>
    <mergeCell ref="M8:M9"/>
    <mergeCell ref="B1:O2"/>
    <mergeCell ref="N5:O5"/>
    <mergeCell ref="N6:O6"/>
    <mergeCell ref="A8:B9"/>
    <mergeCell ref="C8:C9"/>
    <mergeCell ref="D8:D9"/>
    <mergeCell ref="E8:E9"/>
    <mergeCell ref="I8:I9"/>
    <mergeCell ref="J8:J9"/>
    <mergeCell ref="F8:F9"/>
    <mergeCell ref="G8:G9"/>
    <mergeCell ref="H8:H9"/>
    <mergeCell ref="N8:N9"/>
    <mergeCell ref="O8:O9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rowBreaks count="1" manualBreakCount="1">
    <brk id="3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499984740745262"/>
    <pageSetUpPr fitToPage="1"/>
  </sheetPr>
  <dimension ref="A1:P98"/>
  <sheetViews>
    <sheetView topLeftCell="A10" zoomScaleNormal="100" workbookViewId="0">
      <selection activeCell="E44" sqref="E44"/>
    </sheetView>
  </sheetViews>
  <sheetFormatPr baseColWidth="10" defaultColWidth="11.42578125" defaultRowHeight="12.75" x14ac:dyDescent="0.2"/>
  <cols>
    <col min="1" max="1" width="4.5703125" style="30" bestFit="1" customWidth="1"/>
    <col min="2" max="2" width="18" style="404" bestFit="1" customWidth="1"/>
    <col min="3" max="3" width="19.140625" style="404" bestFit="1" customWidth="1"/>
    <col min="4" max="4" width="17.140625" style="1" bestFit="1" customWidth="1"/>
    <col min="5" max="5" width="15" style="1" bestFit="1" customWidth="1"/>
    <col min="6" max="6" width="13.42578125" style="1" bestFit="1" customWidth="1"/>
    <col min="7" max="7" width="14" style="1" bestFit="1" customWidth="1"/>
    <col min="8" max="8" width="11.28515625" style="1" bestFit="1" customWidth="1"/>
    <col min="9" max="9" width="13.140625" style="1" bestFit="1" customWidth="1"/>
    <col min="10" max="10" width="11.28515625" style="1" bestFit="1" customWidth="1"/>
    <col min="11" max="11" width="13.140625" style="1" bestFit="1" customWidth="1"/>
    <col min="12" max="12" width="10.28515625" style="1" bestFit="1" customWidth="1"/>
    <col min="13" max="13" width="11.42578125" style="1" customWidth="1"/>
    <col min="14" max="14" width="15.7109375" style="1" bestFit="1" customWidth="1"/>
    <col min="15" max="16384" width="11.42578125" style="1"/>
  </cols>
  <sheetData>
    <row r="1" spans="1:16" x14ac:dyDescent="0.2">
      <c r="B1" s="1019" t="s">
        <v>0</v>
      </c>
      <c r="C1" s="1019"/>
      <c r="D1" s="1019"/>
      <c r="E1" s="1019"/>
      <c r="F1" s="1019"/>
      <c r="G1" s="1019"/>
      <c r="H1" s="1019"/>
      <c r="I1" s="1019"/>
      <c r="J1" s="1019"/>
      <c r="K1" s="1019"/>
    </row>
    <row r="2" spans="1:16" x14ac:dyDescent="0.2">
      <c r="B2" s="1019"/>
      <c r="C2" s="1019"/>
      <c r="D2" s="1019"/>
      <c r="E2" s="1019"/>
      <c r="F2" s="1019"/>
      <c r="G2" s="1019"/>
      <c r="H2" s="1019"/>
      <c r="I2" s="1019"/>
      <c r="J2" s="1019"/>
      <c r="K2" s="1019"/>
    </row>
    <row r="3" spans="1:16" x14ac:dyDescent="0.2">
      <c r="B3" s="1020" t="s">
        <v>1</v>
      </c>
      <c r="C3" s="1020"/>
      <c r="D3" s="1020"/>
      <c r="E3" s="1020"/>
      <c r="F3" s="1020"/>
      <c r="G3" s="1020"/>
      <c r="H3" s="1020"/>
      <c r="I3" s="1020"/>
      <c r="J3" s="1020"/>
      <c r="K3" s="1020"/>
    </row>
    <row r="4" spans="1:16" x14ac:dyDescent="0.2">
      <c r="B4" s="1020"/>
      <c r="C4" s="1020"/>
      <c r="D4" s="1020"/>
      <c r="E4" s="1020"/>
      <c r="F4" s="1020"/>
      <c r="G4" s="1020"/>
      <c r="H4" s="1020"/>
      <c r="I4" s="1020"/>
      <c r="J4" s="1020"/>
      <c r="K4" s="1020"/>
    </row>
    <row r="5" spans="1:16" x14ac:dyDescent="0.2">
      <c r="B5" s="1021" t="s">
        <v>2</v>
      </c>
      <c r="C5" s="1021"/>
      <c r="D5" s="1021"/>
      <c r="E5" s="1021"/>
      <c r="F5" s="1021"/>
      <c r="G5" s="1021"/>
      <c r="H5" s="1021"/>
      <c r="I5" s="1021"/>
      <c r="J5" s="1021"/>
      <c r="K5" s="1021"/>
    </row>
    <row r="6" spans="1:16" x14ac:dyDescent="0.2">
      <c r="B6" s="1021"/>
      <c r="C6" s="1021"/>
      <c r="D6" s="1021"/>
      <c r="E6" s="1021"/>
      <c r="F6" s="1021"/>
      <c r="G6" s="1021"/>
      <c r="H6" s="1021"/>
      <c r="I6" s="1021"/>
      <c r="J6" s="1021"/>
      <c r="K6" s="1021"/>
      <c r="M6" s="2"/>
      <c r="N6" s="2"/>
      <c r="O6" s="2"/>
      <c r="P6" s="2"/>
    </row>
    <row r="7" spans="1:16" x14ac:dyDescent="0.2">
      <c r="B7" s="1"/>
      <c r="C7" s="1"/>
      <c r="D7" s="375" t="s">
        <v>26</v>
      </c>
      <c r="E7" s="375" t="s">
        <v>27</v>
      </c>
      <c r="F7" s="375" t="s">
        <v>53</v>
      </c>
      <c r="M7" s="2"/>
      <c r="N7" s="16" t="s">
        <v>28</v>
      </c>
      <c r="O7" s="17"/>
      <c r="P7" s="2"/>
    </row>
    <row r="8" spans="1:16" x14ac:dyDescent="0.2">
      <c r="B8" s="376" t="s">
        <v>29</v>
      </c>
      <c r="C8" s="353"/>
      <c r="D8" s="371"/>
      <c r="E8" s="371"/>
      <c r="F8" s="371">
        <v>1</v>
      </c>
      <c r="M8" s="2"/>
      <c r="N8" s="16"/>
      <c r="O8" s="17"/>
      <c r="P8" s="2"/>
    </row>
    <row r="9" spans="1:16" x14ac:dyDescent="0.2">
      <c r="B9" s="1031" t="s">
        <v>5</v>
      </c>
      <c r="C9" s="354"/>
      <c r="D9" s="371">
        <f>3*12</f>
        <v>36</v>
      </c>
      <c r="E9" s="372">
        <f>+D9/12</f>
        <v>3</v>
      </c>
      <c r="F9" s="373">
        <v>1</v>
      </c>
      <c r="M9" s="2"/>
      <c r="N9" s="16" t="s">
        <v>33</v>
      </c>
      <c r="O9" s="17"/>
      <c r="P9" s="2"/>
    </row>
    <row r="10" spans="1:16" x14ac:dyDescent="0.2">
      <c r="B10" s="1031"/>
      <c r="C10" s="354"/>
      <c r="D10" s="370">
        <f>(2+2+2+6+4+1+2)*3</f>
        <v>57</v>
      </c>
      <c r="E10" s="372">
        <f>+D10/12</f>
        <v>4.75</v>
      </c>
      <c r="F10" s="373">
        <v>1</v>
      </c>
      <c r="M10" s="2"/>
      <c r="N10" s="16"/>
      <c r="O10" s="17"/>
      <c r="P10" s="2"/>
    </row>
    <row r="11" spans="1:16" s="30" customFormat="1" ht="13.5" thickBot="1" x14ac:dyDescent="0.25">
      <c r="A11" s="27"/>
      <c r="B11" s="31"/>
      <c r="D11" s="374">
        <f>SUM(D8:D10)</f>
        <v>93</v>
      </c>
      <c r="E11" s="374">
        <f t="shared" ref="E11" si="0">SUM(E8:E10)</f>
        <v>7.75</v>
      </c>
      <c r="F11" s="374">
        <f>SUM(F8:F10)</f>
        <v>3</v>
      </c>
      <c r="M11" s="33"/>
      <c r="N11" s="33"/>
      <c r="O11" s="33"/>
      <c r="P11" s="33"/>
    </row>
    <row r="12" spans="1:16" s="30" customFormat="1" ht="13.5" thickTop="1" x14ac:dyDescent="0.2">
      <c r="A12" s="27"/>
      <c r="B12" s="125"/>
      <c r="C12" s="406"/>
      <c r="F12" s="31"/>
      <c r="G12" s="31"/>
      <c r="I12" s="366"/>
      <c r="J12" s="366"/>
      <c r="K12" s="367"/>
      <c r="M12" s="33"/>
      <c r="N12" s="33"/>
      <c r="O12" s="33"/>
      <c r="P12" s="33"/>
    </row>
    <row r="13" spans="1:16" ht="14.25" x14ac:dyDescent="0.2">
      <c r="A13" s="424"/>
      <c r="B13" s="1024" t="s">
        <v>36</v>
      </c>
      <c r="C13" s="1024"/>
      <c r="D13" s="1024"/>
      <c r="E13" s="1024"/>
      <c r="F13" s="1024"/>
      <c r="G13" s="1024"/>
      <c r="H13" s="1024"/>
      <c r="I13" s="1024"/>
      <c r="J13" s="1024"/>
      <c r="K13" s="1024"/>
      <c r="M13" s="2"/>
      <c r="N13" s="2"/>
      <c r="O13" s="2"/>
      <c r="P13" s="2"/>
    </row>
    <row r="14" spans="1:16" ht="13.5" thickBot="1" x14ac:dyDescent="0.25">
      <c r="B14" s="365"/>
      <c r="J14" s="37"/>
      <c r="M14" s="2"/>
      <c r="N14" s="2"/>
      <c r="O14" s="2"/>
      <c r="P14" s="2"/>
    </row>
    <row r="15" spans="1:16" s="38" customFormat="1" ht="22.5" x14ac:dyDescent="0.2">
      <c r="A15" s="440"/>
      <c r="B15" s="1032" t="s">
        <v>40</v>
      </c>
      <c r="C15" s="1172"/>
      <c r="D15" s="1174" t="s">
        <v>42</v>
      </c>
      <c r="E15" s="1033" t="s">
        <v>43</v>
      </c>
      <c r="F15" s="39" t="s">
        <v>388</v>
      </c>
      <c r="G15" s="1033" t="s">
        <v>43</v>
      </c>
      <c r="H15" s="1038" t="s">
        <v>46</v>
      </c>
      <c r="I15" s="1039"/>
      <c r="J15" s="1040" t="s">
        <v>47</v>
      </c>
      <c r="K15" s="1041"/>
    </row>
    <row r="16" spans="1:16" x14ac:dyDescent="0.2">
      <c r="B16" s="1034"/>
      <c r="C16" s="1173"/>
      <c r="D16" s="1175"/>
      <c r="E16" s="1035"/>
      <c r="F16" s="362" t="s">
        <v>48</v>
      </c>
      <c r="G16" s="1035"/>
      <c r="H16" s="362" t="s">
        <v>49</v>
      </c>
      <c r="I16" s="363" t="s">
        <v>48</v>
      </c>
      <c r="J16" s="362" t="s">
        <v>49</v>
      </c>
      <c r="K16" s="361" t="s">
        <v>48</v>
      </c>
    </row>
    <row r="17" spans="2:12" ht="13.5" thickBot="1" x14ac:dyDescent="0.25">
      <c r="B17" s="1210" t="s">
        <v>50</v>
      </c>
      <c r="C17" s="1211"/>
      <c r="D17" s="46"/>
      <c r="E17" s="47"/>
      <c r="F17" s="45"/>
      <c r="G17" s="47"/>
      <c r="H17" s="49"/>
      <c r="I17" s="46"/>
      <c r="J17" s="45"/>
      <c r="K17" s="47"/>
    </row>
    <row r="18" spans="2:12" s="31" customFormat="1" ht="13.5" thickBot="1" x14ac:dyDescent="0.25">
      <c r="B18" s="1177" t="s">
        <v>51</v>
      </c>
      <c r="C18" s="1212"/>
      <c r="D18" s="461">
        <f>SUM(D19:D20)</f>
        <v>26791.80777777778</v>
      </c>
      <c r="E18" s="411"/>
      <c r="F18" s="412">
        <f>+F19+F20</f>
        <v>13793.793611111112</v>
      </c>
      <c r="G18" s="411"/>
      <c r="H18" s="412"/>
      <c r="I18" s="413">
        <f>SUM(I19:I20)</f>
        <v>13793.793611111112</v>
      </c>
      <c r="J18" s="412"/>
      <c r="K18" s="411">
        <f>SUM(K19:K20)</f>
        <v>13793.793611111112</v>
      </c>
    </row>
    <row r="19" spans="2:12" x14ac:dyDescent="0.2">
      <c r="B19" s="1213" t="str">
        <f>+'TCS-RLP'!B38</f>
        <v xml:space="preserve">       GASTOS PERSONAL DEPENDIENTE</v>
      </c>
      <c r="C19" s="1214"/>
      <c r="D19" s="418">
        <f>+'TCS-RLP'!O38</f>
        <v>17330.685555555556</v>
      </c>
      <c r="E19" s="350" t="s">
        <v>27</v>
      </c>
      <c r="F19" s="420">
        <f>+(D19/4)</f>
        <v>4332.6713888888889</v>
      </c>
      <c r="G19" s="57" t="s">
        <v>53</v>
      </c>
      <c r="H19" s="59" t="s">
        <v>54</v>
      </c>
      <c r="I19" s="60">
        <f>IF($H19="S",F19,0)</f>
        <v>4332.6713888888889</v>
      </c>
      <c r="J19" s="59" t="s">
        <v>54</v>
      </c>
      <c r="K19" s="62">
        <f>IF($J19="S",F19,0)</f>
        <v>4332.6713888888889</v>
      </c>
      <c r="L19" s="148"/>
    </row>
    <row r="20" spans="2:12" ht="13.5" thickBot="1" x14ac:dyDescent="0.25">
      <c r="B20" s="1208" t="str">
        <f>+'TCS-RLP'!B46</f>
        <v xml:space="preserve">      GASTOS PERSONAL EXTERNO</v>
      </c>
      <c r="C20" s="1209"/>
      <c r="D20" s="419">
        <f>+'TCS-RLP'!O46</f>
        <v>9461.1222222222223</v>
      </c>
      <c r="E20" s="350" t="s">
        <v>27</v>
      </c>
      <c r="F20" s="421">
        <f>+D20</f>
        <v>9461.1222222222223</v>
      </c>
      <c r="G20" s="351" t="s">
        <v>378</v>
      </c>
      <c r="H20" s="68" t="s">
        <v>54</v>
      </c>
      <c r="I20" s="60">
        <f>IF($H20="S",F20,0)</f>
        <v>9461.1222222222223</v>
      </c>
      <c r="J20" s="355" t="s">
        <v>54</v>
      </c>
      <c r="K20" s="70">
        <f>IF($J20="S",F20,0)</f>
        <v>9461.1222222222223</v>
      </c>
    </row>
    <row r="21" spans="2:12" s="31" customFormat="1" ht="13.5" thickBot="1" x14ac:dyDescent="0.25">
      <c r="B21" s="1177" t="s">
        <v>58</v>
      </c>
      <c r="C21" s="1212"/>
      <c r="D21" s="461">
        <f>SUM(D22:D51)</f>
        <v>15740.279501915706</v>
      </c>
      <c r="E21" s="411"/>
      <c r="F21" s="461">
        <f>SUM(F22:F51)</f>
        <v>15740.279501915706</v>
      </c>
      <c r="G21" s="411"/>
      <c r="H21" s="412"/>
      <c r="I21" s="461">
        <f>SUM(I22:I51)</f>
        <v>15740.279501915706</v>
      </c>
      <c r="J21" s="412"/>
      <c r="K21" s="461">
        <f>SUM(K22:K51)</f>
        <v>15740.279501915706</v>
      </c>
    </row>
    <row r="22" spans="2:12" s="31" customFormat="1" x14ac:dyDescent="0.2">
      <c r="B22" s="1217" t="str">
        <f>+'TCS-RLP'!B52</f>
        <v xml:space="preserve">         MATERIAL DE ESCRITORIO</v>
      </c>
      <c r="C22" s="1218"/>
      <c r="D22" s="449">
        <f>+'TCS-RLP'!O52</f>
        <v>87.194444444444443</v>
      </c>
      <c r="E22" s="430" t="s">
        <v>27</v>
      </c>
      <c r="F22" s="434">
        <f>+D22</f>
        <v>87.194444444444443</v>
      </c>
      <c r="G22" s="438" t="s">
        <v>389</v>
      </c>
      <c r="H22" s="59" t="s">
        <v>54</v>
      </c>
      <c r="I22" s="60">
        <f>IF($H22="S",F22,0)</f>
        <v>87.194444444444443</v>
      </c>
      <c r="J22" s="59" t="s">
        <v>54</v>
      </c>
      <c r="K22" s="62">
        <f>IF($J22="S",F22,0)</f>
        <v>87.194444444444443</v>
      </c>
    </row>
    <row r="23" spans="2:12" s="31" customFormat="1" x14ac:dyDescent="0.2">
      <c r="B23" s="1215" t="str">
        <f>+'TCS-RLP'!B53</f>
        <v xml:space="preserve">         SERVICIOS EXTERNOS  </v>
      </c>
      <c r="C23" s="1216"/>
      <c r="D23" s="450">
        <f>+'TCS-RLP'!O53</f>
        <v>8224.3788888888885</v>
      </c>
      <c r="E23" s="430" t="s">
        <v>27</v>
      </c>
      <c r="F23" s="435">
        <f t="shared" ref="F23:F51" si="1">+D23</f>
        <v>8224.3788888888885</v>
      </c>
      <c r="G23" s="432" t="s">
        <v>389</v>
      </c>
      <c r="H23" s="358" t="s">
        <v>54</v>
      </c>
      <c r="I23" s="60">
        <f>IF($H23="S",F23,0)</f>
        <v>8224.3788888888885</v>
      </c>
      <c r="J23" s="78" t="s">
        <v>54</v>
      </c>
      <c r="K23" s="62">
        <f t="shared" ref="K23:K51" si="2">IF($J23="S",F23,0)</f>
        <v>8224.3788888888885</v>
      </c>
    </row>
    <row r="24" spans="2:12" s="31" customFormat="1" x14ac:dyDescent="0.2">
      <c r="B24" s="1215" t="str">
        <f>+'TCS-RLP'!B54</f>
        <v xml:space="preserve">         SERVICIO DE COURIER</v>
      </c>
      <c r="C24" s="1216"/>
      <c r="D24" s="450">
        <f>+'TCS-RLP'!O54</f>
        <v>9.6666666666666643</v>
      </c>
      <c r="E24" s="430" t="s">
        <v>27</v>
      </c>
      <c r="F24" s="435">
        <f t="shared" si="1"/>
        <v>9.6666666666666643</v>
      </c>
      <c r="G24" s="432" t="s">
        <v>389</v>
      </c>
      <c r="H24" s="78" t="s">
        <v>54</v>
      </c>
      <c r="I24" s="60">
        <f t="shared" ref="I24:I51" si="3">IF($H24="S",F24,0)</f>
        <v>9.6666666666666643</v>
      </c>
      <c r="J24" s="78" t="s">
        <v>54</v>
      </c>
      <c r="K24" s="62">
        <f t="shared" si="2"/>
        <v>9.6666666666666643</v>
      </c>
    </row>
    <row r="25" spans="2:12" s="31" customFormat="1" x14ac:dyDescent="0.2">
      <c r="B25" s="1215" t="str">
        <f>+'TCS-RLP'!B55</f>
        <v xml:space="preserve">         SERVICIOS Y COMUNICACIONES</v>
      </c>
      <c r="C25" s="1216"/>
      <c r="D25" s="450">
        <f>+'TCS-RLP'!O55</f>
        <v>731.72</v>
      </c>
      <c r="E25" s="430" t="s">
        <v>27</v>
      </c>
      <c r="F25" s="435">
        <f t="shared" si="1"/>
        <v>731.72</v>
      </c>
      <c r="G25" s="432" t="s">
        <v>389</v>
      </c>
      <c r="H25" s="78" t="s">
        <v>54</v>
      </c>
      <c r="I25" s="60">
        <f t="shared" si="3"/>
        <v>731.72</v>
      </c>
      <c r="J25" s="78" t="s">
        <v>54</v>
      </c>
      <c r="K25" s="62">
        <f t="shared" si="2"/>
        <v>731.72</v>
      </c>
    </row>
    <row r="26" spans="2:12" s="31" customFormat="1" x14ac:dyDescent="0.2">
      <c r="B26" s="1215" t="str">
        <f>+'TCS-RLP'!B56</f>
        <v xml:space="preserve">         SERVICIO DE SEGURIDAD</v>
      </c>
      <c r="C26" s="1216"/>
      <c r="D26" s="450">
        <f>+'TCS-RLP'!O56</f>
        <v>317.15111111111116</v>
      </c>
      <c r="E26" s="430" t="s">
        <v>27</v>
      </c>
      <c r="F26" s="435">
        <f t="shared" si="1"/>
        <v>317.15111111111116</v>
      </c>
      <c r="G26" s="432" t="s">
        <v>389</v>
      </c>
      <c r="H26" s="78" t="s">
        <v>54</v>
      </c>
      <c r="I26" s="60">
        <f t="shared" si="3"/>
        <v>317.15111111111116</v>
      </c>
      <c r="J26" s="78" t="s">
        <v>54</v>
      </c>
      <c r="K26" s="62">
        <f t="shared" si="2"/>
        <v>317.15111111111116</v>
      </c>
    </row>
    <row r="27" spans="2:12" s="31" customFormat="1" x14ac:dyDescent="0.2">
      <c r="B27" s="1215" t="str">
        <f>+'TCS-RLP'!B57</f>
        <v xml:space="preserve">         REFRIGERIOS CURSOS-COMITÉS-OTROS</v>
      </c>
      <c r="C27" s="1216"/>
      <c r="D27" s="450">
        <f>+'TCS-RLP'!O57</f>
        <v>19.767777777777777</v>
      </c>
      <c r="E27" s="430" t="s">
        <v>27</v>
      </c>
      <c r="F27" s="435">
        <f t="shared" si="1"/>
        <v>19.767777777777777</v>
      </c>
      <c r="G27" s="432" t="s">
        <v>389</v>
      </c>
      <c r="H27" s="78" t="s">
        <v>54</v>
      </c>
      <c r="I27" s="60">
        <f t="shared" si="3"/>
        <v>19.767777777777777</v>
      </c>
      <c r="J27" s="78" t="s">
        <v>54</v>
      </c>
      <c r="K27" s="62">
        <f t="shared" si="2"/>
        <v>19.767777777777777</v>
      </c>
    </row>
    <row r="28" spans="2:12" s="31" customFormat="1" x14ac:dyDescent="0.2">
      <c r="B28" s="1215" t="str">
        <f>+'TCS-RLP'!B58</f>
        <v xml:space="preserve">         REPARACION Y MANTENIMIENTO</v>
      </c>
      <c r="C28" s="1216"/>
      <c r="D28" s="450">
        <f>+'TCS-RLP'!O58</f>
        <v>0</v>
      </c>
      <c r="E28" s="430" t="s">
        <v>27</v>
      </c>
      <c r="F28" s="435">
        <f t="shared" si="1"/>
        <v>0</v>
      </c>
      <c r="G28" s="432" t="s">
        <v>389</v>
      </c>
      <c r="H28" s="78" t="s">
        <v>54</v>
      </c>
      <c r="I28" s="60">
        <f t="shared" si="3"/>
        <v>0</v>
      </c>
      <c r="J28" s="78" t="s">
        <v>54</v>
      </c>
      <c r="K28" s="62">
        <f t="shared" si="2"/>
        <v>0</v>
      </c>
    </row>
    <row r="29" spans="2:12" s="31" customFormat="1" x14ac:dyDescent="0.2">
      <c r="B29" s="1215" t="str">
        <f>+'TCS-RLP'!B59</f>
        <v xml:space="preserve">         ALQUILER OFICINAS</v>
      </c>
      <c r="C29" s="1216"/>
      <c r="D29" s="450">
        <f>+'TCS-RLP'!O59</f>
        <v>0</v>
      </c>
      <c r="E29" s="430" t="s">
        <v>27</v>
      </c>
      <c r="F29" s="435">
        <f t="shared" si="1"/>
        <v>0</v>
      </c>
      <c r="G29" s="432" t="s">
        <v>389</v>
      </c>
      <c r="H29" s="78" t="s">
        <v>54</v>
      </c>
      <c r="I29" s="60">
        <f t="shared" si="3"/>
        <v>0</v>
      </c>
      <c r="J29" s="78" t="s">
        <v>54</v>
      </c>
      <c r="K29" s="62">
        <f t="shared" si="2"/>
        <v>0</v>
      </c>
    </row>
    <row r="30" spans="2:12" s="31" customFormat="1" x14ac:dyDescent="0.2">
      <c r="B30" s="1215" t="str">
        <f>+'TCS-RLP'!B60</f>
        <v xml:space="preserve">         ALQUILER OTROS</v>
      </c>
      <c r="C30" s="1216"/>
      <c r="D30" s="450">
        <f>+'TCS-RLP'!O60</f>
        <v>0</v>
      </c>
      <c r="E30" s="430" t="s">
        <v>27</v>
      </c>
      <c r="F30" s="435">
        <f t="shared" si="1"/>
        <v>0</v>
      </c>
      <c r="G30" s="432" t="s">
        <v>389</v>
      </c>
      <c r="H30" s="78" t="s">
        <v>54</v>
      </c>
      <c r="I30" s="60">
        <f t="shared" si="3"/>
        <v>0</v>
      </c>
      <c r="J30" s="78" t="s">
        <v>54</v>
      </c>
      <c r="K30" s="62">
        <f t="shared" si="2"/>
        <v>0</v>
      </c>
    </row>
    <row r="31" spans="2:12" s="31" customFormat="1" x14ac:dyDescent="0.2">
      <c r="B31" s="1215" t="str">
        <f>+'TCS-RLP'!B61</f>
        <v xml:space="preserve">         SEGUROS</v>
      </c>
      <c r="C31" s="1216"/>
      <c r="D31" s="450">
        <f>+'TCS-RLP'!O61</f>
        <v>84.773333333333341</v>
      </c>
      <c r="E31" s="430" t="s">
        <v>27</v>
      </c>
      <c r="F31" s="435">
        <f t="shared" si="1"/>
        <v>84.773333333333341</v>
      </c>
      <c r="G31" s="432" t="s">
        <v>389</v>
      </c>
      <c r="H31" s="78" t="s">
        <v>54</v>
      </c>
      <c r="I31" s="60">
        <f t="shared" si="3"/>
        <v>84.773333333333341</v>
      </c>
      <c r="J31" s="78" t="s">
        <v>54</v>
      </c>
      <c r="K31" s="62">
        <f t="shared" si="2"/>
        <v>84.773333333333341</v>
      </c>
    </row>
    <row r="32" spans="2:12" s="31" customFormat="1" x14ac:dyDescent="0.2">
      <c r="B32" s="1215" t="str">
        <f>+'TCS-RLP'!B62</f>
        <v xml:space="preserve">         IMPUESTO A LAS TRANSACCIONES</v>
      </c>
      <c r="C32" s="1216"/>
      <c r="D32" s="450">
        <f>+'TCS-RLP'!O62</f>
        <v>1909.3172796934866</v>
      </c>
      <c r="E32" s="430" t="s">
        <v>27</v>
      </c>
      <c r="F32" s="435">
        <f t="shared" si="1"/>
        <v>1909.3172796934866</v>
      </c>
      <c r="G32" s="432" t="s">
        <v>389</v>
      </c>
      <c r="H32" s="78" t="s">
        <v>54</v>
      </c>
      <c r="I32" s="60">
        <f t="shared" si="3"/>
        <v>1909.3172796934866</v>
      </c>
      <c r="J32" s="78" t="s">
        <v>54</v>
      </c>
      <c r="K32" s="62">
        <f t="shared" si="2"/>
        <v>1909.3172796934866</v>
      </c>
    </row>
    <row r="33" spans="2:11" s="31" customFormat="1" x14ac:dyDescent="0.2">
      <c r="B33" s="1215" t="str">
        <f>+'TCS-RLP'!B63</f>
        <v xml:space="preserve">         DEPRECIACION DE ACTIVOS FIJOS</v>
      </c>
      <c r="C33" s="1216"/>
      <c r="D33" s="450">
        <f>+'TCS-RLP'!O63</f>
        <v>0</v>
      </c>
      <c r="E33" s="430" t="s">
        <v>27</v>
      </c>
      <c r="F33" s="435">
        <f t="shared" si="1"/>
        <v>0</v>
      </c>
      <c r="G33" s="432" t="s">
        <v>389</v>
      </c>
      <c r="H33" s="78" t="s">
        <v>54</v>
      </c>
      <c r="I33" s="60">
        <f t="shared" si="3"/>
        <v>0</v>
      </c>
      <c r="J33" s="78" t="s">
        <v>54</v>
      </c>
      <c r="K33" s="62">
        <f t="shared" si="2"/>
        <v>0</v>
      </c>
    </row>
    <row r="34" spans="2:11" s="31" customFormat="1" x14ac:dyDescent="0.2">
      <c r="B34" s="1215" t="str">
        <f>+'TCS-RLP'!B64</f>
        <v xml:space="preserve">         AMORTIZACION OTROS ACTIVOS</v>
      </c>
      <c r="C34" s="1216"/>
      <c r="D34" s="450">
        <f>+'TCS-RLP'!O64</f>
        <v>0</v>
      </c>
      <c r="E34" s="430" t="s">
        <v>27</v>
      </c>
      <c r="F34" s="435">
        <f t="shared" si="1"/>
        <v>0</v>
      </c>
      <c r="G34" s="432" t="s">
        <v>389</v>
      </c>
      <c r="H34" s="78" t="s">
        <v>54</v>
      </c>
      <c r="I34" s="60">
        <f t="shared" si="3"/>
        <v>0</v>
      </c>
      <c r="J34" s="78" t="s">
        <v>54</v>
      </c>
      <c r="K34" s="62">
        <f t="shared" si="2"/>
        <v>0</v>
      </c>
    </row>
    <row r="35" spans="2:11" s="31" customFormat="1" x14ac:dyDescent="0.2">
      <c r="B35" s="1215" t="str">
        <f>+'TCS-RLP'!B65</f>
        <v xml:space="preserve">         SERVICIO DE FOTOCOPIAS</v>
      </c>
      <c r="C35" s="1216"/>
      <c r="D35" s="450">
        <f>+'TCS-RLP'!O65</f>
        <v>8.7100000000000009</v>
      </c>
      <c r="E35" s="430" t="s">
        <v>27</v>
      </c>
      <c r="F35" s="435">
        <f t="shared" si="1"/>
        <v>8.7100000000000009</v>
      </c>
      <c r="G35" s="432" t="s">
        <v>389</v>
      </c>
      <c r="H35" s="78" t="s">
        <v>54</v>
      </c>
      <c r="I35" s="60">
        <f t="shared" si="3"/>
        <v>8.7100000000000009</v>
      </c>
      <c r="J35" s="78" t="s">
        <v>54</v>
      </c>
      <c r="K35" s="62">
        <f t="shared" si="2"/>
        <v>8.7100000000000009</v>
      </c>
    </row>
    <row r="36" spans="2:11" s="31" customFormat="1" x14ac:dyDescent="0.2">
      <c r="B36" s="1215" t="str">
        <f>+'TCS-RLP'!B66</f>
        <v xml:space="preserve">         PASAJES Y VIATICOS</v>
      </c>
      <c r="C36" s="1216"/>
      <c r="D36" s="450">
        <f>+'TCS-RLP'!O66</f>
        <v>1607.9377777777779</v>
      </c>
      <c r="E36" s="430" t="s">
        <v>27</v>
      </c>
      <c r="F36" s="435">
        <f t="shared" si="1"/>
        <v>1607.9377777777779</v>
      </c>
      <c r="G36" s="432" t="s">
        <v>389</v>
      </c>
      <c r="H36" s="78" t="s">
        <v>54</v>
      </c>
      <c r="I36" s="60">
        <f t="shared" si="3"/>
        <v>1607.9377777777779</v>
      </c>
      <c r="J36" s="78" t="s">
        <v>54</v>
      </c>
      <c r="K36" s="62">
        <f t="shared" si="2"/>
        <v>1607.9377777777779</v>
      </c>
    </row>
    <row r="37" spans="2:11" s="31" customFormat="1" x14ac:dyDescent="0.2">
      <c r="B37" s="1215" t="str">
        <f>+'TCS-RLP'!B67</f>
        <v xml:space="preserve">         GASTOS BANCARIOS</v>
      </c>
      <c r="C37" s="1216"/>
      <c r="D37" s="450">
        <f>+'TCS-RLP'!O67</f>
        <v>474.79999999999995</v>
      </c>
      <c r="E37" s="430" t="s">
        <v>27</v>
      </c>
      <c r="F37" s="435">
        <f t="shared" si="1"/>
        <v>474.79999999999995</v>
      </c>
      <c r="G37" s="432" t="s">
        <v>389</v>
      </c>
      <c r="H37" s="78" t="s">
        <v>54</v>
      </c>
      <c r="I37" s="60">
        <f t="shared" si="3"/>
        <v>474.79999999999995</v>
      </c>
      <c r="J37" s="78" t="s">
        <v>54</v>
      </c>
      <c r="K37" s="62">
        <f t="shared" si="2"/>
        <v>474.79999999999995</v>
      </c>
    </row>
    <row r="38" spans="2:11" s="31" customFormat="1" x14ac:dyDescent="0.2">
      <c r="B38" s="1215" t="str">
        <f>+'TCS-RLP'!B68</f>
        <v xml:space="preserve">         GASTOS DE IMPRENTA</v>
      </c>
      <c r="C38" s="1216"/>
      <c r="D38" s="450">
        <f>+'TCS-RLP'!O68</f>
        <v>4.3499999999999996</v>
      </c>
      <c r="E38" s="430" t="s">
        <v>27</v>
      </c>
      <c r="F38" s="435">
        <f t="shared" si="1"/>
        <v>4.3499999999999996</v>
      </c>
      <c r="G38" s="432" t="s">
        <v>389</v>
      </c>
      <c r="H38" s="78" t="s">
        <v>54</v>
      </c>
      <c r="I38" s="60">
        <f t="shared" si="3"/>
        <v>4.3499999999999996</v>
      </c>
      <c r="J38" s="78" t="s">
        <v>54</v>
      </c>
      <c r="K38" s="62">
        <f t="shared" si="2"/>
        <v>4.3499999999999996</v>
      </c>
    </row>
    <row r="39" spans="2:11" s="31" customFormat="1" x14ac:dyDescent="0.2">
      <c r="B39" s="1215" t="str">
        <f>+'TCS-RLP'!B69</f>
        <v xml:space="preserve">         GASTOS MOVILIDAD</v>
      </c>
      <c r="C39" s="1216"/>
      <c r="D39" s="450">
        <f>+'TCS-RLP'!O69</f>
        <v>236.91888888888889</v>
      </c>
      <c r="E39" s="430" t="s">
        <v>27</v>
      </c>
      <c r="F39" s="435">
        <f t="shared" si="1"/>
        <v>236.91888888888889</v>
      </c>
      <c r="G39" s="432" t="s">
        <v>389</v>
      </c>
      <c r="H39" s="78" t="s">
        <v>54</v>
      </c>
      <c r="I39" s="60">
        <f t="shared" si="3"/>
        <v>236.91888888888889</v>
      </c>
      <c r="J39" s="78" t="s">
        <v>54</v>
      </c>
      <c r="K39" s="62">
        <f t="shared" si="2"/>
        <v>236.91888888888889</v>
      </c>
    </row>
    <row r="40" spans="2:11" s="31" customFormat="1" x14ac:dyDescent="0.2">
      <c r="B40" s="1215" t="str">
        <f>+'TCS-RLP'!B70</f>
        <v xml:space="preserve">         SERVICIOS Y MATERIAL DE LIMPIEZA</v>
      </c>
      <c r="C40" s="1216"/>
      <c r="D40" s="450">
        <f>+'TCS-RLP'!O70</f>
        <v>393.94444444444457</v>
      </c>
      <c r="E40" s="430" t="s">
        <v>27</v>
      </c>
      <c r="F40" s="435">
        <f t="shared" si="1"/>
        <v>393.94444444444457</v>
      </c>
      <c r="G40" s="432" t="s">
        <v>389</v>
      </c>
      <c r="H40" s="78" t="s">
        <v>54</v>
      </c>
      <c r="I40" s="60">
        <f t="shared" si="3"/>
        <v>393.94444444444457</v>
      </c>
      <c r="J40" s="78" t="s">
        <v>54</v>
      </c>
      <c r="K40" s="62">
        <f t="shared" si="2"/>
        <v>393.94444444444457</v>
      </c>
    </row>
    <row r="41" spans="2:11" s="31" customFormat="1" x14ac:dyDescent="0.2">
      <c r="B41" s="1215" t="str">
        <f>+'TCS-RLP'!B71</f>
        <v xml:space="preserve">         GASTOS DE REPRESENTACION</v>
      </c>
      <c r="C41" s="1216"/>
      <c r="D41" s="450">
        <f>+'TCS-RLP'!O71</f>
        <v>0</v>
      </c>
      <c r="E41" s="430" t="s">
        <v>27</v>
      </c>
      <c r="F41" s="435">
        <f t="shared" si="1"/>
        <v>0</v>
      </c>
      <c r="G41" s="432" t="s">
        <v>389</v>
      </c>
      <c r="H41" s="78" t="s">
        <v>54</v>
      </c>
      <c r="I41" s="60">
        <f t="shared" si="3"/>
        <v>0</v>
      </c>
      <c r="J41" s="78" t="s">
        <v>54</v>
      </c>
      <c r="K41" s="62">
        <f t="shared" si="2"/>
        <v>0</v>
      </c>
    </row>
    <row r="42" spans="2:11" s="31" customFormat="1" x14ac:dyDescent="0.2">
      <c r="B42" s="1215" t="str">
        <f>+'TCS-RLP'!B72</f>
        <v xml:space="preserve">         SUSCRIPCIONES Y CUOTAS</v>
      </c>
      <c r="C42" s="1216"/>
      <c r="D42" s="450">
        <f>+'TCS-RLP'!O72</f>
        <v>168.28333333333336</v>
      </c>
      <c r="E42" s="430" t="s">
        <v>27</v>
      </c>
      <c r="F42" s="435">
        <f t="shared" si="1"/>
        <v>168.28333333333336</v>
      </c>
      <c r="G42" s="432" t="s">
        <v>389</v>
      </c>
      <c r="H42" s="78" t="s">
        <v>54</v>
      </c>
      <c r="I42" s="60">
        <f t="shared" si="3"/>
        <v>168.28333333333336</v>
      </c>
      <c r="J42" s="78" t="s">
        <v>54</v>
      </c>
      <c r="K42" s="62">
        <f t="shared" si="2"/>
        <v>168.28333333333336</v>
      </c>
    </row>
    <row r="43" spans="2:11" s="31" customFormat="1" x14ac:dyDescent="0.2">
      <c r="B43" s="1215" t="str">
        <f>+'TCS-RLP'!B73</f>
        <v xml:space="preserve">         INTERESES Y MULTAS</v>
      </c>
      <c r="C43" s="1216"/>
      <c r="D43" s="450">
        <f>+'TCS-RLP'!O73</f>
        <v>0</v>
      </c>
      <c r="E43" s="430" t="s">
        <v>27</v>
      </c>
      <c r="F43" s="435">
        <f t="shared" si="1"/>
        <v>0</v>
      </c>
      <c r="G43" s="432" t="s">
        <v>389</v>
      </c>
      <c r="H43" s="78" t="s">
        <v>54</v>
      </c>
      <c r="I43" s="60">
        <f t="shared" si="3"/>
        <v>0</v>
      </c>
      <c r="J43" s="78" t="s">
        <v>54</v>
      </c>
      <c r="K43" s="62">
        <f t="shared" si="2"/>
        <v>0</v>
      </c>
    </row>
    <row r="44" spans="2:11" s="31" customFormat="1" x14ac:dyDescent="0.2">
      <c r="B44" s="1215" t="str">
        <f>+'TCS-RLP'!B74</f>
        <v xml:space="preserve">         PATENTES MUNICIPALES</v>
      </c>
      <c r="C44" s="1216"/>
      <c r="D44" s="450">
        <f>+'TCS-RLP'!O74</f>
        <v>0</v>
      </c>
      <c r="E44" s="430" t="s">
        <v>27</v>
      </c>
      <c r="F44" s="435">
        <f t="shared" si="1"/>
        <v>0</v>
      </c>
      <c r="G44" s="432" t="s">
        <v>389</v>
      </c>
      <c r="H44" s="78" t="s">
        <v>54</v>
      </c>
      <c r="I44" s="60">
        <f t="shared" si="3"/>
        <v>0</v>
      </c>
      <c r="J44" s="78" t="s">
        <v>54</v>
      </c>
      <c r="K44" s="62">
        <f t="shared" si="2"/>
        <v>0</v>
      </c>
    </row>
    <row r="45" spans="2:11" s="31" customFormat="1" x14ac:dyDescent="0.2">
      <c r="B45" s="1215" t="str">
        <f>+'TCS-RLP'!B75</f>
        <v xml:space="preserve">         CAPACITACION PERSONAL</v>
      </c>
      <c r="C45" s="1216"/>
      <c r="D45" s="450">
        <f>+'TCS-RLP'!O75</f>
        <v>0</v>
      </c>
      <c r="E45" s="430" t="s">
        <v>27</v>
      </c>
      <c r="F45" s="435">
        <f t="shared" si="1"/>
        <v>0</v>
      </c>
      <c r="G45" s="432" t="s">
        <v>389</v>
      </c>
      <c r="H45" s="78" t="s">
        <v>54</v>
      </c>
      <c r="I45" s="60">
        <f t="shared" si="3"/>
        <v>0</v>
      </c>
      <c r="J45" s="78" t="s">
        <v>54</v>
      </c>
      <c r="K45" s="62">
        <f t="shared" si="2"/>
        <v>0</v>
      </c>
    </row>
    <row r="46" spans="2:11" s="31" customFormat="1" x14ac:dyDescent="0.2">
      <c r="B46" s="1215" t="str">
        <f>+'TCS-RLP'!B76</f>
        <v xml:space="preserve">         MEJORAS Y ARREGLOS A LAS INSTALACIONES</v>
      </c>
      <c r="C46" s="1216"/>
      <c r="D46" s="450">
        <f>+'TCS-RLP'!O76</f>
        <v>0</v>
      </c>
      <c r="E46" s="430" t="s">
        <v>27</v>
      </c>
      <c r="F46" s="435">
        <f t="shared" si="1"/>
        <v>0</v>
      </c>
      <c r="G46" s="432" t="s">
        <v>389</v>
      </c>
      <c r="H46" s="78" t="s">
        <v>54</v>
      </c>
      <c r="I46" s="60">
        <f t="shared" si="3"/>
        <v>0</v>
      </c>
      <c r="J46" s="78" t="s">
        <v>54</v>
      </c>
      <c r="K46" s="62">
        <f t="shared" si="2"/>
        <v>0</v>
      </c>
    </row>
    <row r="47" spans="2:11" s="31" customFormat="1" x14ac:dyDescent="0.2">
      <c r="B47" s="1215" t="str">
        <f>+'TCS-RLP'!B77</f>
        <v xml:space="preserve">         SERVICIOS PUBLICITARIOS</v>
      </c>
      <c r="C47" s="1216"/>
      <c r="D47" s="450">
        <f>+'TCS-RLP'!O77</f>
        <v>0</v>
      </c>
      <c r="E47" s="430" t="s">
        <v>27</v>
      </c>
      <c r="F47" s="435">
        <f t="shared" si="1"/>
        <v>0</v>
      </c>
      <c r="G47" s="432" t="s">
        <v>389</v>
      </c>
      <c r="H47" s="78" t="s">
        <v>54</v>
      </c>
      <c r="I47" s="60">
        <f>IF($H47="S",F47,0)</f>
        <v>0</v>
      </c>
      <c r="J47" s="78" t="s">
        <v>54</v>
      </c>
      <c r="K47" s="62">
        <f t="shared" si="2"/>
        <v>0</v>
      </c>
    </row>
    <row r="48" spans="2:11" s="31" customFormat="1" x14ac:dyDescent="0.2">
      <c r="B48" s="1215" t="str">
        <f>+'TCS-RLP'!B78</f>
        <v xml:space="preserve">         IMPUESTO A LAS TRANSCCIONES FINANCIERAS</v>
      </c>
      <c r="C48" s="1216"/>
      <c r="D48" s="450">
        <f>+'TCS-RLP'!O78</f>
        <v>0</v>
      </c>
      <c r="E48" s="430" t="s">
        <v>27</v>
      </c>
      <c r="F48" s="435">
        <f t="shared" si="1"/>
        <v>0</v>
      </c>
      <c r="G48" s="432" t="s">
        <v>389</v>
      </c>
      <c r="H48" s="78" t="s">
        <v>54</v>
      </c>
      <c r="I48" s="60">
        <f t="shared" si="3"/>
        <v>0</v>
      </c>
      <c r="J48" s="78" t="s">
        <v>54</v>
      </c>
      <c r="K48" s="62">
        <f t="shared" si="2"/>
        <v>0</v>
      </c>
    </row>
    <row r="49" spans="2:11" s="31" customFormat="1" x14ac:dyDescent="0.2">
      <c r="B49" s="1215" t="str">
        <f>+'TCS-RLP'!B79</f>
        <v xml:space="preserve">         PERDIDA EN INVENTARIOS</v>
      </c>
      <c r="C49" s="1216"/>
      <c r="D49" s="450">
        <f>+'TCS-RLP'!O79</f>
        <v>0</v>
      </c>
      <c r="E49" s="430" t="s">
        <v>27</v>
      </c>
      <c r="F49" s="435">
        <f t="shared" si="1"/>
        <v>0</v>
      </c>
      <c r="G49" s="432" t="s">
        <v>389</v>
      </c>
      <c r="H49" s="78" t="s">
        <v>54</v>
      </c>
      <c r="I49" s="60">
        <f t="shared" si="3"/>
        <v>0</v>
      </c>
      <c r="J49" s="78" t="s">
        <v>54</v>
      </c>
      <c r="K49" s="62">
        <f t="shared" si="2"/>
        <v>0</v>
      </c>
    </row>
    <row r="50" spans="2:11" s="31" customFormat="1" x14ac:dyDescent="0.2">
      <c r="B50" s="1215" t="str">
        <f>+'TCS-RLP'!B80</f>
        <v xml:space="preserve">         AUSPICIOS Y EVENTOS</v>
      </c>
      <c r="C50" s="1216"/>
      <c r="D50" s="450">
        <f>+'TCS-RLP'!O80</f>
        <v>0</v>
      </c>
      <c r="E50" s="430" t="s">
        <v>27</v>
      </c>
      <c r="F50" s="435">
        <f t="shared" si="1"/>
        <v>0</v>
      </c>
      <c r="G50" s="432" t="s">
        <v>389</v>
      </c>
      <c r="H50" s="78" t="s">
        <v>54</v>
      </c>
      <c r="I50" s="60">
        <f t="shared" si="3"/>
        <v>0</v>
      </c>
      <c r="J50" s="78" t="s">
        <v>54</v>
      </c>
      <c r="K50" s="62">
        <f t="shared" si="2"/>
        <v>0</v>
      </c>
    </row>
    <row r="51" spans="2:11" s="31" customFormat="1" ht="13.5" thickBot="1" x14ac:dyDescent="0.25">
      <c r="B51" s="1215" t="str">
        <f>+'TCS-RLP'!B81</f>
        <v xml:space="preserve">         GASTOS VARIOS</v>
      </c>
      <c r="C51" s="1216"/>
      <c r="D51" s="450">
        <f>+'TCS-RLP'!O81</f>
        <v>1461.3655555555554</v>
      </c>
      <c r="E51" s="430" t="s">
        <v>27</v>
      </c>
      <c r="F51" s="435">
        <f t="shared" si="1"/>
        <v>1461.3655555555554</v>
      </c>
      <c r="G51" s="432" t="s">
        <v>389</v>
      </c>
      <c r="H51" s="78" t="s">
        <v>54</v>
      </c>
      <c r="I51" s="60">
        <f t="shared" si="3"/>
        <v>1461.3655555555554</v>
      </c>
      <c r="J51" s="78" t="s">
        <v>54</v>
      </c>
      <c r="K51" s="62">
        <f t="shared" si="2"/>
        <v>1461.3655555555554</v>
      </c>
    </row>
    <row r="52" spans="2:11" ht="13.5" thickBot="1" x14ac:dyDescent="0.25">
      <c r="B52" s="1231" t="s">
        <v>76</v>
      </c>
      <c r="C52" s="1232"/>
      <c r="D52" s="467">
        <f>+D21+D18</f>
        <v>42532.087279693485</v>
      </c>
      <c r="E52" s="475"/>
      <c r="F52" s="467">
        <f>+F18+F21</f>
        <v>29534.073113026818</v>
      </c>
      <c r="G52" s="475"/>
      <c r="H52" s="467"/>
      <c r="I52" s="467">
        <f>+I18+I21</f>
        <v>29534.073113026818</v>
      </c>
      <c r="J52" s="467"/>
      <c r="K52" s="775">
        <f>+K18+K21</f>
        <v>29534.073113026818</v>
      </c>
    </row>
    <row r="53" spans="2:11" s="31" customFormat="1" x14ac:dyDescent="0.2">
      <c r="B53" s="1227" t="str">
        <f>+'TCS-RLP'!B82</f>
        <v xml:space="preserve">         GASTOS SA</v>
      </c>
      <c r="C53" s="1228"/>
      <c r="D53" s="778">
        <f>+'TCS-RLP'!O82</f>
        <v>10334.854488888892</v>
      </c>
      <c r="E53" s="779" t="s">
        <v>27</v>
      </c>
      <c r="F53" s="778">
        <f>+D53</f>
        <v>10334.854488888892</v>
      </c>
      <c r="G53" s="780" t="s">
        <v>389</v>
      </c>
      <c r="H53" s="781" t="s">
        <v>54</v>
      </c>
      <c r="I53" s="782">
        <f>IF($H53="S",F53,0)</f>
        <v>10334.854488888892</v>
      </c>
      <c r="J53" s="781" t="s">
        <v>54</v>
      </c>
      <c r="K53" s="783">
        <f>IF($J53="S",F53,0)</f>
        <v>10334.854488888892</v>
      </c>
    </row>
    <row r="54" spans="2:11" ht="13.5" thickBot="1" x14ac:dyDescent="0.25">
      <c r="B54" s="1229" t="str">
        <f>+'TCS-RLP'!B83</f>
        <v xml:space="preserve">         GASTOS DN</v>
      </c>
      <c r="C54" s="1230"/>
      <c r="D54" s="784">
        <f>+'TCS-RLP'!O83</f>
        <v>14947.024888888891</v>
      </c>
      <c r="E54" s="777" t="s">
        <v>78</v>
      </c>
      <c r="F54" s="776">
        <f>+D54/4</f>
        <v>3736.7562222222227</v>
      </c>
      <c r="G54" s="777" t="s">
        <v>78</v>
      </c>
      <c r="H54" s="776"/>
      <c r="I54" s="785">
        <f>+F54</f>
        <v>3736.7562222222227</v>
      </c>
      <c r="J54" s="776"/>
      <c r="K54" s="786">
        <f>+F54</f>
        <v>3736.7562222222227</v>
      </c>
    </row>
    <row r="55" spans="2:11" ht="13.5" thickBot="1" x14ac:dyDescent="0.25">
      <c r="B55" s="1004" t="s">
        <v>80</v>
      </c>
      <c r="C55" s="1005"/>
      <c r="D55" s="97">
        <f>SUM(D52:D54)</f>
        <v>67813.966657471276</v>
      </c>
      <c r="E55" s="89"/>
      <c r="F55" s="391"/>
      <c r="G55" s="395"/>
      <c r="H55" s="87"/>
      <c r="I55" s="88">
        <f>SUM(I52:I54)</f>
        <v>43605.683824137937</v>
      </c>
      <c r="J55" s="87"/>
      <c r="K55" s="89">
        <f>SUM(K52:K54)</f>
        <v>43605.683824137937</v>
      </c>
    </row>
    <row r="56" spans="2:11" ht="13.5" thickBot="1" x14ac:dyDescent="0.25">
      <c r="B56" s="1004" t="s">
        <v>81</v>
      </c>
      <c r="C56" s="1059"/>
      <c r="D56" s="99" t="s">
        <v>394</v>
      </c>
      <c r="E56" s="88" t="s">
        <v>395</v>
      </c>
      <c r="F56" s="87" t="s">
        <v>396</v>
      </c>
      <c r="G56" s="88"/>
      <c r="H56" s="467"/>
      <c r="I56" s="468"/>
      <c r="J56" s="467"/>
      <c r="K56" s="475"/>
    </row>
    <row r="57" spans="2:11" x14ac:dyDescent="0.2">
      <c r="B57" s="1233" t="s">
        <v>397</v>
      </c>
      <c r="C57" s="1234"/>
      <c r="D57" s="503">
        <v>4</v>
      </c>
      <c r="E57" s="472" t="s">
        <v>391</v>
      </c>
      <c r="F57" s="476">
        <v>696</v>
      </c>
      <c r="G57" s="477"/>
      <c r="H57" s="501"/>
      <c r="I57" s="502"/>
      <c r="J57" s="478" t="s">
        <v>54</v>
      </c>
      <c r="K57" s="479">
        <f t="shared" ref="K57:K78" si="4">IF($J57="S",F57*D57,0)</f>
        <v>2784</v>
      </c>
    </row>
    <row r="58" spans="2:11" x14ac:dyDescent="0.2">
      <c r="B58" s="1235" t="s">
        <v>398</v>
      </c>
      <c r="C58" s="1236"/>
      <c r="D58" s="504">
        <v>0</v>
      </c>
      <c r="E58" s="473" t="s">
        <v>392</v>
      </c>
      <c r="F58" s="480"/>
      <c r="G58" s="469"/>
      <c r="H58" s="497"/>
      <c r="I58" s="498"/>
      <c r="J58" s="471" t="s">
        <v>54</v>
      </c>
      <c r="K58" s="481">
        <f t="shared" si="4"/>
        <v>0</v>
      </c>
    </row>
    <row r="59" spans="2:11" x14ac:dyDescent="0.2">
      <c r="B59" s="1223" t="s">
        <v>399</v>
      </c>
      <c r="C59" s="1224"/>
      <c r="D59" s="504">
        <v>0</v>
      </c>
      <c r="E59" s="473" t="s">
        <v>393</v>
      </c>
      <c r="F59" s="480"/>
      <c r="G59" s="469"/>
      <c r="H59" s="497"/>
      <c r="I59" s="498"/>
      <c r="J59" s="471" t="s">
        <v>54</v>
      </c>
      <c r="K59" s="481">
        <f t="shared" si="4"/>
        <v>0</v>
      </c>
    </row>
    <row r="60" spans="2:11" x14ac:dyDescent="0.2">
      <c r="B60" s="1237" t="s">
        <v>400</v>
      </c>
      <c r="C60" s="1238"/>
      <c r="D60" s="505">
        <v>4</v>
      </c>
      <c r="E60" s="472" t="s">
        <v>391</v>
      </c>
      <c r="F60" s="482">
        <v>696</v>
      </c>
      <c r="G60" s="470"/>
      <c r="H60" s="497"/>
      <c r="I60" s="498"/>
      <c r="J60" s="471" t="s">
        <v>54</v>
      </c>
      <c r="K60" s="483">
        <f t="shared" si="4"/>
        <v>2784</v>
      </c>
    </row>
    <row r="61" spans="2:11" x14ac:dyDescent="0.2">
      <c r="B61" s="1223" t="s">
        <v>401</v>
      </c>
      <c r="C61" s="1224"/>
      <c r="D61" s="504">
        <v>0</v>
      </c>
      <c r="E61" s="473" t="s">
        <v>392</v>
      </c>
      <c r="F61" s="480">
        <v>0</v>
      </c>
      <c r="G61" s="469"/>
      <c r="H61" s="497"/>
      <c r="I61" s="498"/>
      <c r="J61" s="471" t="s">
        <v>54</v>
      </c>
      <c r="K61" s="481">
        <f t="shared" si="4"/>
        <v>0</v>
      </c>
    </row>
    <row r="62" spans="2:11" x14ac:dyDescent="0.2">
      <c r="B62" s="1223" t="s">
        <v>402</v>
      </c>
      <c r="C62" s="1224"/>
      <c r="D62" s="504">
        <v>0</v>
      </c>
      <c r="E62" s="473" t="s">
        <v>393</v>
      </c>
      <c r="F62" s="480">
        <v>0</v>
      </c>
      <c r="G62" s="469"/>
      <c r="H62" s="497"/>
      <c r="I62" s="498"/>
      <c r="J62" s="471" t="s">
        <v>54</v>
      </c>
      <c r="K62" s="481">
        <f t="shared" si="4"/>
        <v>0</v>
      </c>
    </row>
    <row r="63" spans="2:11" x14ac:dyDescent="0.2">
      <c r="B63" s="1223" t="s">
        <v>403</v>
      </c>
      <c r="C63" s="1224"/>
      <c r="D63" s="504">
        <v>0</v>
      </c>
      <c r="E63" s="474" t="s">
        <v>391</v>
      </c>
      <c r="F63" s="484">
        <v>70</v>
      </c>
      <c r="G63" s="469"/>
      <c r="H63" s="497"/>
      <c r="I63" s="498"/>
      <c r="J63" s="471" t="s">
        <v>54</v>
      </c>
      <c r="K63" s="481">
        <f t="shared" si="4"/>
        <v>0</v>
      </c>
    </row>
    <row r="64" spans="2:11" x14ac:dyDescent="0.2">
      <c r="B64" s="1223" t="s">
        <v>404</v>
      </c>
      <c r="C64" s="1224"/>
      <c r="D64" s="504">
        <v>0</v>
      </c>
      <c r="E64" s="474" t="s">
        <v>391</v>
      </c>
      <c r="F64" s="484">
        <v>0</v>
      </c>
      <c r="G64" s="469"/>
      <c r="H64" s="497"/>
      <c r="I64" s="498"/>
      <c r="J64" s="471" t="s">
        <v>54</v>
      </c>
      <c r="K64" s="481">
        <f t="shared" si="4"/>
        <v>0</v>
      </c>
    </row>
    <row r="65" spans="2:16" x14ac:dyDescent="0.2">
      <c r="B65" s="1223" t="s">
        <v>405</v>
      </c>
      <c r="C65" s="1224"/>
      <c r="D65" s="504">
        <v>0</v>
      </c>
      <c r="E65" s="473" t="s">
        <v>393</v>
      </c>
      <c r="F65" s="480"/>
      <c r="G65" s="469"/>
      <c r="H65" s="497"/>
      <c r="I65" s="498"/>
      <c r="J65" s="471" t="s">
        <v>54</v>
      </c>
      <c r="K65" s="481">
        <f t="shared" si="4"/>
        <v>0</v>
      </c>
    </row>
    <row r="66" spans="2:16" x14ac:dyDescent="0.2">
      <c r="B66" s="1223" t="s">
        <v>406</v>
      </c>
      <c r="C66" s="1224"/>
      <c r="D66" s="504">
        <v>0</v>
      </c>
      <c r="E66" s="473" t="s">
        <v>116</v>
      </c>
      <c r="F66" s="480"/>
      <c r="G66" s="469"/>
      <c r="H66" s="497"/>
      <c r="I66" s="498"/>
      <c r="J66" s="471" t="s">
        <v>54</v>
      </c>
      <c r="K66" s="481">
        <f t="shared" si="4"/>
        <v>0</v>
      </c>
    </row>
    <row r="67" spans="2:16" x14ac:dyDescent="0.2">
      <c r="B67" s="1223" t="s">
        <v>407</v>
      </c>
      <c r="C67" s="1224"/>
      <c r="D67" s="504">
        <v>0</v>
      </c>
      <c r="E67" s="474" t="s">
        <v>391</v>
      </c>
      <c r="F67" s="484">
        <v>0</v>
      </c>
      <c r="G67" s="469"/>
      <c r="H67" s="497"/>
      <c r="I67" s="498"/>
      <c r="J67" s="471" t="s">
        <v>54</v>
      </c>
      <c r="K67" s="481">
        <f t="shared" si="4"/>
        <v>0</v>
      </c>
    </row>
    <row r="68" spans="2:16" x14ac:dyDescent="0.2">
      <c r="B68" s="1223" t="s">
        <v>408</v>
      </c>
      <c r="C68" s="1224"/>
      <c r="D68" s="504">
        <v>0</v>
      </c>
      <c r="E68" s="474" t="s">
        <v>391</v>
      </c>
      <c r="F68" s="485">
        <v>0</v>
      </c>
      <c r="G68" s="469"/>
      <c r="H68" s="497"/>
      <c r="I68" s="498"/>
      <c r="J68" s="471" t="s">
        <v>54</v>
      </c>
      <c r="K68" s="481">
        <f t="shared" si="4"/>
        <v>0</v>
      </c>
    </row>
    <row r="69" spans="2:16" x14ac:dyDescent="0.2">
      <c r="B69" s="1223" t="s">
        <v>409</v>
      </c>
      <c r="C69" s="1224"/>
      <c r="D69" s="504">
        <v>0</v>
      </c>
      <c r="E69" s="473" t="s">
        <v>116</v>
      </c>
      <c r="F69" s="480"/>
      <c r="G69" s="469"/>
      <c r="H69" s="497"/>
      <c r="I69" s="498"/>
      <c r="J69" s="471" t="s">
        <v>54</v>
      </c>
      <c r="K69" s="481">
        <f t="shared" si="4"/>
        <v>0</v>
      </c>
    </row>
    <row r="70" spans="2:16" x14ac:dyDescent="0.2">
      <c r="B70" s="1223" t="s">
        <v>410</v>
      </c>
      <c r="C70" s="1224"/>
      <c r="D70" s="504">
        <v>5</v>
      </c>
      <c r="E70" s="474" t="s">
        <v>391</v>
      </c>
      <c r="F70" s="485">
        <v>400</v>
      </c>
      <c r="G70" s="469"/>
      <c r="H70" s="497"/>
      <c r="I70" s="498"/>
      <c r="J70" s="471" t="s">
        <v>54</v>
      </c>
      <c r="K70" s="481">
        <f t="shared" si="4"/>
        <v>2000</v>
      </c>
    </row>
    <row r="71" spans="2:16" x14ac:dyDescent="0.2">
      <c r="B71" s="1223" t="s">
        <v>411</v>
      </c>
      <c r="C71" s="1224"/>
      <c r="D71" s="504">
        <v>5</v>
      </c>
      <c r="E71" s="474" t="s">
        <v>391</v>
      </c>
      <c r="F71" s="485">
        <v>309.95999999999998</v>
      </c>
      <c r="G71" s="469"/>
      <c r="H71" s="497"/>
      <c r="I71" s="498"/>
      <c r="J71" s="471" t="s">
        <v>54</v>
      </c>
      <c r="K71" s="481">
        <f t="shared" si="4"/>
        <v>1549.8</v>
      </c>
    </row>
    <row r="72" spans="2:16" x14ac:dyDescent="0.2">
      <c r="B72" s="1223" t="s">
        <v>412</v>
      </c>
      <c r="C72" s="1224"/>
      <c r="D72" s="504">
        <v>0</v>
      </c>
      <c r="E72" s="474" t="s">
        <v>391</v>
      </c>
      <c r="F72" s="485">
        <v>190.6</v>
      </c>
      <c r="G72" s="469"/>
      <c r="H72" s="497"/>
      <c r="I72" s="498"/>
      <c r="J72" s="471" t="s">
        <v>54</v>
      </c>
      <c r="K72" s="481">
        <f t="shared" si="4"/>
        <v>0</v>
      </c>
    </row>
    <row r="73" spans="2:16" x14ac:dyDescent="0.2">
      <c r="B73" s="1223" t="s">
        <v>413</v>
      </c>
      <c r="C73" s="1224"/>
      <c r="D73" s="504">
        <v>0</v>
      </c>
      <c r="E73" s="474" t="s">
        <v>391</v>
      </c>
      <c r="F73" s="485">
        <v>400</v>
      </c>
      <c r="G73" s="469"/>
      <c r="H73" s="497"/>
      <c r="I73" s="498"/>
      <c r="J73" s="471" t="s">
        <v>54</v>
      </c>
      <c r="K73" s="481">
        <f t="shared" si="4"/>
        <v>0</v>
      </c>
    </row>
    <row r="74" spans="2:16" x14ac:dyDescent="0.2">
      <c r="B74" s="1223" t="s">
        <v>414</v>
      </c>
      <c r="C74" s="1224"/>
      <c r="D74" s="504">
        <v>0</v>
      </c>
      <c r="E74" s="474" t="s">
        <v>391</v>
      </c>
      <c r="F74" s="485">
        <v>309.95999999999998</v>
      </c>
      <c r="G74" s="469"/>
      <c r="H74" s="497"/>
      <c r="I74" s="498"/>
      <c r="J74" s="471" t="s">
        <v>54</v>
      </c>
      <c r="K74" s="481">
        <f t="shared" si="4"/>
        <v>0</v>
      </c>
    </row>
    <row r="75" spans="2:16" x14ac:dyDescent="0.2">
      <c r="B75" s="1223" t="s">
        <v>415</v>
      </c>
      <c r="C75" s="1224"/>
      <c r="D75" s="504">
        <v>0</v>
      </c>
      <c r="E75" s="474" t="s">
        <v>391</v>
      </c>
      <c r="F75" s="485">
        <v>190.6</v>
      </c>
      <c r="G75" s="469"/>
      <c r="H75" s="497"/>
      <c r="I75" s="498"/>
      <c r="J75" s="471" t="s">
        <v>54</v>
      </c>
      <c r="K75" s="481">
        <f t="shared" si="4"/>
        <v>0</v>
      </c>
    </row>
    <row r="76" spans="2:16" x14ac:dyDescent="0.2">
      <c r="B76" s="1223" t="s">
        <v>416</v>
      </c>
      <c r="C76" s="1224"/>
      <c r="D76" s="504">
        <v>2</v>
      </c>
      <c r="E76" s="473" t="s">
        <v>393</v>
      </c>
      <c r="F76" s="480">
        <v>243</v>
      </c>
      <c r="G76" s="469"/>
      <c r="H76" s="497"/>
      <c r="I76" s="498"/>
      <c r="J76" s="471" t="s">
        <v>54</v>
      </c>
      <c r="K76" s="481">
        <f t="shared" si="4"/>
        <v>486</v>
      </c>
    </row>
    <row r="77" spans="2:16" x14ac:dyDescent="0.2">
      <c r="B77" s="1223" t="s">
        <v>417</v>
      </c>
      <c r="C77" s="1224"/>
      <c r="D77" s="504">
        <v>0</v>
      </c>
      <c r="E77" s="474"/>
      <c r="F77" s="484">
        <v>2784</v>
      </c>
      <c r="G77" s="469"/>
      <c r="H77" s="497"/>
      <c r="I77" s="498"/>
      <c r="J77" s="471" t="s">
        <v>54</v>
      </c>
      <c r="K77" s="481">
        <f t="shared" si="4"/>
        <v>0</v>
      </c>
    </row>
    <row r="78" spans="2:16" ht="13.5" thickBot="1" x14ac:dyDescent="0.25">
      <c r="B78" s="1225" t="s">
        <v>417</v>
      </c>
      <c r="C78" s="1226"/>
      <c r="D78" s="506">
        <v>0</v>
      </c>
      <c r="E78" s="486"/>
      <c r="F78" s="487"/>
      <c r="G78" s="488"/>
      <c r="H78" s="499"/>
      <c r="I78" s="500"/>
      <c r="J78" s="489" t="s">
        <v>54</v>
      </c>
      <c r="K78" s="490">
        <f t="shared" si="4"/>
        <v>0</v>
      </c>
    </row>
    <row r="79" spans="2:16" s="27" customFormat="1" x14ac:dyDescent="0.2">
      <c r="B79" s="1221" t="s">
        <v>96</v>
      </c>
      <c r="C79" s="1222"/>
      <c r="D79" s="491"/>
      <c r="E79" s="492"/>
      <c r="F79" s="493"/>
      <c r="G79" s="492"/>
      <c r="H79" s="494"/>
      <c r="I79" s="495">
        <f>SUM(G57:G78)</f>
        <v>0</v>
      </c>
      <c r="J79" s="491"/>
      <c r="K79" s="496">
        <f>SUM(K57:K78)</f>
        <v>9603.7999999999993</v>
      </c>
      <c r="P79" s="27" t="s">
        <v>390</v>
      </c>
    </row>
    <row r="80" spans="2:16" s="27" customFormat="1" ht="13.5" thickBot="1" x14ac:dyDescent="0.25">
      <c r="B80" s="992" t="s">
        <v>45</v>
      </c>
      <c r="C80" s="1194"/>
      <c r="D80" s="454"/>
      <c r="E80" s="454"/>
      <c r="F80" s="454"/>
      <c r="G80" s="454"/>
      <c r="H80" s="454"/>
      <c r="I80" s="454">
        <f>+I79+I55</f>
        <v>43605.683824137937</v>
      </c>
      <c r="J80" s="454"/>
      <c r="K80" s="455">
        <f>+K79+K55</f>
        <v>53209.483824137933</v>
      </c>
    </row>
    <row r="81" spans="1:10" s="37" customFormat="1" ht="13.5" thickBot="1" x14ac:dyDescent="0.25">
      <c r="A81" s="441"/>
      <c r="B81" s="405"/>
      <c r="C81" s="405"/>
      <c r="D81" s="83"/>
      <c r="E81" s="83"/>
      <c r="G81" s="83"/>
      <c r="H81" s="134"/>
      <c r="I81" s="135"/>
      <c r="J81" s="136"/>
    </row>
    <row r="82" spans="1:10" s="37" customFormat="1" ht="34.5" thickBot="1" x14ac:dyDescent="0.25">
      <c r="A82" s="441"/>
      <c r="B82" s="405"/>
      <c r="C82" s="405"/>
      <c r="E82" s="364" t="s">
        <v>382</v>
      </c>
      <c r="F82" s="364" t="s">
        <v>383</v>
      </c>
      <c r="G82" s="364" t="s">
        <v>47</v>
      </c>
      <c r="H82" s="364" t="s">
        <v>384</v>
      </c>
    </row>
    <row r="83" spans="1:10" s="37" customFormat="1" ht="13.5" thickBot="1" x14ac:dyDescent="0.25">
      <c r="A83" s="441"/>
      <c r="B83" s="1004" t="s">
        <v>80</v>
      </c>
      <c r="C83" s="1005"/>
      <c r="D83" s="24"/>
      <c r="E83" s="24">
        <f>+(I55-$F$20)/$F$11+$F$20</f>
        <v>20842.642756194127</v>
      </c>
      <c r="G83" s="24">
        <f>+(K55-$F$20)/$F$11+$F$20</f>
        <v>20842.642756194127</v>
      </c>
      <c r="H83" s="24"/>
    </row>
    <row r="84" spans="1:10" s="144" customFormat="1" ht="13.5" thickBot="1" x14ac:dyDescent="0.25">
      <c r="A84" s="442"/>
      <c r="B84" s="996" t="s">
        <v>81</v>
      </c>
      <c r="C84" s="997"/>
      <c r="D84" s="141"/>
      <c r="E84" s="141">
        <f>+I79</f>
        <v>0</v>
      </c>
      <c r="F84" s="141"/>
      <c r="G84" s="141">
        <f>+K79</f>
        <v>9603.7999999999993</v>
      </c>
      <c r="H84" s="141"/>
    </row>
    <row r="85" spans="1:10" ht="13.5" thickBot="1" x14ac:dyDescent="0.25">
      <c r="B85" s="998" t="s">
        <v>45</v>
      </c>
      <c r="C85" s="999"/>
      <c r="D85" s="145"/>
      <c r="E85" s="145">
        <f>SUM(E83:E84)</f>
        <v>20842.642756194127</v>
      </c>
      <c r="F85" s="145">
        <f>+E87*E89</f>
        <v>20842.642756194127</v>
      </c>
      <c r="G85" s="145">
        <f>SUM(G83:G84)</f>
        <v>30446.442756194127</v>
      </c>
      <c r="H85" s="145"/>
    </row>
    <row r="86" spans="1:10" x14ac:dyDescent="0.2">
      <c r="B86" s="1000" t="s">
        <v>103</v>
      </c>
      <c r="C86" s="1001"/>
      <c r="D86" s="147">
        <v>0</v>
      </c>
      <c r="E86" s="148"/>
      <c r="F86" s="148"/>
      <c r="G86" s="148">
        <f>+G85/(1-$D$86)</f>
        <v>30446.442756194127</v>
      </c>
      <c r="H86" s="148"/>
    </row>
    <row r="87" spans="1:10" x14ac:dyDescent="0.2">
      <c r="B87" s="1219" t="s">
        <v>106</v>
      </c>
      <c r="C87" s="407" t="s">
        <v>107</v>
      </c>
      <c r="D87" s="151" t="s">
        <v>108</v>
      </c>
      <c r="E87" s="152">
        <v>580</v>
      </c>
      <c r="F87" s="153">
        <v>500</v>
      </c>
      <c r="G87" s="158"/>
      <c r="H87" s="153"/>
    </row>
    <row r="88" spans="1:10" x14ac:dyDescent="0.2">
      <c r="B88" s="1220"/>
      <c r="C88" s="407" t="s">
        <v>109</v>
      </c>
      <c r="D88" s="151" t="s">
        <v>108</v>
      </c>
      <c r="E88" s="155">
        <v>600</v>
      </c>
      <c r="F88" s="154"/>
      <c r="G88" s="15"/>
      <c r="H88" s="154"/>
    </row>
    <row r="89" spans="1:10" x14ac:dyDescent="0.2">
      <c r="B89" s="1189" t="s">
        <v>110</v>
      </c>
      <c r="C89" s="1190"/>
      <c r="D89" s="156" t="s">
        <v>111</v>
      </c>
      <c r="E89" s="359">
        <f>+E85/E87</f>
        <v>35.935590958955395</v>
      </c>
      <c r="F89" s="357">
        <f>E85/F87</f>
        <v>41.685285512388255</v>
      </c>
      <c r="G89" s="154"/>
      <c r="H89" s="158"/>
    </row>
    <row r="90" spans="1:10" x14ac:dyDescent="0.2">
      <c r="D90" s="156" t="s">
        <v>112</v>
      </c>
      <c r="E90" s="359">
        <f>+E85/E88</f>
        <v>34.737737926990214</v>
      </c>
      <c r="F90" s="154">
        <f>+F89*E87</f>
        <v>24177.465597185186</v>
      </c>
      <c r="H90" s="15"/>
    </row>
    <row r="91" spans="1:10" x14ac:dyDescent="0.2">
      <c r="D91" s="1" t="s">
        <v>380</v>
      </c>
      <c r="E91" s="356">
        <f>+E89*E87</f>
        <v>20842.642756194127</v>
      </c>
      <c r="F91" s="356">
        <f>+F89*F87</f>
        <v>20842.642756194127</v>
      </c>
      <c r="G91" s="356"/>
      <c r="H91" s="360"/>
    </row>
    <row r="92" spans="1:10" ht="13.5" thickBot="1" x14ac:dyDescent="0.25">
      <c r="D92" s="1" t="s">
        <v>381</v>
      </c>
      <c r="E92" s="356">
        <f>+E90*E88</f>
        <v>20842.642756194127</v>
      </c>
      <c r="F92" s="369">
        <f>+F90-F91</f>
        <v>3334.8228409910589</v>
      </c>
    </row>
    <row r="93" spans="1:10" ht="13.5" thickTop="1" x14ac:dyDescent="0.2">
      <c r="E93" s="356"/>
      <c r="F93" s="356">
        <f>+F91/F90</f>
        <v>0.86206896551724144</v>
      </c>
      <c r="H93" s="356"/>
    </row>
    <row r="94" spans="1:10" x14ac:dyDescent="0.2">
      <c r="E94" s="356"/>
      <c r="F94" s="360">
        <f>+F92/F90</f>
        <v>0.13793103448275856</v>
      </c>
      <c r="H94" s="356"/>
    </row>
    <row r="95" spans="1:10" x14ac:dyDescent="0.2">
      <c r="D95" s="356"/>
    </row>
    <row r="98" spans="4:4" x14ac:dyDescent="0.2">
      <c r="D98" s="368"/>
    </row>
  </sheetData>
  <sheetProtection selectLockedCells="1"/>
  <mergeCells count="81">
    <mergeCell ref="B57:C57"/>
    <mergeCell ref="B58:C58"/>
    <mergeCell ref="B59:C59"/>
    <mergeCell ref="B60:C60"/>
    <mergeCell ref="B61:C61"/>
    <mergeCell ref="B51:C51"/>
    <mergeCell ref="B53:C53"/>
    <mergeCell ref="B54:C54"/>
    <mergeCell ref="B44:C44"/>
    <mergeCell ref="B45:C45"/>
    <mergeCell ref="B46:C46"/>
    <mergeCell ref="B47:C47"/>
    <mergeCell ref="B48:C48"/>
    <mergeCell ref="B49:C49"/>
    <mergeCell ref="B52:C52"/>
    <mergeCell ref="B40:C40"/>
    <mergeCell ref="B41:C41"/>
    <mergeCell ref="B42:C42"/>
    <mergeCell ref="B31:C31"/>
    <mergeCell ref="B50:C50"/>
    <mergeCell ref="B69:C69"/>
    <mergeCell ref="B70:C70"/>
    <mergeCell ref="B71:C71"/>
    <mergeCell ref="B72:C72"/>
    <mergeCell ref="B62:C62"/>
    <mergeCell ref="B63:C63"/>
    <mergeCell ref="B64:C64"/>
    <mergeCell ref="B65:C65"/>
    <mergeCell ref="B66:C66"/>
    <mergeCell ref="B67:C67"/>
    <mergeCell ref="B68:C68"/>
    <mergeCell ref="B87:B88"/>
    <mergeCell ref="B89:C89"/>
    <mergeCell ref="B79:C79"/>
    <mergeCell ref="B80:C80"/>
    <mergeCell ref="B73:C73"/>
    <mergeCell ref="B74:C74"/>
    <mergeCell ref="B75:C75"/>
    <mergeCell ref="B76:C76"/>
    <mergeCell ref="B77:C77"/>
    <mergeCell ref="B78:C78"/>
    <mergeCell ref="B83:C83"/>
    <mergeCell ref="B84:C84"/>
    <mergeCell ref="B85:C85"/>
    <mergeCell ref="B86:C86"/>
    <mergeCell ref="B21:C21"/>
    <mergeCell ref="B22:C22"/>
    <mergeCell ref="B23:C23"/>
    <mergeCell ref="B24:C24"/>
    <mergeCell ref="B25:C25"/>
    <mergeCell ref="B55:C55"/>
    <mergeCell ref="B56:C56"/>
    <mergeCell ref="B26:C26"/>
    <mergeCell ref="B27:C27"/>
    <mergeCell ref="B28:C28"/>
    <mergeCell ref="B29:C29"/>
    <mergeCell ref="B30:C30"/>
    <mergeCell ref="B43:C43"/>
    <mergeCell ref="B32:C32"/>
    <mergeCell ref="B33:C33"/>
    <mergeCell ref="B34:C34"/>
    <mergeCell ref="B35:C35"/>
    <mergeCell ref="B36:C36"/>
    <mergeCell ref="B37:C37"/>
    <mergeCell ref="B38:C38"/>
    <mergeCell ref="B39:C39"/>
    <mergeCell ref="B20:C20"/>
    <mergeCell ref="B1:K2"/>
    <mergeCell ref="B3:K4"/>
    <mergeCell ref="B5:K6"/>
    <mergeCell ref="B9:B10"/>
    <mergeCell ref="B13:K13"/>
    <mergeCell ref="B15:C16"/>
    <mergeCell ref="D15:D16"/>
    <mergeCell ref="E15:E16"/>
    <mergeCell ref="G15:G16"/>
    <mergeCell ref="H15:I15"/>
    <mergeCell ref="J15:K15"/>
    <mergeCell ref="B17:C17"/>
    <mergeCell ref="B18:C18"/>
    <mergeCell ref="B19:C19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14</vt:i4>
      </vt:variant>
    </vt:vector>
  </HeadingPairs>
  <TitlesOfParts>
    <vt:vector size="34" baseType="lpstr">
      <vt:lpstr>COSTOS SEC</vt:lpstr>
      <vt:lpstr>COSTOS SEC (2)</vt:lpstr>
      <vt:lpstr>COSTOS SEC (3)</vt:lpstr>
      <vt:lpstr>COSTOS SEC (FINAL)</vt:lpstr>
      <vt:lpstr>SEC -RLP1 </vt:lpstr>
      <vt:lpstr>COSTOS SEC (4)</vt:lpstr>
      <vt:lpstr>COSTOS  NO</vt:lpstr>
      <vt:lpstr>NO-RLP</vt:lpstr>
      <vt:lpstr>COSTOS  TCS</vt:lpstr>
      <vt:lpstr>TCS-RLP</vt:lpstr>
      <vt:lpstr>PRESUPUESTO (1)</vt:lpstr>
      <vt:lpstr>COSTOS  OI</vt:lpstr>
      <vt:lpstr>OI-RLP</vt:lpstr>
      <vt:lpstr>COSTOS  TCP</vt:lpstr>
      <vt:lpstr>TCP-RLP</vt:lpstr>
      <vt:lpstr>COSTOS  TLQ</vt:lpstr>
      <vt:lpstr>TLQ -RLP</vt:lpstr>
      <vt:lpstr>MOD.1 (4)</vt:lpstr>
      <vt:lpstr>SEC -RLP  (2)</vt:lpstr>
      <vt:lpstr>MOD.1- ANTIGUO</vt:lpstr>
      <vt:lpstr>'COSTOS  NO'!Área_de_impresión</vt:lpstr>
      <vt:lpstr>'COSTOS  OI'!Área_de_impresión</vt:lpstr>
      <vt:lpstr>'COSTOS  TCP'!Área_de_impresión</vt:lpstr>
      <vt:lpstr>'COSTOS  TCS'!Área_de_impresión</vt:lpstr>
      <vt:lpstr>'COSTOS  TLQ'!Área_de_impresión</vt:lpstr>
      <vt:lpstr>'COSTOS SEC'!Área_de_impresión</vt:lpstr>
      <vt:lpstr>'COSTOS SEC (2)'!Área_de_impresión</vt:lpstr>
      <vt:lpstr>'COSTOS SEC (3)'!Área_de_impresión</vt:lpstr>
      <vt:lpstr>'COSTOS SEC (4)'!Área_de_impresión</vt:lpstr>
      <vt:lpstr>'COSTOS SEC (FINAL)'!Área_de_impresión</vt:lpstr>
      <vt:lpstr>'MOD.1 (4)'!Área_de_impresión</vt:lpstr>
      <vt:lpstr>'MOD.1- ANTIGUO'!Área_de_impresión</vt:lpstr>
      <vt:lpstr>'NO-RLP'!Área_de_impresión</vt:lpstr>
      <vt:lpstr>'PRESUPUESTO (1)'!Área_de_impresión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ICasas</dc:creator>
  <cp:lastModifiedBy>Usuario de Windows</cp:lastModifiedBy>
  <dcterms:created xsi:type="dcterms:W3CDTF">2019-10-03T13:58:12Z</dcterms:created>
  <dcterms:modified xsi:type="dcterms:W3CDTF">2020-05-21T15:14:33Z</dcterms:modified>
</cp:coreProperties>
</file>