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Crypto_Bot\Excel_adder\"/>
    </mc:Choice>
  </mc:AlternateContent>
  <xr:revisionPtr revIDLastSave="0" documentId="13_ncr:1_{3696B891-0CAF-45DF-B1DB-0E852F7547B2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ETHUSDT" sheetId="1" r:id="rId1"/>
    <sheet name="XRPUSDT" sheetId="2" r:id="rId2"/>
    <sheet name="MATICUSDT" sheetId="3" r:id="rId3"/>
    <sheet name="BTCUSDT" sheetId="4" r:id="rId4"/>
    <sheet name="SOLUSDT" sheetId="5" r:id="rId5"/>
    <sheet name="BNBUSD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5" i="6" l="1"/>
  <c r="N14" i="6"/>
  <c r="N11" i="6"/>
  <c r="N12" i="6" s="1"/>
  <c r="N9" i="6"/>
  <c r="N10" i="6" s="1"/>
  <c r="N8" i="6"/>
  <c r="N6" i="6"/>
  <c r="N7" i="6" s="1"/>
  <c r="N5" i="6"/>
  <c r="N4" i="6"/>
  <c r="N3" i="6"/>
  <c r="N13" i="6" s="1"/>
  <c r="N15" i="5"/>
  <c r="N14" i="5"/>
  <c r="N13" i="5"/>
  <c r="N12" i="5"/>
  <c r="N11" i="5"/>
  <c r="N9" i="5"/>
  <c r="N10" i="5" s="1"/>
  <c r="N8" i="5"/>
  <c r="N6" i="5"/>
  <c r="N7" i="5" s="1"/>
  <c r="N5" i="5"/>
  <c r="N4" i="5"/>
  <c r="N3" i="5"/>
  <c r="L80" i="4"/>
  <c r="L15" i="4"/>
  <c r="L14" i="4"/>
  <c r="L11" i="4"/>
  <c r="L12" i="4" s="1"/>
  <c r="L10" i="4"/>
  <c r="L9" i="4"/>
  <c r="L8" i="4"/>
  <c r="L7" i="4"/>
  <c r="L6" i="4"/>
  <c r="L5" i="4"/>
  <c r="L4" i="4"/>
  <c r="L3" i="4"/>
  <c r="L13" i="4" s="1"/>
  <c r="L15" i="3"/>
  <c r="L14" i="3"/>
  <c r="L12" i="3"/>
  <c r="L11" i="3"/>
  <c r="L9" i="3"/>
  <c r="L10" i="3" s="1"/>
  <c r="L8" i="3"/>
  <c r="L7" i="3"/>
  <c r="L6" i="3"/>
  <c r="L5" i="3"/>
  <c r="L4" i="3"/>
  <c r="L3" i="3"/>
  <c r="L13" i="3" s="1"/>
  <c r="L15" i="2"/>
  <c r="L14" i="2"/>
  <c r="L11" i="2"/>
  <c r="L12" i="2" s="1"/>
  <c r="L9" i="2"/>
  <c r="L10" i="2" s="1"/>
  <c r="L8" i="2"/>
  <c r="L6" i="2"/>
  <c r="L7" i="2" s="1"/>
  <c r="L5" i="2"/>
  <c r="L4" i="2"/>
  <c r="L3" i="2"/>
  <c r="L13" i="2" s="1"/>
  <c r="L15" i="1"/>
  <c r="L14" i="1"/>
  <c r="L11" i="1"/>
  <c r="L12" i="1" s="1"/>
  <c r="L9" i="1"/>
  <c r="L10" i="1" s="1"/>
  <c r="L8" i="1"/>
  <c r="L6" i="1"/>
  <c r="L7" i="1" s="1"/>
  <c r="L5" i="1"/>
  <c r="L4" i="1"/>
  <c r="L3" i="1"/>
  <c r="L13" i="1" s="1"/>
</calcChain>
</file>

<file path=xl/sharedStrings.xml><?xml version="1.0" encoding="utf-8"?>
<sst xmlns="http://schemas.openxmlformats.org/spreadsheetml/2006/main" count="455" uniqueCount="108">
  <si>
    <t>Time</t>
  </si>
  <si>
    <t>Symbol</t>
  </si>
  <si>
    <t>Side</t>
  </si>
  <si>
    <t>Type</t>
  </si>
  <si>
    <t>Price</t>
  </si>
  <si>
    <t>Quantity</t>
  </si>
  <si>
    <t>PNL</t>
  </si>
  <si>
    <t>Commission</t>
  </si>
  <si>
    <t>Last Order ID</t>
  </si>
  <si>
    <t>Trade Stats</t>
  </si>
  <si>
    <t>BUY</t>
  </si>
  <si>
    <t>Opening Order</t>
  </si>
  <si>
    <t># Closed Trades</t>
  </si>
  <si>
    <t>SELL</t>
  </si>
  <si>
    <t>Closing Order</t>
  </si>
  <si>
    <t>Gross Gain</t>
  </si>
  <si>
    <t>Gross Loss</t>
  </si>
  <si>
    <t>Total Commission Paid</t>
  </si>
  <si>
    <t>PNL (including commission)</t>
  </si>
  <si>
    <t>Average Price</t>
  </si>
  <si>
    <t># Long Trades</t>
  </si>
  <si>
    <t>Profitable Long %</t>
  </si>
  <si>
    <t># Short Trades</t>
  </si>
  <si>
    <t>Profitable Short %</t>
  </si>
  <si>
    <t>Win Rate</t>
  </si>
  <si>
    <t>Average Win</t>
  </si>
  <si>
    <t>Average Loss</t>
  </si>
  <si>
    <t>2022-04-19 22:00:01</t>
  </si>
  <si>
    <t>XRPUSDT</t>
  </si>
  <si>
    <t>2022-04-17 15:08:36</t>
  </si>
  <si>
    <t>2022-04-19 07:00:01</t>
  </si>
  <si>
    <t>2022-04-19 11:10:04</t>
  </si>
  <si>
    <t>2022-04-20 05:27:49</t>
  </si>
  <si>
    <t>2022-04-21 08:00:02</t>
  </si>
  <si>
    <t>2022-04-21 08:48:13</t>
  </si>
  <si>
    <t>2022-04-22 19:00:01</t>
  </si>
  <si>
    <t>2022-04-22 19:09:31</t>
  </si>
  <si>
    <t>2022-04-25 09:00:02</t>
  </si>
  <si>
    <t>2022-04-25 09:51:10</t>
  </si>
  <si>
    <t>2022-04-25 14:00:02</t>
  </si>
  <si>
    <t>2022-04-25 14:32:52</t>
  </si>
  <si>
    <t>2022-04-25 19:00:02</t>
  </si>
  <si>
    <t>2022-04-25 19:49:50</t>
  </si>
  <si>
    <t>2022-04-25 22:00:02</t>
  </si>
  <si>
    <t>2022-04-25 22:19:04</t>
  </si>
  <si>
    <t>2022-04-27 06:00:01</t>
  </si>
  <si>
    <t>2022-04-27 07:28:41</t>
  </si>
  <si>
    <t>2022-05-01 18:00:01</t>
  </si>
  <si>
    <t>2022-05-01 18:14:48</t>
  </si>
  <si>
    <t>2022-05-02 19:00:02</t>
  </si>
  <si>
    <t>2022-05-02 20:41:06</t>
  </si>
  <si>
    <t>2022-05-04 02:00:02</t>
  </si>
  <si>
    <t>2022-05-04 04:41:56</t>
  </si>
  <si>
    <t>2022-05-04 16:00:05</t>
  </si>
  <si>
    <t>2022-05-04 16:15:08</t>
  </si>
  <si>
    <t>2022-05-05 06:00:02</t>
  </si>
  <si>
    <t>2022-05-05 09:10:22</t>
  </si>
  <si>
    <t>2022-05-05 11:00:08</t>
  </si>
  <si>
    <t>2022-05-05 11:06:52</t>
  </si>
  <si>
    <t>2022-05-06 15:00:04</t>
  </si>
  <si>
    <t>2022-05-06 17:41:16</t>
  </si>
  <si>
    <t>2022-05-08 16:00:03</t>
  </si>
  <si>
    <t>2022-05-08 16:28:28</t>
  </si>
  <si>
    <t>2022-05-09 00:00:02</t>
  </si>
  <si>
    <t>2022-05-09 01:07:22</t>
  </si>
  <si>
    <t>2022-05-09 21:00:09</t>
  </si>
  <si>
    <t>2022-05-09 21:09:13</t>
  </si>
  <si>
    <t>2022-05-10 15:00:05</t>
  </si>
  <si>
    <t>2022-05-10 16:11:06</t>
  </si>
  <si>
    <t>2022-05-12 12:00:02</t>
  </si>
  <si>
    <t>2022-05-12 12:03:56</t>
  </si>
  <si>
    <t>2022-05-14 02:00:02</t>
  </si>
  <si>
    <t>2022-05-14 03:00:05</t>
  </si>
  <si>
    <t>2022-05-15 03:00:02</t>
  </si>
  <si>
    <t>2022-05-15 04:03:12</t>
  </si>
  <si>
    <t>2022-05-15 07:00:02</t>
  </si>
  <si>
    <t>2022-05-15 07:55:08</t>
  </si>
  <si>
    <t>2022-05-16 08:00:02</t>
  </si>
  <si>
    <t>2022-05-16 09:01:32</t>
  </si>
  <si>
    <t>2022-05-16 22:00:02</t>
  </si>
  <si>
    <t>2022-05-17 00:16:24</t>
  </si>
  <si>
    <t>2022-05-17 12:00:03</t>
  </si>
  <si>
    <t>2022-05-18 00:00:01</t>
  </si>
  <si>
    <t>2022-05-19 21:00:09</t>
  </si>
  <si>
    <t>2022-05-19 21:47:29</t>
  </si>
  <si>
    <t>2022-05-20 12:00:05</t>
  </si>
  <si>
    <t>2022-05-20 12:05:44</t>
  </si>
  <si>
    <t>2022-05-21 00:00:02</t>
  </si>
  <si>
    <t>2022-05-21 04:48:44</t>
  </si>
  <si>
    <t>2022-05-21 20:00:01</t>
  </si>
  <si>
    <t>2022-05-22 06:35:30</t>
  </si>
  <si>
    <t>2022-05-24 05:00:05</t>
  </si>
  <si>
    <t>2022-05-24 06:00:08</t>
  </si>
  <si>
    <t>2022-05-26 12:00:06</t>
  </si>
  <si>
    <t>2022-05-26 12:07:54</t>
  </si>
  <si>
    <t>2022-05-27 08:00:05</t>
  </si>
  <si>
    <t>2022-05-27 09:30:51</t>
  </si>
  <si>
    <t>2022-05-29 13:00:11</t>
  </si>
  <si>
    <t>2022-05-29 22:35:38</t>
  </si>
  <si>
    <t>2022-05-29 23:00:07</t>
  </si>
  <si>
    <t>2022-05-29 23:05:37</t>
  </si>
  <si>
    <t>2022-05-30 03:00:03</t>
  </si>
  <si>
    <t>2022-05-30 03:24:05</t>
  </si>
  <si>
    <t>2022-05-30 18:00:07</t>
  </si>
  <si>
    <t>2022-05-30 18:23:42</t>
  </si>
  <si>
    <t>2022-05-30 21:00:09</t>
  </si>
  <si>
    <t>2022-05-30 21:06:50</t>
  </si>
  <si>
    <t>Aca arranca grid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</si>
</sst>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&quot;$&quot;#,##0.00"/>
    <numFmt numFmtId="166" formatCode="_([$$-409]* #,##0.00_);_([$$-409]* \(#,##0.00\);_([$$-409]* &quot;-&quot;??_);_(@_)"/>
    <numFmt numFmtId="167" formatCode="0.0000%"/>
    <numFmt numFmtId="168" formatCode="0.000"/>
    <numFmt numFmtId="169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</borders>
  <cellStyleXfs count="7">
    <xf numFmtId="0" fontId="0" fillId="0" borderId="0"/>
    <xf numFmtId="44" fontId="1" fillId="0" borderId="0"/>
    <xf numFmtId="9" fontId="1" fillId="0" borderId="0"/>
    <xf numFmtId="0" fontId="2" fillId="2" borderId="1"/>
    <xf numFmtId="0" fontId="3" fillId="3" borderId="0"/>
    <xf numFmtId="10" fontId="1" fillId="4" borderId="0"/>
    <xf numFmtId="0" fontId="1" fillId="5" borderId="0"/>
  </cellStyleXfs>
  <cellXfs count="31">
    <xf numFmtId="0" fontId="0" fillId="0" borderId="0" xfId="0"/>
    <xf numFmtId="10" fontId="1" fillId="4" borderId="2" xfId="5" applyBorder="1" applyAlignment="1">
      <alignment horizontal="center" vertical="center"/>
    </xf>
    <xf numFmtId="1" fontId="1" fillId="4" borderId="2" xfId="5" applyNumberForma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" fillId="4" borderId="2" xfId="1" applyNumberFormat="1" applyFill="1" applyBorder="1" applyAlignment="1">
      <alignment horizontal="center" vertical="center"/>
    </xf>
    <xf numFmtId="9" fontId="1" fillId="4" borderId="2" xfId="2" applyFill="1" applyBorder="1" applyAlignment="1">
      <alignment horizontal="center" vertical="center"/>
    </xf>
    <xf numFmtId="2" fontId="1" fillId="4" borderId="2" xfId="5" applyNumberFormat="1" applyBorder="1" applyAlignment="1">
      <alignment horizontal="center" vertical="center"/>
    </xf>
    <xf numFmtId="9" fontId="1" fillId="4" borderId="2" xfId="5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7" xfId="3" applyBorder="1" applyAlignment="1">
      <alignment horizontal="center" vertical="center"/>
    </xf>
    <xf numFmtId="0" fontId="2" fillId="2" borderId="5" xfId="3" applyBorder="1" applyAlignment="1">
      <alignment horizontal="center" vertical="center"/>
    </xf>
    <xf numFmtId="9" fontId="1" fillId="0" borderId="0" xfId="2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4" applyBorder="1" applyAlignment="1">
      <alignment horizontal="center" vertical="center"/>
    </xf>
    <xf numFmtId="9" fontId="1" fillId="5" borderId="2" xfId="6" applyNumberFormat="1" applyBorder="1" applyAlignment="1">
      <alignment horizontal="center" vertical="center"/>
    </xf>
    <xf numFmtId="0" fontId="3" fillId="3" borderId="2" xfId="4" applyBorder="1" applyAlignment="1">
      <alignment horizontal="center"/>
    </xf>
    <xf numFmtId="44" fontId="1" fillId="0" borderId="0" xfId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4" fontId="1" fillId="4" borderId="2" xfId="1" applyFill="1" applyBorder="1" applyAlignment="1">
      <alignment horizontal="center" vertical="center"/>
    </xf>
    <xf numFmtId="166" fontId="1" fillId="4" borderId="2" xfId="5" applyNumberFormat="1" applyBorder="1" applyAlignment="1">
      <alignment horizontal="center" vertical="center"/>
    </xf>
    <xf numFmtId="167" fontId="1" fillId="0" borderId="0" xfId="2" applyNumberFormat="1" applyAlignment="1">
      <alignment horizontal="center" vertical="center"/>
    </xf>
    <xf numFmtId="168" fontId="1" fillId="4" borderId="2" xfId="5" applyNumberFormat="1" applyBorder="1" applyAlignment="1">
      <alignment horizontal="center" vertical="center"/>
    </xf>
    <xf numFmtId="169" fontId="1" fillId="0" borderId="0" xfId="2" applyNumberFormat="1" applyAlignment="1">
      <alignment horizontal="center" vertical="center"/>
    </xf>
    <xf numFmtId="166" fontId="1" fillId="4" borderId="2" xfId="1" applyNumberFormat="1" applyFill="1" applyBorder="1" applyAlignment="1">
      <alignment horizontal="center" vertical="center"/>
    </xf>
    <xf numFmtId="166" fontId="1" fillId="0" borderId="0" xfId="1" applyNumberFormat="1" applyAlignment="1">
      <alignment horizontal="center" vertical="center"/>
    </xf>
    <xf numFmtId="0" fontId="2" fillId="2" borderId="6" xfId="3" applyBorder="1" applyAlignment="1">
      <alignment horizontal="center" vertical="center"/>
    </xf>
    <xf numFmtId="0" fontId="0" fillId="0" borderId="5" xfId="0" applyBorder="1"/>
    <xf numFmtId="0" fontId="2" fillId="2" borderId="3" xfId="3" applyBorder="1" applyAlignment="1">
      <alignment horizontal="center" vertical="center"/>
    </xf>
    <xf numFmtId="0" fontId="0" fillId="0" borderId="4" xfId="0" applyBorder="1"/>
  </cellXfs>
  <cellStyles count="7">
    <cellStyle name="40% - Accent3" xfId="5" builtinId="39"/>
    <cellStyle name="60% - Accent3" xfId="6" builtinId="40"/>
    <cellStyle name="Accent3" xfId="4" builtinId="37"/>
    <cellStyle name="Check Cell" xfId="3" builtinId="23"/>
    <cellStyle name="Currency" xfId="1" builtinId="4"/>
    <cellStyle name="Normal" xfId="0" builtinId="0"/>
    <cellStyle name="Percent" xfId="2" builtinId="5"/>
  </cellStyles>
  <dxfs count="89">
    <dxf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0" formatCode="General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numFmt numFmtId="165" formatCode="&quot;$&quot;#,##0.00"/>
      <alignment horizontal="center" vertical="center"/>
    </dxf>
    <dxf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0" formatCode="General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numFmt numFmtId="165" formatCode="&quot;$&quot;#,##0.00"/>
      <alignment horizontal="center" vertical="center"/>
    </dxf>
    <dxf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0" formatCode="General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numFmt numFmtId="165" formatCode="&quot;$&quot;#,##0.00"/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 style="thin">
          <color theme="0"/>
        </left>
        <right/>
        <top/>
        <bottom/>
      </border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 style="thin">
          <color theme="0"/>
        </left>
        <right style="thin">
          <color theme="0"/>
        </right>
        <top/>
        <bottom/>
      </border>
      <protection locked="1" hidden="0"/>
    </dxf>
    <dxf>
      <numFmt numFmtId="166" formatCode="_([$$-409]* #,##0.00_);_([$$-409]* \(#,##0.00\);_([$$-409]* &quot;-&quot;??_);_(@_)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 style="thin">
          <color theme="0"/>
        </left>
        <right style="thin">
          <color theme="0"/>
        </right>
        <top/>
        <bottom/>
      </border>
      <protection locked="1" hidden="0"/>
    </dxf>
    <dxf>
      <numFmt numFmtId="166" formatCode="_([$$-409]* #,##0.00_);_([$$-409]* \(#,##0.00\);_([$$-409]* &quot;-&quot;??_);_(@_)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 style="thin">
          <color theme="0"/>
        </left>
        <right style="thin">
          <color theme="0"/>
        </right>
        <top/>
        <bottom/>
      </border>
      <protection locked="1" hidden="0"/>
    </dxf>
    <dxf>
      <alignment horizontal="center" vertical="center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 outline="0">
        <left/>
        <right style="thin">
          <color theme="0"/>
        </right>
        <top/>
        <bottom/>
      </border>
    </dxf>
    <dxf>
      <numFmt numFmtId="165" formatCode="&quot;$&quot;#,##0.0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/>
      <border>
        <left style="thin">
          <color theme="0"/>
        </left>
        <right style="thin">
          <color theme="0"/>
        </right>
        <top/>
        <bottom/>
      </border>
      <protection locked="1" hidden="0"/>
    </dxf>
    <dxf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6" formatCode="_([$$-409]* #,##0.00_);_([$$-409]* \(#,##0.00\);_([$$-409]* &quot;-&quot;??_);_(@_)"/>
      <fill>
        <patternFill>
          <fgColor indexed="64"/>
          <bgColor indexed="65"/>
        </patternFill>
      </fill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166" formatCode="_([$$-409]* #,##0.00_);_([$$-409]* \(#,##0.00\);_([$$-409]* &quot;-&quot;??_);_(@_)"/>
      <fill>
        <patternFill>
          <fgColor indexed="64"/>
          <bgColor indexed="65"/>
        </patternFill>
      </fill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5" formatCode="&quot;$&quot;#,##0.00"/>
      <alignment horizontal="center" vertical="center"/>
    </dxf>
    <dxf>
      <numFmt numFmtId="165" formatCode="&quot;$&quot;#,##0.00"/>
      <alignment horizontal="center" vertical="center"/>
    </dxf>
    <dxf>
      <numFmt numFmtId="19" formatCode="m/d/yyyy"/>
      <alignment horizontal="center" vertical="center"/>
    </dxf>
    <dxf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166" formatCode="_([$$-409]* #,##0.00_);_([$$-409]* \(#,##0.00\);_([$$-409]* &quot;-&quot;??_);_(@_)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numFmt numFmtId="165" formatCode="&quot;$&quot;#,##0.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bgColor theme="2" tint="-0.24994659260841701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theme="2" tint="-0.8999603259376811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88"/>
      <tableStyleElement type="headerRow" dxfId="87"/>
      <tableStyleElement type="firstRowStripe" dxfId="86"/>
      <tableStyleElement type="secondRowStripe" dxfId="8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 insertRow="1" totalsRowShown="0" headerRowDxfId="84" dataDxfId="83">
  <autoFilter ref="A1:I2" xr:uid="{00000000-0009-0000-0100-000001000000}"/>
  <tableColumns count="9">
    <tableColumn id="8" xr3:uid="{00000000-0010-0000-0000-000008000000}" name="Time" dataDxfId="82"/>
    <tableColumn id="1" xr3:uid="{00000000-0010-0000-0000-000001000000}" name="Symbol" dataDxfId="81"/>
    <tableColumn id="2" xr3:uid="{00000000-0010-0000-0000-000002000000}" name="Side" dataDxfId="80"/>
    <tableColumn id="3" xr3:uid="{00000000-0010-0000-0000-000003000000}" name="Type" dataDxfId="79"/>
    <tableColumn id="4" xr3:uid="{00000000-0010-0000-0000-000004000000}" name="Price" dataDxfId="78"/>
    <tableColumn id="5" xr3:uid="{00000000-0010-0000-0000-000005000000}" name="Quantity" dataDxfId="77" dataCellStyle="Currency"/>
    <tableColumn id="6" xr3:uid="{00000000-0010-0000-0000-000006000000}" name="PNL" dataDxfId="76" dataCellStyle="Currency"/>
    <tableColumn id="7" xr3:uid="{00000000-0010-0000-0000-000007000000}" name="Commission" dataDxfId="75" dataCellStyle="Currency"/>
    <tableColumn id="9" xr3:uid="{00000000-0010-0000-0000-000009000000}" name="Last Order ID" dataDxfId="7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2" insertRow="1" totalsRowShown="0" headerRowDxfId="73" dataDxfId="72">
  <autoFilter ref="A1:I2" xr:uid="{00000000-0009-0000-0100-000002000000}"/>
  <tableColumns count="9">
    <tableColumn id="8" xr3:uid="{00000000-0010-0000-0100-000008000000}" name="Time" dataDxfId="71" totalsRowDxfId="70"/>
    <tableColumn id="1" xr3:uid="{00000000-0010-0000-0100-000001000000}" name="Symbol" dataDxfId="69" totalsRowDxfId="68"/>
    <tableColumn id="2" xr3:uid="{00000000-0010-0000-0100-000002000000}" name="Side" dataDxfId="67" totalsRowDxfId="66"/>
    <tableColumn id="3" xr3:uid="{00000000-0010-0000-0100-000003000000}" name="Type" dataDxfId="65" totalsRowDxfId="64"/>
    <tableColumn id="4" xr3:uid="{00000000-0010-0000-0100-000004000000}" name="Price" dataDxfId="63" totalsRowDxfId="62"/>
    <tableColumn id="5" xr3:uid="{00000000-0010-0000-0100-000005000000}" name="Quantity" dataDxfId="61" totalsRowDxfId="60"/>
    <tableColumn id="6" xr3:uid="{00000000-0010-0000-0100-000006000000}" name="PNL" dataDxfId="59" totalsRowDxfId="58" dataCellStyle="Currency" totalsRowCellStyle="Currency"/>
    <tableColumn id="7" xr3:uid="{00000000-0010-0000-0100-000007000000}" name="Commission" dataDxfId="57" totalsRowDxfId="56" dataCellStyle="Currency" totalsRowCellStyle="Currency"/>
    <tableColumn id="9" xr3:uid="{00000000-0010-0000-0100-000009000000}" name="Last Order ID" dataDxfId="55" totalsRowDxfId="5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2" insertRow="1" headerRowDxfId="53" dataDxfId="52" totalsRowDxfId="51" headerRowCellStyle="Normal" dataCellStyle="Normal" totalsRowCellStyle="Normal">
  <autoFilter ref="A1:I2" xr:uid="{00000000-0009-0000-0100-000003000000}"/>
  <tableColumns count="9">
    <tableColumn id="8" xr3:uid="{00000000-0010-0000-0200-000008000000}" name="Time" dataDxfId="50" totalsRowDxfId="49" dataCellStyle="Normal" totalsRowCellStyle="Normal"/>
    <tableColumn id="1" xr3:uid="{00000000-0010-0000-0200-000001000000}" name="Symbol" totalsRowLabel="Total" dataDxfId="48" totalsRowDxfId="47" dataCellStyle="Normal"/>
    <tableColumn id="2" xr3:uid="{00000000-0010-0000-0200-000002000000}" name="Side" dataDxfId="46" totalsRowDxfId="45" dataCellStyle="Normal"/>
    <tableColumn id="3" xr3:uid="{00000000-0010-0000-0200-000003000000}" name="Type" dataDxfId="44" totalsRowDxfId="43" dataCellStyle="Normal"/>
    <tableColumn id="4" xr3:uid="{00000000-0010-0000-0200-000004000000}" name="Price" dataDxfId="42" totalsRowDxfId="41" dataCellStyle="Normal"/>
    <tableColumn id="5" xr3:uid="{00000000-0010-0000-0200-000005000000}" name="Quantity" dataDxfId="40" totalsRowDxfId="39" dataCellStyle="Normal"/>
    <tableColumn id="6" xr3:uid="{00000000-0010-0000-0200-000006000000}" name="PNL" dataDxfId="38" totalsRowDxfId="37" dataCellStyle="Currency"/>
    <tableColumn id="7" xr3:uid="{00000000-0010-0000-0200-000007000000}" name="Commission" dataDxfId="36" totalsRowDxfId="35" dataCellStyle="Normal"/>
    <tableColumn id="9" xr3:uid="{00000000-0010-0000-0200-000009000000}" name="Last Order ID" totalsRowFunction="sum" dataDxfId="34" totalsRowDxfId="33" dataCellStyle="Normal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56" displayName="Table356" ref="A1:I2" insertRow="1" totalsRowShown="0" headerRowDxfId="32" dataDxfId="31">
  <autoFilter ref="A1:I2" xr:uid="{00000000-0009-0000-0100-000004000000}"/>
  <tableColumns count="9">
    <tableColumn id="8" xr3:uid="{00000000-0010-0000-0300-000008000000}" name="Time" dataDxfId="30"/>
    <tableColumn id="1" xr3:uid="{00000000-0010-0000-0300-000001000000}" name="Symbol" dataDxfId="29"/>
    <tableColumn id="2" xr3:uid="{00000000-0010-0000-0300-000002000000}" name="Side" dataDxfId="28"/>
    <tableColumn id="3" xr3:uid="{00000000-0010-0000-0300-000003000000}" name="Type" dataDxfId="27"/>
    <tableColumn id="4" xr3:uid="{00000000-0010-0000-0300-000004000000}" name="Price" dataDxfId="26"/>
    <tableColumn id="5" xr3:uid="{00000000-0010-0000-0300-000005000000}" name="Quantity" dataDxfId="25" dataCellStyle="Currency"/>
    <tableColumn id="6" xr3:uid="{00000000-0010-0000-0300-000006000000}" name="PNL" dataDxfId="24" dataCellStyle="Currency"/>
    <tableColumn id="7" xr3:uid="{00000000-0010-0000-0300-000007000000}" name="Commission" dataDxfId="23" dataCellStyle="Currency"/>
    <tableColumn id="9" xr3:uid="{00000000-0010-0000-0300-000009000000}" name="Last Order ID" dataDxfId="2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35" displayName="Table35" ref="A1:I2" insertRow="1" totalsRowShown="0" headerRowDxfId="21" dataDxfId="20">
  <autoFilter ref="A1:I2" xr:uid="{00000000-0009-0000-0100-000005000000}"/>
  <tableColumns count="9">
    <tableColumn id="8" xr3:uid="{00000000-0010-0000-0400-000008000000}" name="Time" dataDxfId="19"/>
    <tableColumn id="1" xr3:uid="{00000000-0010-0000-0400-000001000000}" name="Symbol" dataDxfId="18"/>
    <tableColumn id="2" xr3:uid="{00000000-0010-0000-0400-000002000000}" name="Side" dataDxfId="17"/>
    <tableColumn id="3" xr3:uid="{00000000-0010-0000-0400-000003000000}" name="Type" dataDxfId="16"/>
    <tableColumn id="4" xr3:uid="{00000000-0010-0000-0400-000004000000}" name="Price" dataDxfId="15"/>
    <tableColumn id="5" xr3:uid="{00000000-0010-0000-0400-000005000000}" name="Quantity" dataDxfId="14"/>
    <tableColumn id="6" xr3:uid="{00000000-0010-0000-0400-000006000000}" name="PNL" dataDxfId="13" dataCellStyle="Currency"/>
    <tableColumn id="7" xr3:uid="{00000000-0010-0000-0400-000007000000}" name="Commission" dataDxfId="12" dataCellStyle="Currency"/>
    <tableColumn id="9" xr3:uid="{00000000-0010-0000-0400-000009000000}" name="Last Order ID" dataDxfId="11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57" displayName="Table357" ref="A1:I2" insertRow="1" totalsRowShown="0" headerRowDxfId="10" dataDxfId="9">
  <autoFilter ref="A1:I2" xr:uid="{00000000-0009-0000-0100-000006000000}"/>
  <tableColumns count="9">
    <tableColumn id="8" xr3:uid="{00000000-0010-0000-0500-000008000000}" name="Time" dataDxfId="8"/>
    <tableColumn id="1" xr3:uid="{00000000-0010-0000-0500-000001000000}" name="Symbol" dataDxfId="7"/>
    <tableColumn id="2" xr3:uid="{00000000-0010-0000-0500-000002000000}" name="Side" dataDxfId="6"/>
    <tableColumn id="3" xr3:uid="{00000000-0010-0000-0500-000003000000}" name="Type" dataDxfId="5"/>
    <tableColumn id="4" xr3:uid="{00000000-0010-0000-0500-000004000000}" name="Price" dataDxfId="4"/>
    <tableColumn id="5" xr3:uid="{00000000-0010-0000-0500-000005000000}" name="Quantity" dataDxfId="3"/>
    <tableColumn id="6" xr3:uid="{00000000-0010-0000-0500-000006000000}" name="PNL" dataDxfId="2" dataCellStyle="Currency"/>
    <tableColumn id="7" xr3:uid="{00000000-0010-0000-0500-000007000000}" name="Commission" dataDxfId="1" dataCellStyle="Currency"/>
    <tableColumn id="9" xr3:uid="{00000000-0010-0000-0500-000009000000}" name="Last Order I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"/>
  <sheetViews>
    <sheetView topLeftCell="A241" zoomScale="80" zoomScaleNormal="80" workbookViewId="0">
      <selection activeCell="I260" sqref="A3:I260"/>
    </sheetView>
  </sheetViews>
  <sheetFormatPr defaultRowHeight="14.4" x14ac:dyDescent="0.3"/>
  <cols>
    <col min="1" max="1" width="18.109375" style="13" bestFit="1" customWidth="1"/>
    <col min="2" max="2" width="12.88671875" style="13" bestFit="1" customWidth="1"/>
    <col min="3" max="3" width="10.21875" style="13" bestFit="1" customWidth="1"/>
    <col min="4" max="4" width="13.88671875" style="13" bestFit="1" customWidth="1"/>
    <col min="5" max="5" width="10.77734375" style="13" bestFit="1" customWidth="1"/>
    <col min="6" max="6" width="14" style="17" bestFit="1" customWidth="1"/>
    <col min="7" max="7" width="11.21875" style="17" bestFit="1" customWidth="1"/>
    <col min="8" max="8" width="18.5546875" style="13" bestFit="1" customWidth="1"/>
    <col min="9" max="9" width="17.44140625" style="13" bestFit="1" customWidth="1"/>
    <col min="10" max="10" width="25.77734375" style="13" bestFit="1" customWidth="1"/>
    <col min="11" max="11" width="25.21875" style="13" bestFit="1" customWidth="1"/>
    <col min="12" max="12" width="10.44140625" style="13" bestFit="1" customWidth="1"/>
    <col min="13" max="143" width="8.88671875" style="13" customWidth="1"/>
    <col min="144" max="16384" width="8.88671875" style="13"/>
  </cols>
  <sheetData>
    <row r="1" spans="1:12" ht="15" customHeight="1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7" t="s">
        <v>6</v>
      </c>
      <c r="H1" s="17" t="s">
        <v>7</v>
      </c>
      <c r="I1" s="13" t="s">
        <v>8</v>
      </c>
    </row>
    <row r="2" spans="1:12" ht="15" customHeight="1" thickTop="1" x14ac:dyDescent="0.3">
      <c r="B2" s="18"/>
      <c r="F2" s="13"/>
      <c r="G2" s="19"/>
      <c r="H2" s="19"/>
      <c r="K2" s="27" t="s">
        <v>9</v>
      </c>
      <c r="L2" s="28"/>
    </row>
    <row r="3" spans="1:12" x14ac:dyDescent="0.3">
      <c r="A3"/>
      <c r="B3"/>
      <c r="C3"/>
      <c r="D3"/>
      <c r="E3"/>
      <c r="F3"/>
      <c r="G3"/>
      <c r="H3"/>
      <c r="I3"/>
      <c r="K3" s="14" t="s">
        <v>12</v>
      </c>
      <c r="L3" s="2">
        <f>ROUNDDOWN(COUNT(Table1[Quantity]) / 2, 0)</f>
        <v>0</v>
      </c>
    </row>
    <row r="4" spans="1:12" x14ac:dyDescent="0.3">
      <c r="A4"/>
      <c r="B4"/>
      <c r="C4"/>
      <c r="D4"/>
      <c r="E4"/>
      <c r="F4"/>
      <c r="G4"/>
      <c r="H4"/>
      <c r="I4"/>
      <c r="K4" s="14" t="s">
        <v>15</v>
      </c>
      <c r="L4" s="20">
        <f>SUMIF(Table1[PNL], "&gt;0", Table1[PNL])</f>
        <v>0</v>
      </c>
    </row>
    <row r="5" spans="1:12" x14ac:dyDescent="0.3">
      <c r="A5"/>
      <c r="B5"/>
      <c r="C5"/>
      <c r="D5"/>
      <c r="E5"/>
      <c r="F5"/>
      <c r="G5"/>
      <c r="H5"/>
      <c r="I5"/>
      <c r="K5" s="14" t="s">
        <v>16</v>
      </c>
      <c r="L5" s="4">
        <f>SUMIF(Table1[PNL], "&lt;0", Table1[PNL])</f>
        <v>0</v>
      </c>
    </row>
    <row r="6" spans="1:12" x14ac:dyDescent="0.3">
      <c r="A6"/>
      <c r="B6"/>
      <c r="C6"/>
      <c r="D6"/>
      <c r="E6"/>
      <c r="F6"/>
      <c r="G6"/>
      <c r="H6"/>
      <c r="I6"/>
      <c r="K6" s="14" t="s">
        <v>17</v>
      </c>
      <c r="L6" s="4">
        <f>SUM(Table1[Commission])</f>
        <v>0</v>
      </c>
    </row>
    <row r="7" spans="1:12" x14ac:dyDescent="0.3">
      <c r="A7"/>
      <c r="B7"/>
      <c r="C7"/>
      <c r="D7"/>
      <c r="E7"/>
      <c r="F7"/>
      <c r="G7"/>
      <c r="H7"/>
      <c r="I7"/>
      <c r="K7" s="14" t="s">
        <v>18</v>
      </c>
      <c r="L7" s="20">
        <f>SUM(Table1[PNL]) - L6</f>
        <v>0</v>
      </c>
    </row>
    <row r="8" spans="1:12" x14ac:dyDescent="0.3">
      <c r="A8"/>
      <c r="B8"/>
      <c r="C8"/>
      <c r="D8"/>
      <c r="E8"/>
      <c r="F8"/>
      <c r="G8"/>
      <c r="H8"/>
      <c r="I8"/>
      <c r="K8" s="14" t="s">
        <v>19</v>
      </c>
      <c r="L8" s="6" t="e">
        <f>AVERAGEIF(Table1[Type], "Opening Order", Table1[Price])</f>
        <v>#DIV/0!</v>
      </c>
    </row>
    <row r="9" spans="1:12" x14ac:dyDescent="0.3">
      <c r="A9"/>
      <c r="B9"/>
      <c r="C9"/>
      <c r="D9"/>
      <c r="E9"/>
      <c r="F9"/>
      <c r="G9"/>
      <c r="H9"/>
      <c r="I9"/>
      <c r="K9" s="14" t="s">
        <v>20</v>
      </c>
      <c r="L9" s="2">
        <f>COUNTIFS(Table1[Side], "BUY", Table1[Type], "Opening Order")</f>
        <v>0</v>
      </c>
    </row>
    <row r="10" spans="1:12" x14ac:dyDescent="0.3">
      <c r="A10"/>
      <c r="B10"/>
      <c r="C10"/>
      <c r="D10"/>
      <c r="E10"/>
      <c r="F10"/>
      <c r="G10"/>
      <c r="H10"/>
      <c r="I10"/>
      <c r="K10" s="14" t="s">
        <v>21</v>
      </c>
      <c r="L10" s="5" t="e">
        <f>COUNTIFS(Table1[Side], "SELL", Table1[Type], "Closing Order", Table1[PNL], "&gt;0") / L9</f>
        <v>#DIV/0!</v>
      </c>
    </row>
    <row r="11" spans="1:12" x14ac:dyDescent="0.3">
      <c r="A11"/>
      <c r="B11"/>
      <c r="C11"/>
      <c r="D11"/>
      <c r="E11"/>
      <c r="F11"/>
      <c r="G11"/>
      <c r="H11"/>
      <c r="I11"/>
      <c r="K11" s="14" t="s">
        <v>22</v>
      </c>
      <c r="L11" s="2">
        <f>COUNTIFS(Table1[Side], "SELL", Table1[Type], "Opening Order")</f>
        <v>0</v>
      </c>
    </row>
    <row r="12" spans="1:12" x14ac:dyDescent="0.3">
      <c r="A12"/>
      <c r="B12"/>
      <c r="C12"/>
      <c r="D12"/>
      <c r="E12"/>
      <c r="F12"/>
      <c r="G12"/>
      <c r="H12"/>
      <c r="I12"/>
      <c r="K12" s="14" t="s">
        <v>23</v>
      </c>
      <c r="L12" s="5" t="e">
        <f>COUNTIFS(Table1[Side],"BUY", Table1[Type], "Closing Order", Table1[PNL],"&gt;0") / L11</f>
        <v>#DIV/0!</v>
      </c>
    </row>
    <row r="13" spans="1:12" x14ac:dyDescent="0.3">
      <c r="A13"/>
      <c r="B13"/>
      <c r="C13"/>
      <c r="D13"/>
      <c r="E13"/>
      <c r="F13"/>
      <c r="G13"/>
      <c r="H13"/>
      <c r="I13"/>
      <c r="K13" s="14" t="s">
        <v>24</v>
      </c>
      <c r="L13" s="7" t="e">
        <f>COUNTIF(Table1[PNL], "&gt;0")/L3</f>
        <v>#DIV/0!</v>
      </c>
    </row>
    <row r="14" spans="1:12" x14ac:dyDescent="0.3">
      <c r="A14"/>
      <c r="B14"/>
      <c r="C14"/>
      <c r="D14"/>
      <c r="E14"/>
      <c r="F14"/>
      <c r="G14"/>
      <c r="H14"/>
      <c r="I14"/>
      <c r="K14" s="14" t="s">
        <v>25</v>
      </c>
      <c r="L14" s="21" t="e">
        <f>AVERAGEIFS(Table1[PNL], Table1[PNL], "&gt;0", Table1[Type], "Closing Order")</f>
        <v>#DIV/0!</v>
      </c>
    </row>
    <row r="15" spans="1:12" x14ac:dyDescent="0.3">
      <c r="A15"/>
      <c r="B15"/>
      <c r="C15"/>
      <c r="D15"/>
      <c r="E15"/>
      <c r="F15"/>
      <c r="G15"/>
      <c r="H15"/>
      <c r="I15"/>
      <c r="K15" s="14" t="s">
        <v>26</v>
      </c>
      <c r="L15" s="21" t="e">
        <f>AVERAGEIFS(Table1[PNL], Table1[PNL], "&lt;0", Table1[Type], "Closing Order")</f>
        <v>#DIV/0!</v>
      </c>
    </row>
    <row r="16" spans="1:12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  <row r="183" spans="1:9" x14ac:dyDescent="0.3">
      <c r="A183"/>
      <c r="B183"/>
      <c r="C183"/>
      <c r="D183"/>
      <c r="E183"/>
      <c r="F183"/>
      <c r="G183"/>
      <c r="H183"/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  <row r="187" spans="1:9" x14ac:dyDescent="0.3">
      <c r="A187"/>
      <c r="B187"/>
      <c r="C187"/>
      <c r="D187"/>
      <c r="E187"/>
      <c r="F187"/>
      <c r="G187"/>
      <c r="H187"/>
      <c r="I187"/>
    </row>
    <row r="188" spans="1:9" x14ac:dyDescent="0.3">
      <c r="A188"/>
      <c r="B188"/>
      <c r="C188"/>
      <c r="D188"/>
      <c r="E188"/>
      <c r="F188"/>
      <c r="G188"/>
      <c r="H188"/>
      <c r="I188"/>
    </row>
    <row r="189" spans="1:9" x14ac:dyDescent="0.3">
      <c r="A189"/>
      <c r="B189"/>
      <c r="C189"/>
      <c r="D189"/>
      <c r="E189"/>
      <c r="F189"/>
      <c r="G189"/>
      <c r="H189"/>
      <c r="I189"/>
    </row>
    <row r="190" spans="1:9" x14ac:dyDescent="0.3">
      <c r="A190"/>
      <c r="B190"/>
      <c r="C190"/>
      <c r="D190"/>
      <c r="E190"/>
      <c r="F190"/>
      <c r="G190"/>
      <c r="H190"/>
      <c r="I190"/>
    </row>
    <row r="191" spans="1:9" x14ac:dyDescent="0.3">
      <c r="A191"/>
      <c r="B191"/>
      <c r="C191"/>
      <c r="D191"/>
      <c r="E191"/>
      <c r="F191"/>
      <c r="G191"/>
      <c r="H191"/>
      <c r="I191"/>
    </row>
    <row r="192" spans="1:9" x14ac:dyDescent="0.3">
      <c r="A192"/>
      <c r="B192"/>
      <c r="C192"/>
      <c r="D192"/>
      <c r="E192"/>
      <c r="F192"/>
      <c r="G192"/>
      <c r="H192"/>
      <c r="I192"/>
    </row>
    <row r="193" spans="1:9" x14ac:dyDescent="0.3">
      <c r="A193"/>
      <c r="B193"/>
      <c r="C193"/>
      <c r="D193"/>
      <c r="E193"/>
      <c r="F193"/>
      <c r="G193"/>
      <c r="H193"/>
      <c r="I193"/>
    </row>
    <row r="194" spans="1:9" x14ac:dyDescent="0.3">
      <c r="A194"/>
      <c r="B194"/>
      <c r="C194"/>
      <c r="D194"/>
      <c r="E194"/>
      <c r="F194"/>
      <c r="G194"/>
      <c r="H194"/>
      <c r="I194"/>
    </row>
    <row r="195" spans="1:9" x14ac:dyDescent="0.3">
      <c r="A195"/>
      <c r="B195"/>
      <c r="C195"/>
      <c r="D195"/>
      <c r="E195"/>
      <c r="F195"/>
      <c r="G195"/>
      <c r="H195"/>
      <c r="I195"/>
    </row>
    <row r="196" spans="1:9" x14ac:dyDescent="0.3">
      <c r="A196"/>
      <c r="B196"/>
      <c r="C196"/>
      <c r="D196"/>
      <c r="E196"/>
      <c r="F196"/>
      <c r="G196"/>
      <c r="H196"/>
      <c r="I196"/>
    </row>
    <row r="197" spans="1:9" x14ac:dyDescent="0.3">
      <c r="A197"/>
      <c r="B197"/>
      <c r="C197"/>
      <c r="D197"/>
      <c r="E197"/>
      <c r="F197"/>
      <c r="G197"/>
      <c r="H197"/>
      <c r="I197"/>
    </row>
    <row r="198" spans="1:9" x14ac:dyDescent="0.3">
      <c r="A198"/>
      <c r="B198"/>
      <c r="C198"/>
      <c r="D198"/>
      <c r="E198"/>
      <c r="F198"/>
      <c r="G198"/>
      <c r="H198"/>
      <c r="I198"/>
    </row>
    <row r="199" spans="1:9" x14ac:dyDescent="0.3">
      <c r="A199"/>
      <c r="B199"/>
      <c r="C199"/>
      <c r="D199"/>
      <c r="E199"/>
      <c r="F199"/>
      <c r="G199"/>
      <c r="H199"/>
      <c r="I199"/>
    </row>
    <row r="200" spans="1:9" x14ac:dyDescent="0.3">
      <c r="A200"/>
      <c r="B200"/>
      <c r="C200"/>
      <c r="D200"/>
      <c r="E200"/>
      <c r="F200"/>
      <c r="G200"/>
      <c r="H200"/>
      <c r="I200"/>
    </row>
    <row r="201" spans="1:9" x14ac:dyDescent="0.3">
      <c r="A201"/>
      <c r="B201"/>
      <c r="C201"/>
      <c r="D201"/>
      <c r="E201"/>
      <c r="F201"/>
      <c r="G201"/>
      <c r="H201"/>
      <c r="I201"/>
    </row>
    <row r="202" spans="1:9" x14ac:dyDescent="0.3">
      <c r="A202"/>
      <c r="B202"/>
      <c r="C202"/>
      <c r="D202"/>
      <c r="E202"/>
      <c r="F202"/>
      <c r="G202"/>
      <c r="H202"/>
      <c r="I202"/>
    </row>
    <row r="203" spans="1:9" x14ac:dyDescent="0.3">
      <c r="A203"/>
      <c r="B203"/>
      <c r="C203"/>
      <c r="D203"/>
      <c r="E203"/>
      <c r="F203"/>
      <c r="G203"/>
      <c r="H203"/>
      <c r="I203"/>
    </row>
    <row r="204" spans="1:9" x14ac:dyDescent="0.3">
      <c r="A204"/>
      <c r="B204"/>
      <c r="C204"/>
      <c r="D204"/>
      <c r="E204"/>
      <c r="F204"/>
      <c r="G204"/>
      <c r="H204"/>
      <c r="I204"/>
    </row>
    <row r="205" spans="1:9" x14ac:dyDescent="0.3">
      <c r="A205"/>
      <c r="B205"/>
      <c r="C205"/>
      <c r="D205"/>
      <c r="E205"/>
      <c r="F205"/>
      <c r="G205"/>
      <c r="H205"/>
      <c r="I205"/>
    </row>
    <row r="206" spans="1:9" x14ac:dyDescent="0.3">
      <c r="A206"/>
      <c r="B206"/>
      <c r="C206"/>
      <c r="D206"/>
      <c r="E206"/>
      <c r="F206"/>
      <c r="G206"/>
      <c r="H206"/>
      <c r="I206"/>
    </row>
    <row r="207" spans="1:9" x14ac:dyDescent="0.3">
      <c r="A207"/>
      <c r="B207"/>
      <c r="C207"/>
      <c r="D207"/>
      <c r="E207"/>
      <c r="F207"/>
      <c r="G207"/>
      <c r="H207"/>
      <c r="I207"/>
    </row>
    <row r="208" spans="1:9" x14ac:dyDescent="0.3">
      <c r="A208"/>
      <c r="B208"/>
      <c r="C208"/>
      <c r="D208"/>
      <c r="E208"/>
      <c r="F208"/>
      <c r="G208"/>
      <c r="H208"/>
      <c r="I208"/>
    </row>
    <row r="209" spans="1:9" x14ac:dyDescent="0.3">
      <c r="A209"/>
      <c r="B209"/>
      <c r="C209"/>
      <c r="D209"/>
      <c r="E209"/>
      <c r="F209"/>
      <c r="G209"/>
      <c r="H209"/>
      <c r="I209"/>
    </row>
    <row r="210" spans="1:9" x14ac:dyDescent="0.3">
      <c r="A210"/>
      <c r="B210"/>
      <c r="C210"/>
      <c r="D210"/>
      <c r="E210"/>
      <c r="F210"/>
      <c r="G210"/>
      <c r="H210"/>
      <c r="I210"/>
    </row>
    <row r="211" spans="1:9" x14ac:dyDescent="0.3">
      <c r="A211"/>
      <c r="B211"/>
      <c r="C211"/>
      <c r="D211"/>
      <c r="E211"/>
      <c r="F211"/>
      <c r="G211"/>
      <c r="H211"/>
      <c r="I211"/>
    </row>
    <row r="212" spans="1:9" x14ac:dyDescent="0.3">
      <c r="A212"/>
      <c r="B212"/>
      <c r="C212"/>
      <c r="D212"/>
      <c r="E212"/>
      <c r="F212"/>
      <c r="G212"/>
      <c r="H212"/>
      <c r="I212"/>
    </row>
    <row r="213" spans="1:9" x14ac:dyDescent="0.3">
      <c r="A213"/>
      <c r="B213"/>
      <c r="C213"/>
      <c r="D213"/>
      <c r="E213"/>
      <c r="F213"/>
      <c r="G213"/>
      <c r="H213"/>
      <c r="I213"/>
    </row>
    <row r="214" spans="1:9" x14ac:dyDescent="0.3">
      <c r="A214"/>
      <c r="B214"/>
      <c r="C214"/>
      <c r="D214"/>
      <c r="E214"/>
      <c r="F214"/>
      <c r="G214"/>
      <c r="H214"/>
      <c r="I214"/>
    </row>
    <row r="215" spans="1:9" x14ac:dyDescent="0.3">
      <c r="A215"/>
      <c r="B215"/>
      <c r="C215"/>
      <c r="D215"/>
      <c r="E215"/>
      <c r="F215"/>
      <c r="G215"/>
      <c r="H215"/>
      <c r="I215"/>
    </row>
    <row r="216" spans="1:9" x14ac:dyDescent="0.3">
      <c r="A216"/>
      <c r="B216"/>
      <c r="C216"/>
      <c r="D216"/>
      <c r="E216"/>
      <c r="F216"/>
      <c r="G216"/>
      <c r="H216"/>
      <c r="I216"/>
    </row>
    <row r="217" spans="1:9" x14ac:dyDescent="0.3">
      <c r="A217"/>
      <c r="B217"/>
      <c r="C217"/>
      <c r="D217"/>
      <c r="E217"/>
      <c r="F217"/>
      <c r="G217"/>
      <c r="H217"/>
      <c r="I217"/>
    </row>
    <row r="218" spans="1:9" x14ac:dyDescent="0.3">
      <c r="A218"/>
      <c r="B218"/>
      <c r="C218"/>
      <c r="D218"/>
      <c r="E218"/>
      <c r="F218"/>
      <c r="G218"/>
      <c r="H218"/>
      <c r="I218"/>
    </row>
    <row r="219" spans="1:9" x14ac:dyDescent="0.3">
      <c r="A219"/>
      <c r="B219"/>
      <c r="C219"/>
      <c r="D219"/>
      <c r="E219"/>
      <c r="F219"/>
      <c r="G219"/>
      <c r="H219"/>
      <c r="I219"/>
    </row>
    <row r="220" spans="1:9" x14ac:dyDescent="0.3">
      <c r="A220"/>
      <c r="B220"/>
      <c r="C220"/>
      <c r="D220"/>
      <c r="E220"/>
      <c r="F220"/>
      <c r="G220"/>
      <c r="H220"/>
      <c r="I220"/>
    </row>
    <row r="221" spans="1:9" x14ac:dyDescent="0.3">
      <c r="A221"/>
      <c r="B221"/>
      <c r="C221"/>
      <c r="D221"/>
      <c r="E221"/>
      <c r="F221"/>
      <c r="G221"/>
      <c r="H221"/>
      <c r="I221"/>
    </row>
    <row r="222" spans="1:9" x14ac:dyDescent="0.3">
      <c r="A222"/>
      <c r="B222"/>
      <c r="C222"/>
      <c r="D222"/>
      <c r="E222"/>
      <c r="F222"/>
      <c r="G222"/>
      <c r="H222"/>
      <c r="I222"/>
    </row>
    <row r="223" spans="1:9" x14ac:dyDescent="0.3">
      <c r="A223"/>
      <c r="B223"/>
      <c r="C223"/>
      <c r="D223"/>
      <c r="E223"/>
      <c r="F223"/>
      <c r="G223"/>
      <c r="H223"/>
      <c r="I223"/>
    </row>
    <row r="224" spans="1:9" x14ac:dyDescent="0.3">
      <c r="A224"/>
      <c r="B224"/>
      <c r="C224"/>
      <c r="D224"/>
      <c r="E224"/>
      <c r="F224"/>
      <c r="G224"/>
      <c r="H224"/>
      <c r="I224"/>
    </row>
    <row r="225" spans="1:9" x14ac:dyDescent="0.3">
      <c r="A225"/>
      <c r="B225"/>
      <c r="C225"/>
      <c r="D225"/>
      <c r="E225"/>
      <c r="F225"/>
      <c r="G225"/>
      <c r="H225"/>
      <c r="I225"/>
    </row>
    <row r="226" spans="1:9" x14ac:dyDescent="0.3">
      <c r="A226"/>
      <c r="B226"/>
      <c r="C226"/>
      <c r="D226"/>
      <c r="E226"/>
      <c r="F226"/>
      <c r="G226"/>
      <c r="H226"/>
      <c r="I226"/>
    </row>
    <row r="227" spans="1:9" x14ac:dyDescent="0.3">
      <c r="A227"/>
      <c r="B227"/>
      <c r="C227"/>
      <c r="D227"/>
      <c r="E227"/>
      <c r="F227"/>
      <c r="G227"/>
      <c r="H227"/>
      <c r="I227"/>
    </row>
    <row r="228" spans="1:9" x14ac:dyDescent="0.3">
      <c r="A228"/>
      <c r="B228"/>
      <c r="C228"/>
      <c r="D228"/>
      <c r="E228"/>
      <c r="F228"/>
      <c r="G228"/>
      <c r="H228"/>
      <c r="I228"/>
    </row>
    <row r="229" spans="1:9" x14ac:dyDescent="0.3">
      <c r="A229"/>
      <c r="B229"/>
      <c r="C229"/>
      <c r="D229"/>
      <c r="E229"/>
      <c r="F229"/>
      <c r="G229"/>
      <c r="H229"/>
      <c r="I229"/>
    </row>
    <row r="230" spans="1:9" x14ac:dyDescent="0.3">
      <c r="A230"/>
      <c r="B230"/>
      <c r="C230"/>
      <c r="D230"/>
      <c r="E230"/>
      <c r="F230"/>
      <c r="G230"/>
      <c r="H230"/>
      <c r="I230"/>
    </row>
    <row r="231" spans="1:9" x14ac:dyDescent="0.3">
      <c r="A231"/>
      <c r="B231"/>
      <c r="C231"/>
      <c r="D231"/>
      <c r="E231"/>
      <c r="F231"/>
      <c r="G231"/>
      <c r="H231"/>
      <c r="I231"/>
    </row>
    <row r="232" spans="1:9" x14ac:dyDescent="0.3">
      <c r="A232"/>
      <c r="B232"/>
      <c r="C232"/>
      <c r="D232"/>
      <c r="E232"/>
      <c r="F232"/>
      <c r="G232"/>
      <c r="H232"/>
      <c r="I232"/>
    </row>
    <row r="233" spans="1:9" x14ac:dyDescent="0.3">
      <c r="A233"/>
      <c r="B233"/>
      <c r="C233"/>
      <c r="D233"/>
      <c r="E233"/>
      <c r="F233"/>
      <c r="G233"/>
      <c r="H233"/>
      <c r="I233"/>
    </row>
    <row r="234" spans="1:9" x14ac:dyDescent="0.3">
      <c r="A234"/>
      <c r="B234"/>
      <c r="C234"/>
      <c r="D234"/>
      <c r="E234"/>
      <c r="F234"/>
      <c r="G234"/>
      <c r="H234"/>
      <c r="I234"/>
    </row>
    <row r="235" spans="1:9" x14ac:dyDescent="0.3">
      <c r="A235"/>
      <c r="B235"/>
      <c r="C235"/>
      <c r="D235"/>
      <c r="E235"/>
      <c r="F235"/>
      <c r="G235"/>
      <c r="H235"/>
      <c r="I235"/>
    </row>
    <row r="236" spans="1:9" x14ac:dyDescent="0.3">
      <c r="A236"/>
      <c r="B236"/>
      <c r="C236"/>
      <c r="D236"/>
      <c r="E236"/>
      <c r="F236"/>
      <c r="G236"/>
      <c r="H236"/>
      <c r="I236"/>
    </row>
    <row r="237" spans="1:9" x14ac:dyDescent="0.3">
      <c r="A237"/>
      <c r="B237"/>
      <c r="C237"/>
      <c r="D237"/>
      <c r="E237"/>
      <c r="F237"/>
      <c r="G237"/>
      <c r="H237"/>
      <c r="I237"/>
    </row>
    <row r="238" spans="1:9" x14ac:dyDescent="0.3">
      <c r="A238"/>
      <c r="B238"/>
      <c r="C238"/>
      <c r="D238"/>
      <c r="E238"/>
      <c r="F238"/>
      <c r="G238"/>
      <c r="H238"/>
      <c r="I238"/>
    </row>
    <row r="239" spans="1:9" x14ac:dyDescent="0.3">
      <c r="A239"/>
      <c r="B239"/>
      <c r="C239"/>
      <c r="D239"/>
      <c r="E239"/>
      <c r="F239"/>
      <c r="G239"/>
      <c r="H239"/>
      <c r="I239"/>
    </row>
    <row r="240" spans="1:9" x14ac:dyDescent="0.3">
      <c r="A240"/>
      <c r="B240"/>
      <c r="C240"/>
      <c r="D240"/>
      <c r="E240"/>
      <c r="F240"/>
      <c r="G240"/>
      <c r="H240"/>
      <c r="I240"/>
    </row>
    <row r="241" spans="1:9" x14ac:dyDescent="0.3">
      <c r="A241"/>
      <c r="B241"/>
      <c r="C241"/>
      <c r="D241"/>
      <c r="E241"/>
      <c r="F241"/>
      <c r="G241"/>
      <c r="H241"/>
      <c r="I241"/>
    </row>
    <row r="242" spans="1:9" x14ac:dyDescent="0.3">
      <c r="A242"/>
      <c r="B242"/>
      <c r="C242"/>
      <c r="D242"/>
      <c r="E242"/>
      <c r="F242"/>
      <c r="G242"/>
      <c r="H242"/>
      <c r="I242"/>
    </row>
    <row r="243" spans="1:9" x14ac:dyDescent="0.3">
      <c r="A243"/>
      <c r="B243"/>
      <c r="C243"/>
      <c r="D243"/>
      <c r="E243"/>
      <c r="F243"/>
      <c r="G243"/>
      <c r="H243"/>
      <c r="I243"/>
    </row>
    <row r="244" spans="1:9" x14ac:dyDescent="0.3">
      <c r="A244"/>
      <c r="B244"/>
      <c r="C244"/>
      <c r="D244"/>
      <c r="E244"/>
      <c r="F244"/>
      <c r="G244"/>
      <c r="H244"/>
      <c r="I244"/>
    </row>
    <row r="245" spans="1:9" x14ac:dyDescent="0.3">
      <c r="A245"/>
      <c r="B245"/>
      <c r="C245"/>
      <c r="D245"/>
      <c r="E245"/>
      <c r="F245"/>
      <c r="G245"/>
      <c r="H245"/>
      <c r="I245"/>
    </row>
    <row r="246" spans="1:9" x14ac:dyDescent="0.3">
      <c r="A246"/>
      <c r="B246"/>
      <c r="C246"/>
      <c r="D246"/>
      <c r="E246"/>
      <c r="F246"/>
      <c r="G246"/>
      <c r="H246"/>
      <c r="I246"/>
    </row>
    <row r="247" spans="1:9" x14ac:dyDescent="0.3">
      <c r="A247"/>
      <c r="B247"/>
      <c r="C247"/>
      <c r="D247"/>
      <c r="E247"/>
      <c r="F247"/>
      <c r="G247"/>
      <c r="H247"/>
      <c r="I247"/>
    </row>
    <row r="248" spans="1:9" x14ac:dyDescent="0.3">
      <c r="A248"/>
      <c r="B248"/>
      <c r="C248"/>
      <c r="D248"/>
      <c r="E248"/>
      <c r="F248"/>
      <c r="G248"/>
      <c r="H248"/>
      <c r="I248"/>
    </row>
    <row r="249" spans="1:9" x14ac:dyDescent="0.3">
      <c r="A249"/>
      <c r="B249"/>
      <c r="C249"/>
      <c r="D249"/>
      <c r="E249"/>
      <c r="F249"/>
      <c r="G249"/>
      <c r="H249"/>
      <c r="I249"/>
    </row>
    <row r="250" spans="1:9" x14ac:dyDescent="0.3">
      <c r="A250"/>
      <c r="B250"/>
      <c r="C250"/>
      <c r="D250"/>
      <c r="E250"/>
      <c r="F250"/>
      <c r="G250"/>
      <c r="H250"/>
      <c r="I250"/>
    </row>
    <row r="251" spans="1:9" x14ac:dyDescent="0.3">
      <c r="A251"/>
      <c r="B251"/>
      <c r="C251"/>
      <c r="D251"/>
      <c r="E251"/>
      <c r="F251"/>
      <c r="G251"/>
      <c r="H251"/>
      <c r="I251"/>
    </row>
    <row r="252" spans="1:9" x14ac:dyDescent="0.3">
      <c r="A252"/>
      <c r="B252"/>
      <c r="C252"/>
      <c r="D252"/>
      <c r="E252"/>
      <c r="F252"/>
      <c r="G252"/>
      <c r="H252"/>
      <c r="I252"/>
    </row>
    <row r="253" spans="1:9" x14ac:dyDescent="0.3">
      <c r="A253"/>
      <c r="B253"/>
      <c r="C253"/>
      <c r="D253"/>
      <c r="E253"/>
      <c r="F253"/>
      <c r="G253"/>
      <c r="H253"/>
      <c r="I253"/>
    </row>
    <row r="254" spans="1:9" x14ac:dyDescent="0.3">
      <c r="A254"/>
      <c r="B254"/>
      <c r="C254"/>
      <c r="D254"/>
      <c r="E254"/>
      <c r="F254"/>
      <c r="G254"/>
      <c r="H254"/>
      <c r="I254"/>
    </row>
    <row r="255" spans="1:9" x14ac:dyDescent="0.3">
      <c r="A255"/>
      <c r="B255"/>
      <c r="C255"/>
      <c r="D255"/>
      <c r="E255"/>
      <c r="F255"/>
      <c r="G255"/>
      <c r="H255"/>
      <c r="I255"/>
    </row>
    <row r="256" spans="1:9" x14ac:dyDescent="0.3">
      <c r="A256"/>
      <c r="B256"/>
      <c r="C256"/>
      <c r="D256"/>
      <c r="E256"/>
      <c r="F256"/>
      <c r="G256"/>
      <c r="H256"/>
      <c r="I256"/>
    </row>
    <row r="257" spans="1:9" x14ac:dyDescent="0.3">
      <c r="A257"/>
      <c r="B257"/>
      <c r="C257"/>
      <c r="D257"/>
      <c r="E257"/>
      <c r="F257"/>
      <c r="G257"/>
      <c r="H257"/>
      <c r="I257"/>
    </row>
    <row r="258" spans="1:9" x14ac:dyDescent="0.3">
      <c r="A258"/>
      <c r="B258"/>
      <c r="C258"/>
      <c r="D258"/>
      <c r="E258"/>
      <c r="F258"/>
      <c r="G258"/>
      <c r="H258"/>
      <c r="I258"/>
    </row>
    <row r="259" spans="1:9" x14ac:dyDescent="0.3">
      <c r="A259"/>
      <c r="B259"/>
      <c r="C259"/>
      <c r="D259"/>
      <c r="E259"/>
      <c r="F259"/>
      <c r="G259"/>
      <c r="H259"/>
      <c r="I259"/>
    </row>
    <row r="260" spans="1:9" x14ac:dyDescent="0.3">
      <c r="A260"/>
      <c r="B260"/>
      <c r="C260"/>
      <c r="D260"/>
      <c r="E260"/>
      <c r="F260"/>
      <c r="G260"/>
      <c r="H260"/>
      <c r="I260"/>
    </row>
  </sheetData>
  <mergeCells count="1">
    <mergeCell ref="K2:L2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2"/>
  <sheetViews>
    <sheetView zoomScaleNormal="100" workbookViewId="0">
      <selection activeCell="A2" sqref="A2:I83"/>
    </sheetView>
  </sheetViews>
  <sheetFormatPr defaultRowHeight="14.4" x14ac:dyDescent="0.3"/>
  <cols>
    <col min="1" max="1" width="18.109375" style="13" bestFit="1" customWidth="1"/>
    <col min="2" max="2" width="11.77734375" style="13" bestFit="1" customWidth="1"/>
    <col min="3" max="3" width="9" style="13" bestFit="1" customWidth="1"/>
    <col min="4" max="4" width="12.77734375" style="13" bestFit="1" customWidth="1"/>
    <col min="5" max="5" width="9.5546875" style="13" bestFit="1" customWidth="1"/>
    <col min="6" max="6" width="12.77734375" style="13" bestFit="1" customWidth="1"/>
    <col min="7" max="7" width="11" style="13" bestFit="1" customWidth="1"/>
    <col min="8" max="8" width="17" style="13" bestFit="1" customWidth="1"/>
    <col min="9" max="9" width="16.21875" style="13" bestFit="1" customWidth="1"/>
    <col min="10" max="11" width="23.33203125" style="13" bestFit="1" customWidth="1"/>
    <col min="12" max="12" width="10.21875" style="13" bestFit="1" customWidth="1"/>
    <col min="13" max="163" width="8.88671875" style="13" customWidth="1"/>
    <col min="164" max="16384" width="8.88671875" style="13"/>
  </cols>
  <sheetData>
    <row r="1" spans="1:12" ht="15" customHeight="1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3" t="s">
        <v>7</v>
      </c>
      <c r="I1" s="13" t="s">
        <v>8</v>
      </c>
    </row>
    <row r="2" spans="1:12" ht="15" customHeight="1" thickTop="1" x14ac:dyDescent="0.3">
      <c r="A2" s="12"/>
      <c r="B2" s="18"/>
      <c r="G2" s="19"/>
      <c r="H2" s="19"/>
      <c r="K2" s="27" t="s">
        <v>9</v>
      </c>
      <c r="L2" s="28"/>
    </row>
    <row r="3" spans="1:12" x14ac:dyDescent="0.3">
      <c r="A3"/>
      <c r="B3"/>
      <c r="C3"/>
      <c r="D3"/>
      <c r="E3"/>
      <c r="F3"/>
      <c r="G3"/>
      <c r="H3"/>
      <c r="I3"/>
      <c r="K3" s="14" t="s">
        <v>12</v>
      </c>
      <c r="L3" s="2">
        <f>ROUNDDOWN(COUNT(Table2[Quantity]) / 2, 0)</f>
        <v>0</v>
      </c>
    </row>
    <row r="4" spans="1:12" x14ac:dyDescent="0.3">
      <c r="A4"/>
      <c r="B4"/>
      <c r="C4"/>
      <c r="D4"/>
      <c r="E4"/>
      <c r="F4"/>
      <c r="G4"/>
      <c r="H4"/>
      <c r="I4"/>
      <c r="K4" s="14" t="s">
        <v>15</v>
      </c>
      <c r="L4" s="20">
        <f>SUMIF(Table2[PNL], "&gt;0", Table2[PNL])</f>
        <v>0</v>
      </c>
    </row>
    <row r="5" spans="1:12" x14ac:dyDescent="0.3">
      <c r="A5"/>
      <c r="B5"/>
      <c r="C5"/>
      <c r="D5"/>
      <c r="E5"/>
      <c r="F5"/>
      <c r="G5"/>
      <c r="H5"/>
      <c r="I5"/>
      <c r="K5" s="14" t="s">
        <v>16</v>
      </c>
      <c r="L5" s="4">
        <f>SUMIF(Table2[PNL], "&lt;0", Table2[PNL])</f>
        <v>0</v>
      </c>
    </row>
    <row r="6" spans="1:12" x14ac:dyDescent="0.3">
      <c r="A6"/>
      <c r="B6"/>
      <c r="C6"/>
      <c r="D6"/>
      <c r="E6"/>
      <c r="F6"/>
      <c r="G6"/>
      <c r="H6"/>
      <c r="I6"/>
      <c r="K6" s="14" t="s">
        <v>17</v>
      </c>
      <c r="L6" s="4">
        <f>SUM(Table2[Commission])</f>
        <v>0</v>
      </c>
    </row>
    <row r="7" spans="1:12" x14ac:dyDescent="0.3">
      <c r="A7"/>
      <c r="B7"/>
      <c r="C7"/>
      <c r="D7"/>
      <c r="E7"/>
      <c r="F7"/>
      <c r="G7"/>
      <c r="H7"/>
      <c r="I7"/>
      <c r="K7" s="14" t="s">
        <v>18</v>
      </c>
      <c r="L7" s="20">
        <f>SUM(Table2[PNL]) - L6</f>
        <v>0</v>
      </c>
    </row>
    <row r="8" spans="1:12" x14ac:dyDescent="0.3">
      <c r="A8"/>
      <c r="B8"/>
      <c r="C8"/>
      <c r="D8"/>
      <c r="E8"/>
      <c r="F8"/>
      <c r="G8"/>
      <c r="H8"/>
      <c r="I8"/>
      <c r="K8" s="14" t="s">
        <v>19</v>
      </c>
      <c r="L8" s="6" t="e">
        <f>AVERAGEIF(Table2[Type], "Opening Order", Table2[Price])</f>
        <v>#DIV/0!</v>
      </c>
    </row>
    <row r="9" spans="1:12" x14ac:dyDescent="0.3">
      <c r="A9"/>
      <c r="B9"/>
      <c r="C9"/>
      <c r="D9"/>
      <c r="E9"/>
      <c r="F9"/>
      <c r="G9"/>
      <c r="H9"/>
      <c r="I9"/>
      <c r="K9" s="14" t="s">
        <v>20</v>
      </c>
      <c r="L9" s="2">
        <f>COUNTIFS(Table2[Side], "BUY", Table2[Type], "Opening Order")</f>
        <v>0</v>
      </c>
    </row>
    <row r="10" spans="1:12" x14ac:dyDescent="0.3">
      <c r="A10"/>
      <c r="B10"/>
      <c r="C10"/>
      <c r="D10"/>
      <c r="E10"/>
      <c r="F10"/>
      <c r="G10"/>
      <c r="H10"/>
      <c r="I10"/>
      <c r="K10" s="14" t="s">
        <v>21</v>
      </c>
      <c r="L10" s="5" t="e">
        <f>COUNTIFS(Table2[Side], "SELL", Table2[Type], "Closing Order", Table2[PNL], "&gt;0") / $L$9</f>
        <v>#DIV/0!</v>
      </c>
    </row>
    <row r="11" spans="1:12" x14ac:dyDescent="0.3">
      <c r="A11"/>
      <c r="B11"/>
      <c r="C11"/>
      <c r="D11"/>
      <c r="E11"/>
      <c r="F11"/>
      <c r="G11"/>
      <c r="H11"/>
      <c r="I11"/>
      <c r="K11" s="14" t="s">
        <v>22</v>
      </c>
      <c r="L11" s="2">
        <f>COUNTIFS(Table2[Side], "SELL", Table2[Type], "Opening Order")</f>
        <v>0</v>
      </c>
    </row>
    <row r="12" spans="1:12" x14ac:dyDescent="0.3">
      <c r="A12"/>
      <c r="B12"/>
      <c r="C12"/>
      <c r="D12"/>
      <c r="E12"/>
      <c r="F12"/>
      <c r="G12"/>
      <c r="H12"/>
      <c r="I12"/>
      <c r="K12" s="14" t="s">
        <v>23</v>
      </c>
      <c r="L12" s="5" t="e">
        <f>COUNTIFS(Table2[Side],"BUY", Table2[Type], "Closing Order", Table2[PNL],"&gt;0") / $L$11</f>
        <v>#DIV/0!</v>
      </c>
    </row>
    <row r="13" spans="1:12" x14ac:dyDescent="0.3">
      <c r="A13"/>
      <c r="B13"/>
      <c r="C13"/>
      <c r="D13"/>
      <c r="E13"/>
      <c r="F13"/>
      <c r="G13"/>
      <c r="H13"/>
      <c r="I13"/>
      <c r="K13" s="14" t="s">
        <v>24</v>
      </c>
      <c r="L13" s="6" t="e">
        <f>COUNTIFS(Table2[PNL], "&gt;0", Table2[Type], "Closing Order")/L3</f>
        <v>#DIV/0!</v>
      </c>
    </row>
    <row r="14" spans="1:12" x14ac:dyDescent="0.3">
      <c r="A14"/>
      <c r="B14"/>
      <c r="C14"/>
      <c r="D14"/>
      <c r="E14"/>
      <c r="F14"/>
      <c r="G14"/>
      <c r="H14"/>
      <c r="I14"/>
      <c r="K14" s="14" t="s">
        <v>25</v>
      </c>
      <c r="L14" s="21" t="e">
        <f>AVERAGEIFS(Table2[PNL], Table2[PNL], "&gt;0", Table2[Type], "Closing Order")</f>
        <v>#DIV/0!</v>
      </c>
    </row>
    <row r="15" spans="1:12" x14ac:dyDescent="0.3">
      <c r="A15"/>
      <c r="B15"/>
      <c r="C15"/>
      <c r="D15"/>
      <c r="E15"/>
      <c r="F15"/>
      <c r="G15"/>
      <c r="H15"/>
      <c r="I15"/>
      <c r="K15" s="14" t="s">
        <v>26</v>
      </c>
      <c r="L15" s="21" t="e">
        <f>AVERAGEIFS(Table2[PNL], Table2[PNL], "&lt;0", Table2[Type], "Closing Order")</f>
        <v>#DIV/0!</v>
      </c>
    </row>
    <row r="16" spans="1:12" x14ac:dyDescent="0.3">
      <c r="A16"/>
      <c r="B16"/>
      <c r="C16"/>
      <c r="D16"/>
      <c r="E16"/>
      <c r="F16"/>
      <c r="G16"/>
      <c r="H16"/>
      <c r="I16"/>
    </row>
    <row r="17" spans="1:11" x14ac:dyDescent="0.3">
      <c r="A17"/>
      <c r="B17"/>
      <c r="C17"/>
      <c r="D17"/>
      <c r="E17"/>
      <c r="F17"/>
      <c r="G17"/>
      <c r="H17"/>
      <c r="I17"/>
    </row>
    <row r="18" spans="1:11" x14ac:dyDescent="0.3">
      <c r="A18"/>
      <c r="B18"/>
      <c r="C18"/>
      <c r="D18"/>
      <c r="E18"/>
      <c r="F18"/>
      <c r="G18"/>
      <c r="H18"/>
      <c r="I18"/>
      <c r="K18" s="8"/>
    </row>
    <row r="19" spans="1:11" x14ac:dyDescent="0.3">
      <c r="A19"/>
      <c r="B19"/>
      <c r="C19"/>
      <c r="D19"/>
      <c r="E19"/>
      <c r="F19"/>
      <c r="G19"/>
      <c r="H19"/>
      <c r="I19"/>
    </row>
    <row r="20" spans="1:11" x14ac:dyDescent="0.3">
      <c r="A20"/>
      <c r="B20"/>
      <c r="C20"/>
      <c r="D20"/>
      <c r="E20"/>
      <c r="F20"/>
      <c r="G20"/>
      <c r="H20"/>
      <c r="I20"/>
    </row>
    <row r="21" spans="1:11" x14ac:dyDescent="0.3">
      <c r="A21"/>
      <c r="B21"/>
      <c r="C21"/>
      <c r="D21"/>
      <c r="E21"/>
      <c r="F21"/>
      <c r="G21"/>
      <c r="H21"/>
      <c r="I21"/>
    </row>
    <row r="22" spans="1:11" x14ac:dyDescent="0.3">
      <c r="A22"/>
      <c r="B22"/>
      <c r="C22"/>
      <c r="D22"/>
      <c r="E22"/>
      <c r="F22"/>
      <c r="G22"/>
      <c r="H22"/>
      <c r="I22"/>
    </row>
    <row r="23" spans="1:11" x14ac:dyDescent="0.3">
      <c r="A23"/>
      <c r="B23"/>
      <c r="C23"/>
      <c r="D23"/>
      <c r="E23"/>
      <c r="F23"/>
      <c r="G23"/>
      <c r="H23"/>
      <c r="I23"/>
    </row>
    <row r="24" spans="1:11" x14ac:dyDescent="0.3">
      <c r="A24"/>
      <c r="B24"/>
      <c r="C24"/>
      <c r="D24"/>
      <c r="E24"/>
      <c r="F24"/>
      <c r="G24"/>
      <c r="H24"/>
      <c r="I24"/>
    </row>
    <row r="25" spans="1:11" x14ac:dyDescent="0.3">
      <c r="A25"/>
      <c r="B25"/>
      <c r="C25"/>
      <c r="D25"/>
      <c r="E25"/>
      <c r="F25"/>
      <c r="G25"/>
      <c r="H25"/>
      <c r="I25"/>
    </row>
    <row r="26" spans="1:11" x14ac:dyDescent="0.3">
      <c r="A26"/>
      <c r="B26"/>
      <c r="C26"/>
      <c r="D26"/>
      <c r="E26"/>
      <c r="F26"/>
      <c r="G26"/>
      <c r="H26"/>
      <c r="I26"/>
    </row>
    <row r="27" spans="1:11" x14ac:dyDescent="0.3">
      <c r="A27"/>
      <c r="B27"/>
      <c r="C27"/>
      <c r="D27"/>
      <c r="E27"/>
      <c r="F27"/>
      <c r="G27"/>
      <c r="H27"/>
      <c r="I27"/>
    </row>
    <row r="28" spans="1:11" x14ac:dyDescent="0.3">
      <c r="A28"/>
      <c r="B28"/>
      <c r="C28"/>
      <c r="D28"/>
      <c r="E28"/>
      <c r="F28"/>
      <c r="G28"/>
      <c r="H28"/>
      <c r="I28"/>
    </row>
    <row r="29" spans="1:11" x14ac:dyDescent="0.3">
      <c r="A29"/>
      <c r="B29"/>
      <c r="C29"/>
      <c r="D29"/>
      <c r="E29"/>
      <c r="F29"/>
      <c r="G29"/>
      <c r="H29"/>
      <c r="I29"/>
    </row>
    <row r="30" spans="1:11" x14ac:dyDescent="0.3">
      <c r="A30"/>
      <c r="B30"/>
      <c r="C30"/>
      <c r="D30"/>
      <c r="E30"/>
      <c r="F30"/>
      <c r="G30"/>
      <c r="H30"/>
      <c r="I30"/>
    </row>
    <row r="31" spans="1:11" x14ac:dyDescent="0.3">
      <c r="A31"/>
      <c r="B31"/>
      <c r="C31"/>
      <c r="D31"/>
      <c r="E31"/>
      <c r="F31"/>
      <c r="G31"/>
      <c r="H31"/>
      <c r="I31"/>
    </row>
    <row r="32" spans="1:11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 t="s">
        <v>29</v>
      </c>
      <c r="B84" t="s">
        <v>28</v>
      </c>
      <c r="C84" t="s">
        <v>10</v>
      </c>
      <c r="D84" t="s">
        <v>14</v>
      </c>
      <c r="E84">
        <v>0.76329999999999998</v>
      </c>
      <c r="F84">
        <v>258.39999999999998</v>
      </c>
      <c r="G84">
        <v>2.6615199999999999</v>
      </c>
      <c r="H84">
        <v>7.8894679999999995E-2</v>
      </c>
      <c r="I84">
        <v>843975613</v>
      </c>
    </row>
    <row r="85" spans="1:9" x14ac:dyDescent="0.3">
      <c r="A85" t="s">
        <v>30</v>
      </c>
      <c r="B85" t="s">
        <v>28</v>
      </c>
      <c r="C85" t="s">
        <v>10</v>
      </c>
      <c r="D85" t="s">
        <v>11</v>
      </c>
      <c r="E85">
        <v>0.7702</v>
      </c>
      <c r="F85">
        <v>262</v>
      </c>
      <c r="G85">
        <v>0</v>
      </c>
      <c r="H85">
        <v>8.0716940000000001E-2</v>
      </c>
      <c r="I85">
        <v>845139669</v>
      </c>
    </row>
    <row r="86" spans="1:9" x14ac:dyDescent="0.3">
      <c r="A86" t="s">
        <v>31</v>
      </c>
      <c r="B86" t="s">
        <v>28</v>
      </c>
      <c r="C86" t="s">
        <v>13</v>
      </c>
      <c r="D86" t="s">
        <v>14</v>
      </c>
      <c r="E86">
        <v>0.77580000000000005</v>
      </c>
      <c r="F86">
        <v>262</v>
      </c>
      <c r="G86">
        <v>1.4672000000000001</v>
      </c>
      <c r="H86">
        <v>8.1303840000000002E-2</v>
      </c>
      <c r="I86">
        <v>845260736</v>
      </c>
    </row>
    <row r="87" spans="1:9" x14ac:dyDescent="0.3">
      <c r="A87" t="s">
        <v>27</v>
      </c>
      <c r="B87" t="s">
        <v>28</v>
      </c>
      <c r="C87" t="s">
        <v>13</v>
      </c>
      <c r="D87" t="s">
        <v>11</v>
      </c>
      <c r="E87">
        <v>0.76639999999999997</v>
      </c>
      <c r="F87">
        <v>265</v>
      </c>
      <c r="G87">
        <v>0</v>
      </c>
      <c r="H87">
        <v>8.1238400000000002E-2</v>
      </c>
      <c r="I87">
        <v>845471961</v>
      </c>
    </row>
    <row r="88" spans="1:9" x14ac:dyDescent="0.3">
      <c r="A88" t="s">
        <v>32</v>
      </c>
      <c r="B88" t="s">
        <v>28</v>
      </c>
      <c r="C88" t="s">
        <v>10</v>
      </c>
      <c r="D88" t="s">
        <v>14</v>
      </c>
      <c r="E88">
        <v>0.7641</v>
      </c>
      <c r="F88">
        <v>265</v>
      </c>
      <c r="G88">
        <v>0.60950000000000004</v>
      </c>
      <c r="H88">
        <v>8.09946E-2</v>
      </c>
      <c r="I88">
        <v>845585751</v>
      </c>
    </row>
    <row r="89" spans="1:9" x14ac:dyDescent="0.3">
      <c r="A89" t="s">
        <v>33</v>
      </c>
      <c r="B89" t="s">
        <v>28</v>
      </c>
      <c r="C89" t="s">
        <v>10</v>
      </c>
      <c r="D89" t="s">
        <v>11</v>
      </c>
      <c r="E89">
        <v>0.75349999999999995</v>
      </c>
      <c r="F89">
        <v>270</v>
      </c>
      <c r="G89">
        <v>0</v>
      </c>
      <c r="H89">
        <v>8.1378000000000006E-2</v>
      </c>
      <c r="I89">
        <v>846239792</v>
      </c>
    </row>
    <row r="90" spans="1:9" x14ac:dyDescent="0.3">
      <c r="A90" t="s">
        <v>34</v>
      </c>
      <c r="B90" t="s">
        <v>28</v>
      </c>
      <c r="C90" t="s">
        <v>13</v>
      </c>
      <c r="D90" t="s">
        <v>14</v>
      </c>
      <c r="E90">
        <v>0.75509999999999999</v>
      </c>
      <c r="F90">
        <v>270</v>
      </c>
      <c r="G90">
        <v>0.43199999999999988</v>
      </c>
      <c r="H90">
        <v>8.1550789999999984E-2</v>
      </c>
      <c r="I90">
        <v>846262037</v>
      </c>
    </row>
    <row r="91" spans="1:9" x14ac:dyDescent="0.3">
      <c r="A91" t="s">
        <v>35</v>
      </c>
      <c r="B91" t="s">
        <v>28</v>
      </c>
      <c r="C91" t="s">
        <v>13</v>
      </c>
      <c r="D91" t="s">
        <v>11</v>
      </c>
      <c r="E91">
        <v>0.71960000000000002</v>
      </c>
      <c r="F91">
        <v>283</v>
      </c>
      <c r="G91">
        <v>0</v>
      </c>
      <c r="H91">
        <v>8.1458719999999998E-2</v>
      </c>
      <c r="I91">
        <v>847427038</v>
      </c>
    </row>
    <row r="92" spans="1:9" x14ac:dyDescent="0.3">
      <c r="A92" t="s">
        <v>36</v>
      </c>
      <c r="B92" t="s">
        <v>28</v>
      </c>
      <c r="C92" t="s">
        <v>10</v>
      </c>
      <c r="D92" t="s">
        <v>14</v>
      </c>
      <c r="E92">
        <v>0.71870000000000001</v>
      </c>
      <c r="F92">
        <v>283</v>
      </c>
      <c r="G92">
        <v>0.25469999999999998</v>
      </c>
      <c r="H92">
        <v>8.135684E-2</v>
      </c>
      <c r="I92">
        <v>847439236</v>
      </c>
    </row>
    <row r="93" spans="1:9" x14ac:dyDescent="0.3">
      <c r="A93" t="s">
        <v>37</v>
      </c>
      <c r="B93" t="s">
        <v>28</v>
      </c>
      <c r="C93" t="s">
        <v>10</v>
      </c>
      <c r="D93" t="s">
        <v>11</v>
      </c>
      <c r="E93">
        <v>0.6653</v>
      </c>
      <c r="F93">
        <v>306</v>
      </c>
      <c r="G93">
        <v>0</v>
      </c>
      <c r="H93">
        <v>8.143272E-2</v>
      </c>
      <c r="I93">
        <v>849023699</v>
      </c>
    </row>
    <row r="94" spans="1:9" x14ac:dyDescent="0.3">
      <c r="A94" t="s">
        <v>38</v>
      </c>
      <c r="B94" t="s">
        <v>28</v>
      </c>
      <c r="C94" t="s">
        <v>13</v>
      </c>
      <c r="D94" t="s">
        <v>14</v>
      </c>
      <c r="E94">
        <v>0.66539999999999999</v>
      </c>
      <c r="F94">
        <v>306</v>
      </c>
      <c r="G94">
        <v>3.0599999999999999E-2</v>
      </c>
      <c r="H94">
        <v>8.1444959999999997E-2</v>
      </c>
      <c r="I94">
        <v>849061529</v>
      </c>
    </row>
    <row r="95" spans="1:9" x14ac:dyDescent="0.3">
      <c r="A95" t="s">
        <v>39</v>
      </c>
      <c r="B95" t="s">
        <v>28</v>
      </c>
      <c r="C95" t="s">
        <v>10</v>
      </c>
      <c r="D95" t="s">
        <v>11</v>
      </c>
      <c r="E95">
        <v>0.67420000000000002</v>
      </c>
      <c r="F95">
        <v>302</v>
      </c>
      <c r="G95">
        <v>0</v>
      </c>
      <c r="H95">
        <v>8.1443349999999998E-2</v>
      </c>
      <c r="I95">
        <v>849266699</v>
      </c>
    </row>
    <row r="96" spans="1:9" x14ac:dyDescent="0.3">
      <c r="A96" t="s">
        <v>40</v>
      </c>
      <c r="B96" t="s">
        <v>28</v>
      </c>
      <c r="C96" t="s">
        <v>13</v>
      </c>
      <c r="D96" t="s">
        <v>14</v>
      </c>
      <c r="E96">
        <v>0.67510000000000003</v>
      </c>
      <c r="F96">
        <v>302</v>
      </c>
      <c r="G96">
        <v>0.27179999999999999</v>
      </c>
      <c r="H96">
        <v>8.1552079999999999E-2</v>
      </c>
      <c r="I96">
        <v>849286558</v>
      </c>
    </row>
    <row r="97" spans="1:9" x14ac:dyDescent="0.3">
      <c r="A97" t="s">
        <v>41</v>
      </c>
      <c r="B97" t="s">
        <v>28</v>
      </c>
      <c r="C97" t="s">
        <v>10</v>
      </c>
      <c r="D97" t="s">
        <v>11</v>
      </c>
      <c r="E97">
        <v>0.69199999999999995</v>
      </c>
      <c r="F97">
        <v>294</v>
      </c>
      <c r="G97">
        <v>0</v>
      </c>
      <c r="H97">
        <v>8.1379199999999999E-2</v>
      </c>
      <c r="I97">
        <v>849451922</v>
      </c>
    </row>
    <row r="98" spans="1:9" x14ac:dyDescent="0.3">
      <c r="A98" t="s">
        <v>42</v>
      </c>
      <c r="B98" t="s">
        <v>28</v>
      </c>
      <c r="C98" t="s">
        <v>13</v>
      </c>
      <c r="D98" t="s">
        <v>14</v>
      </c>
      <c r="E98">
        <v>0.69389999999999996</v>
      </c>
      <c r="F98">
        <v>294</v>
      </c>
      <c r="G98">
        <v>0.55859999999999999</v>
      </c>
      <c r="H98">
        <v>8.1602640000000004E-2</v>
      </c>
      <c r="I98">
        <v>849482837</v>
      </c>
    </row>
    <row r="99" spans="1:9" x14ac:dyDescent="0.3">
      <c r="A99" t="s">
        <v>43</v>
      </c>
      <c r="B99" t="s">
        <v>28</v>
      </c>
      <c r="C99" t="s">
        <v>10</v>
      </c>
      <c r="D99" t="s">
        <v>11</v>
      </c>
      <c r="E99">
        <v>0.69779999999999998</v>
      </c>
      <c r="F99">
        <v>292</v>
      </c>
      <c r="G99">
        <v>0</v>
      </c>
      <c r="H99">
        <v>8.1503039999999999E-2</v>
      </c>
      <c r="I99">
        <v>849568552</v>
      </c>
    </row>
    <row r="100" spans="1:9" x14ac:dyDescent="0.3">
      <c r="A100" t="s">
        <v>44</v>
      </c>
      <c r="B100" t="s">
        <v>28</v>
      </c>
      <c r="C100" t="s">
        <v>13</v>
      </c>
      <c r="D100" t="s">
        <v>14</v>
      </c>
      <c r="E100">
        <v>0.70279999999999998</v>
      </c>
      <c r="F100">
        <v>292</v>
      </c>
      <c r="G100">
        <v>1.46</v>
      </c>
      <c r="H100">
        <v>8.2087030000000005E-2</v>
      </c>
      <c r="I100">
        <v>849592482</v>
      </c>
    </row>
    <row r="101" spans="1:9" x14ac:dyDescent="0.3">
      <c r="A101" t="s">
        <v>45</v>
      </c>
      <c r="B101" t="s">
        <v>28</v>
      </c>
      <c r="C101" t="s">
        <v>13</v>
      </c>
      <c r="D101" t="s">
        <v>11</v>
      </c>
      <c r="E101">
        <v>0.65010000000000001</v>
      </c>
      <c r="F101">
        <v>315</v>
      </c>
      <c r="G101">
        <v>0</v>
      </c>
      <c r="H101">
        <v>8.1912600000000002E-2</v>
      </c>
      <c r="I101">
        <v>850819025</v>
      </c>
    </row>
    <row r="102" spans="1:9" x14ac:dyDescent="0.3">
      <c r="A102" t="s">
        <v>46</v>
      </c>
      <c r="B102" t="s">
        <v>28</v>
      </c>
      <c r="C102" t="s">
        <v>10</v>
      </c>
      <c r="D102" t="s">
        <v>14</v>
      </c>
      <c r="E102">
        <v>0.64839999999999998</v>
      </c>
      <c r="F102">
        <v>315</v>
      </c>
      <c r="G102">
        <v>0.53550000000000009</v>
      </c>
      <c r="H102">
        <v>8.169839000000001E-2</v>
      </c>
      <c r="I102">
        <v>850871477</v>
      </c>
    </row>
    <row r="103" spans="1:9" x14ac:dyDescent="0.3">
      <c r="A103" t="s">
        <v>47</v>
      </c>
      <c r="B103" t="s">
        <v>28</v>
      </c>
      <c r="C103" t="s">
        <v>10</v>
      </c>
      <c r="D103" t="s">
        <v>11</v>
      </c>
      <c r="E103">
        <v>0.60529999999999995</v>
      </c>
      <c r="F103">
        <v>716</v>
      </c>
      <c r="G103">
        <v>0</v>
      </c>
      <c r="H103">
        <v>0.17282075</v>
      </c>
      <c r="I103">
        <v>854399858</v>
      </c>
    </row>
    <row r="104" spans="1:9" x14ac:dyDescent="0.3">
      <c r="A104" t="s">
        <v>48</v>
      </c>
      <c r="B104" t="s">
        <v>28</v>
      </c>
      <c r="C104" t="s">
        <v>13</v>
      </c>
      <c r="D104" t="s">
        <v>14</v>
      </c>
      <c r="E104">
        <v>0.60140000000000005</v>
      </c>
      <c r="F104">
        <v>746</v>
      </c>
      <c r="G104">
        <v>0.40599998999999998</v>
      </c>
      <c r="H104">
        <v>0.18026718999999999</v>
      </c>
      <c r="I104">
        <v>854446935</v>
      </c>
    </row>
    <row r="105" spans="1:9" x14ac:dyDescent="0.3">
      <c r="A105" t="s">
        <v>49</v>
      </c>
      <c r="B105" t="s">
        <v>28</v>
      </c>
      <c r="C105" t="s">
        <v>10</v>
      </c>
      <c r="D105" t="s">
        <v>11</v>
      </c>
      <c r="E105">
        <v>0.61880000000000002</v>
      </c>
      <c r="F105">
        <v>365</v>
      </c>
      <c r="G105">
        <v>0</v>
      </c>
      <c r="H105">
        <v>9.0344800000000003E-2</v>
      </c>
      <c r="I105">
        <v>855309771</v>
      </c>
    </row>
    <row r="106" spans="1:9" x14ac:dyDescent="0.3">
      <c r="A106" t="s">
        <v>50</v>
      </c>
      <c r="B106" t="s">
        <v>28</v>
      </c>
      <c r="C106" t="s">
        <v>13</v>
      </c>
      <c r="D106" t="s">
        <v>14</v>
      </c>
      <c r="E106">
        <v>0.61240000000000006</v>
      </c>
      <c r="F106">
        <v>365</v>
      </c>
      <c r="G106">
        <v>-2.3359999999999999</v>
      </c>
      <c r="H106">
        <v>8.9410400000000001E-2</v>
      </c>
      <c r="I106">
        <v>855364831</v>
      </c>
    </row>
    <row r="107" spans="1:9" x14ac:dyDescent="0.3">
      <c r="A107" t="s">
        <v>51</v>
      </c>
      <c r="B107" t="s">
        <v>28</v>
      </c>
      <c r="C107" t="s">
        <v>13</v>
      </c>
      <c r="D107" t="s">
        <v>11</v>
      </c>
      <c r="E107">
        <v>0.6089</v>
      </c>
      <c r="F107">
        <v>366</v>
      </c>
      <c r="G107">
        <v>0</v>
      </c>
      <c r="H107">
        <v>8.9142949999999999E-2</v>
      </c>
      <c r="I107">
        <v>856157104</v>
      </c>
    </row>
    <row r="108" spans="1:9" x14ac:dyDescent="0.3">
      <c r="A108" t="s">
        <v>52</v>
      </c>
      <c r="B108" t="s">
        <v>28</v>
      </c>
      <c r="C108" t="s">
        <v>10</v>
      </c>
      <c r="D108" t="s">
        <v>14</v>
      </c>
      <c r="E108">
        <v>0.61339999999999995</v>
      </c>
      <c r="F108">
        <v>366</v>
      </c>
      <c r="G108">
        <v>-1.647</v>
      </c>
      <c r="H108">
        <v>8.9801759999999994E-2</v>
      </c>
      <c r="I108">
        <v>856225035</v>
      </c>
    </row>
    <row r="109" spans="1:9" x14ac:dyDescent="0.3">
      <c r="A109" t="s">
        <v>53</v>
      </c>
      <c r="B109" t="s">
        <v>28</v>
      </c>
      <c r="C109" t="s">
        <v>10</v>
      </c>
      <c r="D109" t="s">
        <v>11</v>
      </c>
      <c r="E109">
        <v>0.64319999999999999</v>
      </c>
      <c r="F109">
        <v>344</v>
      </c>
      <c r="G109">
        <v>0</v>
      </c>
      <c r="H109">
        <v>8.8504310000000003E-2</v>
      </c>
      <c r="I109">
        <v>856652332</v>
      </c>
    </row>
    <row r="110" spans="1:9" x14ac:dyDescent="0.3">
      <c r="A110" t="s">
        <v>54</v>
      </c>
      <c r="B110" t="s">
        <v>28</v>
      </c>
      <c r="C110" t="s">
        <v>13</v>
      </c>
      <c r="D110" t="s">
        <v>14</v>
      </c>
      <c r="E110">
        <v>0.64370000000000005</v>
      </c>
      <c r="F110">
        <v>344</v>
      </c>
      <c r="G110">
        <v>0.17199999999999999</v>
      </c>
      <c r="H110">
        <v>8.8573120000000005E-2</v>
      </c>
      <c r="I110">
        <v>856680126</v>
      </c>
    </row>
    <row r="111" spans="1:9" x14ac:dyDescent="0.3">
      <c r="A111" t="s">
        <v>55</v>
      </c>
      <c r="B111" t="s">
        <v>28</v>
      </c>
      <c r="C111" t="s">
        <v>13</v>
      </c>
      <c r="D111" t="s">
        <v>11</v>
      </c>
      <c r="E111">
        <v>0.63600000000000001</v>
      </c>
      <c r="F111">
        <v>349</v>
      </c>
      <c r="G111">
        <v>0</v>
      </c>
      <c r="H111">
        <v>8.8785600000000006E-2</v>
      </c>
      <c r="I111">
        <v>857061312</v>
      </c>
    </row>
    <row r="112" spans="1:9" x14ac:dyDescent="0.3">
      <c r="A112" t="s">
        <v>56</v>
      </c>
      <c r="B112" t="s">
        <v>28</v>
      </c>
      <c r="C112" t="s">
        <v>10</v>
      </c>
      <c r="D112" t="s">
        <v>14</v>
      </c>
      <c r="E112">
        <v>0.63619999999999999</v>
      </c>
      <c r="F112">
        <v>349</v>
      </c>
      <c r="G112">
        <v>-6.9800000000000001E-2</v>
      </c>
      <c r="H112">
        <v>8.8813500000000004E-2</v>
      </c>
      <c r="I112">
        <v>857132058</v>
      </c>
    </row>
    <row r="113" spans="1:9" x14ac:dyDescent="0.3">
      <c r="A113" t="s">
        <v>57</v>
      </c>
      <c r="B113" t="s">
        <v>28</v>
      </c>
      <c r="C113" t="s">
        <v>13</v>
      </c>
      <c r="D113" t="s">
        <v>11</v>
      </c>
      <c r="E113">
        <v>0.627</v>
      </c>
      <c r="F113">
        <v>353</v>
      </c>
      <c r="G113">
        <v>0</v>
      </c>
      <c r="H113">
        <v>8.8532400000000011E-2</v>
      </c>
      <c r="I113">
        <v>857190696</v>
      </c>
    </row>
    <row r="114" spans="1:9" x14ac:dyDescent="0.3">
      <c r="A114" t="s">
        <v>58</v>
      </c>
      <c r="B114" t="s">
        <v>28</v>
      </c>
      <c r="C114" t="s">
        <v>10</v>
      </c>
      <c r="D114" t="s">
        <v>14</v>
      </c>
      <c r="E114">
        <v>0.626</v>
      </c>
      <c r="F114">
        <v>353</v>
      </c>
      <c r="G114">
        <v>0.35299999999999998</v>
      </c>
      <c r="H114">
        <v>8.8391200000000003E-2</v>
      </c>
      <c r="I114">
        <v>857203776</v>
      </c>
    </row>
    <row r="115" spans="1:9" x14ac:dyDescent="0.3">
      <c r="A115" t="s">
        <v>59</v>
      </c>
      <c r="B115" t="s">
        <v>28</v>
      </c>
      <c r="C115" t="s">
        <v>13</v>
      </c>
      <c r="D115" t="s">
        <v>11</v>
      </c>
      <c r="E115">
        <v>0.59279999999999999</v>
      </c>
      <c r="F115">
        <v>373</v>
      </c>
      <c r="G115">
        <v>0</v>
      </c>
      <c r="H115">
        <v>8.8445759999999998E-2</v>
      </c>
      <c r="I115">
        <v>858682808</v>
      </c>
    </row>
    <row r="116" spans="1:9" x14ac:dyDescent="0.3">
      <c r="A116" t="s">
        <v>60</v>
      </c>
      <c r="B116" t="s">
        <v>28</v>
      </c>
      <c r="C116" t="s">
        <v>10</v>
      </c>
      <c r="D116" t="s">
        <v>14</v>
      </c>
      <c r="E116">
        <v>0.59889999999999999</v>
      </c>
      <c r="F116">
        <v>373</v>
      </c>
      <c r="G116">
        <v>-2.2753000000000001</v>
      </c>
      <c r="H116">
        <v>8.9355879999999999E-2</v>
      </c>
      <c r="I116">
        <v>858752001</v>
      </c>
    </row>
    <row r="117" spans="1:9" x14ac:dyDescent="0.3">
      <c r="A117" t="s">
        <v>61</v>
      </c>
      <c r="B117" t="s">
        <v>28</v>
      </c>
      <c r="C117" t="s">
        <v>10</v>
      </c>
      <c r="D117" t="s">
        <v>11</v>
      </c>
      <c r="E117">
        <v>0.57230000000000003</v>
      </c>
      <c r="F117">
        <v>383</v>
      </c>
      <c r="G117">
        <v>0</v>
      </c>
      <c r="H117">
        <v>8.7676359999999995E-2</v>
      </c>
      <c r="I117">
        <v>859988380</v>
      </c>
    </row>
    <row r="118" spans="1:9" x14ac:dyDescent="0.3">
      <c r="A118" t="s">
        <v>62</v>
      </c>
      <c r="B118" t="s">
        <v>28</v>
      </c>
      <c r="C118" t="s">
        <v>13</v>
      </c>
      <c r="D118" t="s">
        <v>14</v>
      </c>
      <c r="E118">
        <v>0.57220000000000004</v>
      </c>
      <c r="F118">
        <v>383</v>
      </c>
      <c r="G118">
        <v>-3.8300000000000001E-2</v>
      </c>
      <c r="H118">
        <v>8.7661039999999996E-2</v>
      </c>
      <c r="I118">
        <v>860002433</v>
      </c>
    </row>
    <row r="119" spans="1:9" x14ac:dyDescent="0.3">
      <c r="A119" t="s">
        <v>63</v>
      </c>
      <c r="B119" t="s">
        <v>28</v>
      </c>
      <c r="C119" t="s">
        <v>13</v>
      </c>
      <c r="D119" t="s">
        <v>11</v>
      </c>
      <c r="E119">
        <v>0.56100000000000005</v>
      </c>
      <c r="F119">
        <v>390</v>
      </c>
      <c r="G119">
        <v>0</v>
      </c>
      <c r="H119">
        <v>8.7515999999999997E-2</v>
      </c>
      <c r="I119">
        <v>860222660</v>
      </c>
    </row>
    <row r="120" spans="1:9" x14ac:dyDescent="0.3">
      <c r="A120" t="s">
        <v>64</v>
      </c>
      <c r="B120" t="s">
        <v>28</v>
      </c>
      <c r="C120" t="s">
        <v>10</v>
      </c>
      <c r="D120" t="s">
        <v>14</v>
      </c>
      <c r="E120">
        <v>0.56669999999999998</v>
      </c>
      <c r="F120">
        <v>390</v>
      </c>
      <c r="G120">
        <v>-2.2229999999999999</v>
      </c>
      <c r="H120">
        <v>8.8405200000000003E-2</v>
      </c>
      <c r="I120">
        <v>860262936</v>
      </c>
    </row>
    <row r="121" spans="1:9" x14ac:dyDescent="0.3">
      <c r="A121" t="s">
        <v>65</v>
      </c>
      <c r="B121" t="s">
        <v>28</v>
      </c>
      <c r="C121" t="s">
        <v>13</v>
      </c>
      <c r="D121" t="s">
        <v>11</v>
      </c>
      <c r="E121">
        <v>0.48720000000000002</v>
      </c>
      <c r="F121">
        <v>444</v>
      </c>
      <c r="G121">
        <v>0</v>
      </c>
      <c r="H121">
        <v>8.6526720000000001E-2</v>
      </c>
      <c r="I121">
        <v>861774459</v>
      </c>
    </row>
    <row r="122" spans="1:9" x14ac:dyDescent="0.3">
      <c r="A122" t="s">
        <v>66</v>
      </c>
      <c r="B122" t="s">
        <v>28</v>
      </c>
      <c r="C122" t="s">
        <v>10</v>
      </c>
      <c r="D122" t="s">
        <v>14</v>
      </c>
      <c r="E122">
        <v>0.48509999999999998</v>
      </c>
      <c r="F122">
        <v>444</v>
      </c>
      <c r="G122">
        <v>0.93240000000000001</v>
      </c>
      <c r="H122">
        <v>8.6153759999999996E-2</v>
      </c>
      <c r="I122">
        <v>861802893</v>
      </c>
    </row>
    <row r="123" spans="1:9" x14ac:dyDescent="0.3">
      <c r="A123" t="s">
        <v>67</v>
      </c>
      <c r="B123" t="s">
        <v>28</v>
      </c>
      <c r="C123" t="s">
        <v>10</v>
      </c>
      <c r="D123" t="s">
        <v>11</v>
      </c>
      <c r="E123">
        <v>0.52449999999999997</v>
      </c>
      <c r="F123">
        <v>413</v>
      </c>
      <c r="G123">
        <v>0</v>
      </c>
      <c r="H123">
        <v>8.6647399999999999E-2</v>
      </c>
      <c r="I123">
        <v>862970244</v>
      </c>
    </row>
    <row r="124" spans="1:9" x14ac:dyDescent="0.3">
      <c r="A124" t="s">
        <v>68</v>
      </c>
      <c r="B124" t="s">
        <v>28</v>
      </c>
      <c r="C124" t="s">
        <v>13</v>
      </c>
      <c r="D124" t="s">
        <v>14</v>
      </c>
      <c r="E124">
        <v>0.51900000000000002</v>
      </c>
      <c r="F124">
        <v>412.99999999999989</v>
      </c>
      <c r="G124">
        <v>-2.2715000000000001</v>
      </c>
      <c r="H124">
        <v>8.5738780000000001E-2</v>
      </c>
      <c r="I124">
        <v>863004860</v>
      </c>
    </row>
    <row r="125" spans="1:9" x14ac:dyDescent="0.3">
      <c r="A125" t="s">
        <v>69</v>
      </c>
      <c r="B125" t="s">
        <v>28</v>
      </c>
      <c r="C125" t="s">
        <v>10</v>
      </c>
      <c r="D125" t="s">
        <v>11</v>
      </c>
      <c r="E125">
        <v>0.3896</v>
      </c>
      <c r="F125">
        <v>593</v>
      </c>
      <c r="G125">
        <v>0</v>
      </c>
      <c r="H125">
        <v>9.2413120000000001E-2</v>
      </c>
      <c r="I125">
        <v>867238401</v>
      </c>
    </row>
    <row r="126" spans="1:9" x14ac:dyDescent="0.3">
      <c r="A126" t="s">
        <v>70</v>
      </c>
      <c r="B126" t="s">
        <v>28</v>
      </c>
      <c r="C126" t="s">
        <v>13</v>
      </c>
      <c r="D126" t="s">
        <v>14</v>
      </c>
      <c r="E126">
        <v>0.3911</v>
      </c>
      <c r="F126">
        <v>593</v>
      </c>
      <c r="G126">
        <v>0.88949999999999996</v>
      </c>
      <c r="H126">
        <v>9.2768920000000005E-2</v>
      </c>
      <c r="I126">
        <v>867246015</v>
      </c>
    </row>
    <row r="127" spans="1:9" x14ac:dyDescent="0.3">
      <c r="A127" t="s">
        <v>71</v>
      </c>
      <c r="B127" t="s">
        <v>28</v>
      </c>
      <c r="C127" t="s">
        <v>13</v>
      </c>
      <c r="D127" t="s">
        <v>11</v>
      </c>
      <c r="E127">
        <v>0.4254</v>
      </c>
      <c r="F127">
        <v>543</v>
      </c>
      <c r="G127">
        <v>0</v>
      </c>
      <c r="H127">
        <v>9.2396870000000006E-2</v>
      </c>
      <c r="I127">
        <v>868879099</v>
      </c>
    </row>
    <row r="128" spans="1:9" x14ac:dyDescent="0.3">
      <c r="A128" t="s">
        <v>72</v>
      </c>
      <c r="B128" t="s">
        <v>28</v>
      </c>
      <c r="C128" t="s">
        <v>10</v>
      </c>
      <c r="D128" t="s">
        <v>14</v>
      </c>
      <c r="E128">
        <v>0.4299</v>
      </c>
      <c r="F128">
        <v>543</v>
      </c>
      <c r="G128">
        <v>-2.4434999999999998</v>
      </c>
      <c r="H128">
        <v>9.3374280000000004E-2</v>
      </c>
      <c r="I128">
        <v>868896995</v>
      </c>
    </row>
    <row r="129" spans="1:9" x14ac:dyDescent="0.3">
      <c r="A129" t="s">
        <v>73</v>
      </c>
      <c r="B129" t="s">
        <v>28</v>
      </c>
      <c r="C129" t="s">
        <v>10</v>
      </c>
      <c r="D129" t="s">
        <v>11</v>
      </c>
      <c r="E129">
        <v>0.42309999999999998</v>
      </c>
      <c r="F129">
        <v>539</v>
      </c>
      <c r="G129">
        <v>0</v>
      </c>
      <c r="H129">
        <v>9.1220339999999997E-2</v>
      </c>
      <c r="I129">
        <v>869510081</v>
      </c>
    </row>
    <row r="130" spans="1:9" x14ac:dyDescent="0.3">
      <c r="A130" t="s">
        <v>74</v>
      </c>
      <c r="B130" t="s">
        <v>28</v>
      </c>
      <c r="C130" t="s">
        <v>13</v>
      </c>
      <c r="D130" t="s">
        <v>14</v>
      </c>
      <c r="E130">
        <v>0.42420000000000002</v>
      </c>
      <c r="F130">
        <v>539</v>
      </c>
      <c r="G130">
        <v>0.59289999999999998</v>
      </c>
      <c r="H130">
        <v>9.145752E-2</v>
      </c>
      <c r="I130">
        <v>869527265</v>
      </c>
    </row>
    <row r="131" spans="1:9" x14ac:dyDescent="0.3">
      <c r="A131" t="s">
        <v>75</v>
      </c>
      <c r="B131" t="s">
        <v>28</v>
      </c>
      <c r="C131" t="s">
        <v>10</v>
      </c>
      <c r="D131" t="s">
        <v>11</v>
      </c>
      <c r="E131">
        <v>0.42170000000000002</v>
      </c>
      <c r="F131">
        <v>541</v>
      </c>
      <c r="G131">
        <v>0</v>
      </c>
      <c r="H131">
        <v>9.1255879999999998E-2</v>
      </c>
      <c r="I131">
        <v>869572420</v>
      </c>
    </row>
    <row r="132" spans="1:9" x14ac:dyDescent="0.3">
      <c r="A132" t="s">
        <v>76</v>
      </c>
      <c r="B132" t="s">
        <v>28</v>
      </c>
      <c r="C132" t="s">
        <v>13</v>
      </c>
      <c r="D132" t="s">
        <v>14</v>
      </c>
      <c r="E132">
        <v>0.42199999999999999</v>
      </c>
      <c r="F132">
        <v>541</v>
      </c>
      <c r="G132">
        <v>0.1623</v>
      </c>
      <c r="H132">
        <v>9.1320800000000008E-2</v>
      </c>
      <c r="I132">
        <v>869585934</v>
      </c>
    </row>
    <row r="133" spans="1:9" x14ac:dyDescent="0.3">
      <c r="A133" t="s">
        <v>77</v>
      </c>
      <c r="B133" t="s">
        <v>28</v>
      </c>
      <c r="C133" t="s">
        <v>10</v>
      </c>
      <c r="D133" t="s">
        <v>11</v>
      </c>
      <c r="E133">
        <v>0.42280000000000001</v>
      </c>
      <c r="F133">
        <v>539</v>
      </c>
      <c r="G133">
        <v>0</v>
      </c>
      <c r="H133">
        <v>9.1165230000000014E-2</v>
      </c>
      <c r="I133">
        <v>870181331</v>
      </c>
    </row>
    <row r="134" spans="1:9" x14ac:dyDescent="0.3">
      <c r="A134" t="s">
        <v>78</v>
      </c>
      <c r="B134" t="s">
        <v>28</v>
      </c>
      <c r="C134" t="s">
        <v>13</v>
      </c>
      <c r="D134" t="s">
        <v>14</v>
      </c>
      <c r="E134">
        <v>0.41799999999999998</v>
      </c>
      <c r="F134">
        <v>539</v>
      </c>
      <c r="G134">
        <v>-2.61109999</v>
      </c>
      <c r="H134">
        <v>9.0120800000000001E-2</v>
      </c>
      <c r="I134">
        <v>870202855</v>
      </c>
    </row>
    <row r="135" spans="1:9" x14ac:dyDescent="0.3">
      <c r="A135" t="s">
        <v>79</v>
      </c>
      <c r="B135" t="s">
        <v>28</v>
      </c>
      <c r="C135" t="s">
        <v>10</v>
      </c>
      <c r="D135" t="s">
        <v>11</v>
      </c>
      <c r="E135">
        <v>0.43070000000000003</v>
      </c>
      <c r="F135">
        <v>523</v>
      </c>
      <c r="G135">
        <v>0</v>
      </c>
      <c r="H135">
        <v>9.0102440000000006E-2</v>
      </c>
      <c r="I135">
        <v>870563995</v>
      </c>
    </row>
    <row r="136" spans="1:9" x14ac:dyDescent="0.3">
      <c r="A136" t="s">
        <v>80</v>
      </c>
      <c r="B136" t="s">
        <v>28</v>
      </c>
      <c r="C136" t="s">
        <v>13</v>
      </c>
      <c r="D136" t="s">
        <v>14</v>
      </c>
      <c r="E136">
        <v>0.43099999999999999</v>
      </c>
      <c r="F136">
        <v>523</v>
      </c>
      <c r="G136">
        <v>0.15690000000000001</v>
      </c>
      <c r="H136">
        <v>9.0165200000000001E-2</v>
      </c>
      <c r="I136">
        <v>870600914</v>
      </c>
    </row>
    <row r="137" spans="1:9" x14ac:dyDescent="0.3">
      <c r="A137" t="s">
        <v>81</v>
      </c>
      <c r="B137" t="s">
        <v>28</v>
      </c>
      <c r="C137" t="s">
        <v>13</v>
      </c>
      <c r="D137" t="s">
        <v>11</v>
      </c>
      <c r="E137">
        <v>0.42599999999999999</v>
      </c>
      <c r="F137">
        <v>1589</v>
      </c>
      <c r="G137">
        <v>0</v>
      </c>
      <c r="H137">
        <v>0.27204478999999998</v>
      </c>
      <c r="I137">
        <v>871105523</v>
      </c>
    </row>
    <row r="138" spans="1:9" x14ac:dyDescent="0.3">
      <c r="A138" t="s">
        <v>82</v>
      </c>
      <c r="B138" t="s">
        <v>28</v>
      </c>
      <c r="C138" t="s">
        <v>10</v>
      </c>
      <c r="D138" t="s">
        <v>14</v>
      </c>
      <c r="E138">
        <v>0.43659999999999999</v>
      </c>
      <c r="F138">
        <v>533</v>
      </c>
      <c r="G138">
        <v>-2.4518</v>
      </c>
      <c r="H138">
        <v>9.3083109999999997E-2</v>
      </c>
      <c r="I138">
        <v>871117256</v>
      </c>
    </row>
    <row r="139" spans="1:9" x14ac:dyDescent="0.3">
      <c r="A139" t="s">
        <v>83</v>
      </c>
      <c r="B139" t="s">
        <v>28</v>
      </c>
      <c r="C139" t="s">
        <v>10</v>
      </c>
      <c r="D139" t="s">
        <v>11</v>
      </c>
      <c r="E139">
        <v>0.4204</v>
      </c>
      <c r="F139">
        <v>541</v>
      </c>
      <c r="G139">
        <v>0</v>
      </c>
      <c r="H139">
        <v>9.0974559999999996E-2</v>
      </c>
      <c r="I139">
        <v>872189627</v>
      </c>
    </row>
    <row r="140" spans="1:9" x14ac:dyDescent="0.3">
      <c r="A140" t="s">
        <v>84</v>
      </c>
      <c r="B140" t="s">
        <v>28</v>
      </c>
      <c r="C140" t="s">
        <v>13</v>
      </c>
      <c r="D140" t="s">
        <v>14</v>
      </c>
      <c r="E140">
        <v>0.42349999999999999</v>
      </c>
      <c r="F140">
        <v>541</v>
      </c>
      <c r="G140">
        <v>1.6771</v>
      </c>
      <c r="H140">
        <v>9.1645389999999993E-2</v>
      </c>
      <c r="I140">
        <v>872208009</v>
      </c>
    </row>
    <row r="141" spans="1:9" x14ac:dyDescent="0.3">
      <c r="A141" t="s">
        <v>85</v>
      </c>
      <c r="B141" t="s">
        <v>28</v>
      </c>
      <c r="C141" t="s">
        <v>13</v>
      </c>
      <c r="D141" t="s">
        <v>11</v>
      </c>
      <c r="E141">
        <v>0.4138</v>
      </c>
      <c r="F141">
        <v>551</v>
      </c>
      <c r="G141">
        <v>0</v>
      </c>
      <c r="H141">
        <v>9.120151E-2</v>
      </c>
      <c r="I141">
        <v>872602917</v>
      </c>
    </row>
    <row r="142" spans="1:9" x14ac:dyDescent="0.3">
      <c r="A142" t="s">
        <v>86</v>
      </c>
      <c r="B142" t="s">
        <v>28</v>
      </c>
      <c r="C142" t="s">
        <v>10</v>
      </c>
      <c r="D142" t="s">
        <v>14</v>
      </c>
      <c r="E142">
        <v>0.41170000000000001</v>
      </c>
      <c r="F142">
        <v>551</v>
      </c>
      <c r="G142">
        <v>1.1571</v>
      </c>
      <c r="H142">
        <v>9.0738680000000002E-2</v>
      </c>
      <c r="I142">
        <v>872610988</v>
      </c>
    </row>
    <row r="143" spans="1:9" x14ac:dyDescent="0.3">
      <c r="A143" t="s">
        <v>87</v>
      </c>
      <c r="B143" t="s">
        <v>28</v>
      </c>
      <c r="C143" t="s">
        <v>10</v>
      </c>
      <c r="D143" t="s">
        <v>11</v>
      </c>
      <c r="E143">
        <v>0.41110000000000002</v>
      </c>
      <c r="F143">
        <v>559</v>
      </c>
      <c r="G143">
        <v>0</v>
      </c>
      <c r="H143">
        <v>9.1921959999999997E-2</v>
      </c>
      <c r="I143">
        <v>872864904</v>
      </c>
    </row>
    <row r="144" spans="1:9" x14ac:dyDescent="0.3">
      <c r="A144" t="s">
        <v>88</v>
      </c>
      <c r="B144" t="s">
        <v>28</v>
      </c>
      <c r="C144" t="s">
        <v>13</v>
      </c>
      <c r="D144" t="s">
        <v>14</v>
      </c>
      <c r="E144">
        <v>0.41289999999999999</v>
      </c>
      <c r="F144">
        <v>559</v>
      </c>
      <c r="G144">
        <v>1.0062</v>
      </c>
      <c r="H144">
        <v>9.2324439999999994E-2</v>
      </c>
      <c r="I144">
        <v>872927981</v>
      </c>
    </row>
    <row r="145" spans="1:9" x14ac:dyDescent="0.3">
      <c r="A145" t="s">
        <v>89</v>
      </c>
      <c r="B145" t="s">
        <v>28</v>
      </c>
      <c r="C145" t="s">
        <v>10</v>
      </c>
      <c r="D145" t="s">
        <v>11</v>
      </c>
      <c r="E145">
        <v>0.4158</v>
      </c>
      <c r="F145">
        <v>554</v>
      </c>
      <c r="G145">
        <v>0</v>
      </c>
      <c r="H145">
        <v>9.2141280000000006E-2</v>
      </c>
      <c r="I145">
        <v>873118403</v>
      </c>
    </row>
    <row r="146" spans="1:9" x14ac:dyDescent="0.3">
      <c r="A146" t="s">
        <v>90</v>
      </c>
      <c r="B146" t="s">
        <v>28</v>
      </c>
      <c r="C146" t="s">
        <v>13</v>
      </c>
      <c r="D146" t="s">
        <v>14</v>
      </c>
      <c r="E146">
        <v>0.41810000000000003</v>
      </c>
      <c r="F146">
        <v>576</v>
      </c>
      <c r="G146">
        <v>1.2599</v>
      </c>
      <c r="H146">
        <v>9.6335959999999998E-2</v>
      </c>
      <c r="I146">
        <v>873229228</v>
      </c>
    </row>
    <row r="147" spans="1:9" x14ac:dyDescent="0.3">
      <c r="A147" t="s">
        <v>91</v>
      </c>
      <c r="B147" t="s">
        <v>28</v>
      </c>
      <c r="C147" t="s">
        <v>10</v>
      </c>
      <c r="D147" t="s">
        <v>11</v>
      </c>
      <c r="E147">
        <v>0.41039999999999999</v>
      </c>
      <c r="F147">
        <v>577</v>
      </c>
      <c r="G147">
        <v>0</v>
      </c>
      <c r="H147">
        <v>9.4720310000000002E-2</v>
      </c>
      <c r="I147">
        <v>874027525</v>
      </c>
    </row>
    <row r="148" spans="1:9" x14ac:dyDescent="0.3">
      <c r="A148" t="s">
        <v>92</v>
      </c>
      <c r="B148" t="s">
        <v>28</v>
      </c>
      <c r="C148" t="s">
        <v>13</v>
      </c>
      <c r="D148" t="s">
        <v>14</v>
      </c>
      <c r="E148">
        <v>0.4037</v>
      </c>
      <c r="F148">
        <v>577</v>
      </c>
      <c r="G148">
        <v>-3.8658999999999999</v>
      </c>
      <c r="H148">
        <v>9.317396E-2</v>
      </c>
      <c r="I148">
        <v>874046196</v>
      </c>
    </row>
    <row r="149" spans="1:9" x14ac:dyDescent="0.3">
      <c r="A149" t="s">
        <v>93</v>
      </c>
      <c r="B149" t="s">
        <v>28</v>
      </c>
      <c r="C149" t="s">
        <v>10</v>
      </c>
      <c r="D149" t="s">
        <v>11</v>
      </c>
      <c r="E149">
        <v>0.39269999999999999</v>
      </c>
      <c r="F149">
        <v>593</v>
      </c>
      <c r="G149">
        <v>0</v>
      </c>
      <c r="H149">
        <v>9.3148439999999999E-2</v>
      </c>
      <c r="I149">
        <v>875283317</v>
      </c>
    </row>
    <row r="150" spans="1:9" x14ac:dyDescent="0.3">
      <c r="A150" t="s">
        <v>94</v>
      </c>
      <c r="B150" t="s">
        <v>28</v>
      </c>
      <c r="C150" t="s">
        <v>13</v>
      </c>
      <c r="D150" t="s">
        <v>14</v>
      </c>
      <c r="E150">
        <v>0.39439999999999997</v>
      </c>
      <c r="F150">
        <v>593</v>
      </c>
      <c r="G150">
        <v>1.0081</v>
      </c>
      <c r="H150">
        <v>9.3551679999999998E-2</v>
      </c>
      <c r="I150">
        <v>875289053</v>
      </c>
    </row>
    <row r="151" spans="1:9" x14ac:dyDescent="0.3">
      <c r="A151" t="s">
        <v>95</v>
      </c>
      <c r="B151" t="s">
        <v>28</v>
      </c>
      <c r="C151" t="s">
        <v>13</v>
      </c>
      <c r="D151" t="s">
        <v>11</v>
      </c>
      <c r="E151">
        <v>0.38879999999999998</v>
      </c>
      <c r="F151">
        <v>600</v>
      </c>
      <c r="G151">
        <v>0</v>
      </c>
      <c r="H151">
        <v>9.3312000000000006E-2</v>
      </c>
      <c r="I151">
        <v>875830007</v>
      </c>
    </row>
    <row r="152" spans="1:9" x14ac:dyDescent="0.3">
      <c r="A152" t="s">
        <v>96</v>
      </c>
      <c r="B152" t="s">
        <v>28</v>
      </c>
      <c r="C152" t="s">
        <v>10</v>
      </c>
      <c r="D152" t="s">
        <v>14</v>
      </c>
      <c r="E152">
        <v>0.39319999999999999</v>
      </c>
      <c r="F152">
        <v>600</v>
      </c>
      <c r="G152">
        <v>-2.64</v>
      </c>
      <c r="H152">
        <v>9.4367999999999994E-2</v>
      </c>
      <c r="I152">
        <v>875873473</v>
      </c>
    </row>
    <row r="153" spans="1:9" x14ac:dyDescent="0.3">
      <c r="A153" t="s">
        <v>97</v>
      </c>
      <c r="B153" t="s">
        <v>28</v>
      </c>
      <c r="C153" t="s">
        <v>13</v>
      </c>
      <c r="D153" t="s">
        <v>11</v>
      </c>
      <c r="E153">
        <v>0.38619999999999999</v>
      </c>
      <c r="F153">
        <v>597</v>
      </c>
      <c r="G153">
        <v>0</v>
      </c>
      <c r="H153">
        <v>9.2224559999999997E-2</v>
      </c>
      <c r="I153">
        <v>876748544</v>
      </c>
    </row>
    <row r="154" spans="1:9" x14ac:dyDescent="0.3">
      <c r="A154" t="s">
        <v>98</v>
      </c>
      <c r="B154" t="s">
        <v>28</v>
      </c>
      <c r="C154" t="s">
        <v>10</v>
      </c>
      <c r="D154" t="s">
        <v>14</v>
      </c>
      <c r="E154">
        <v>0.39269999999999999</v>
      </c>
      <c r="F154">
        <v>597</v>
      </c>
      <c r="G154">
        <v>-3.8805000000000001</v>
      </c>
      <c r="H154">
        <v>9.3776760000000001E-2</v>
      </c>
      <c r="I154">
        <v>876845380</v>
      </c>
    </row>
    <row r="155" spans="1:9" x14ac:dyDescent="0.3">
      <c r="A155" t="s">
        <v>99</v>
      </c>
      <c r="B155" t="s">
        <v>28</v>
      </c>
      <c r="C155" t="s">
        <v>10</v>
      </c>
      <c r="D155" t="s">
        <v>11</v>
      </c>
      <c r="E155">
        <v>0.39479999999999998</v>
      </c>
      <c r="F155">
        <v>574</v>
      </c>
      <c r="G155">
        <v>0</v>
      </c>
      <c r="H155">
        <v>9.0646069999999995E-2</v>
      </c>
      <c r="I155">
        <v>876860883</v>
      </c>
    </row>
    <row r="156" spans="1:9" x14ac:dyDescent="0.3">
      <c r="A156" t="s">
        <v>100</v>
      </c>
      <c r="B156" t="s">
        <v>28</v>
      </c>
      <c r="C156" t="s">
        <v>13</v>
      </c>
      <c r="D156" t="s">
        <v>14</v>
      </c>
      <c r="E156">
        <v>0.39760000000000001</v>
      </c>
      <c r="F156">
        <v>574</v>
      </c>
      <c r="G156">
        <v>1.6072</v>
      </c>
      <c r="H156">
        <v>9.1288960000000002E-2</v>
      </c>
      <c r="I156">
        <v>876868830</v>
      </c>
    </row>
    <row r="157" spans="1:9" x14ac:dyDescent="0.3">
      <c r="A157" t="s">
        <v>101</v>
      </c>
      <c r="B157" t="s">
        <v>28</v>
      </c>
      <c r="C157" t="s">
        <v>10</v>
      </c>
      <c r="D157" t="s">
        <v>11</v>
      </c>
      <c r="E157">
        <v>0.4017</v>
      </c>
      <c r="F157">
        <v>567</v>
      </c>
      <c r="G157">
        <v>0</v>
      </c>
      <c r="H157">
        <v>9.1105560000000002E-2</v>
      </c>
      <c r="I157">
        <v>876948617</v>
      </c>
    </row>
    <row r="158" spans="1:9" x14ac:dyDescent="0.3">
      <c r="A158" t="s">
        <v>102</v>
      </c>
      <c r="B158" t="s">
        <v>28</v>
      </c>
      <c r="C158" t="s">
        <v>13</v>
      </c>
      <c r="D158" t="s">
        <v>14</v>
      </c>
      <c r="E158">
        <v>0.40350000000000003</v>
      </c>
      <c r="F158">
        <v>567</v>
      </c>
      <c r="G158">
        <v>1.0206</v>
      </c>
      <c r="H158">
        <v>9.1513800000000006E-2</v>
      </c>
      <c r="I158">
        <v>876963940</v>
      </c>
    </row>
    <row r="159" spans="1:9" x14ac:dyDescent="0.3">
      <c r="A159" t="s">
        <v>103</v>
      </c>
      <c r="B159" t="s">
        <v>28</v>
      </c>
      <c r="C159" t="s">
        <v>10</v>
      </c>
      <c r="D159" t="s">
        <v>11</v>
      </c>
      <c r="E159">
        <v>0.40899999999999997</v>
      </c>
      <c r="F159">
        <v>559</v>
      </c>
      <c r="G159">
        <v>0</v>
      </c>
      <c r="H159">
        <v>9.1452400000000003E-2</v>
      </c>
      <c r="I159">
        <v>877227116</v>
      </c>
    </row>
    <row r="160" spans="1:9" x14ac:dyDescent="0.3">
      <c r="A160" t="s">
        <v>104</v>
      </c>
      <c r="B160" t="s">
        <v>28</v>
      </c>
      <c r="C160" t="s">
        <v>13</v>
      </c>
      <c r="D160" t="s">
        <v>14</v>
      </c>
      <c r="E160">
        <v>0.4138</v>
      </c>
      <c r="F160">
        <v>559</v>
      </c>
      <c r="G160">
        <v>2.6831999999999998</v>
      </c>
      <c r="H160">
        <v>9.252566999999999E-2</v>
      </c>
      <c r="I160">
        <v>877247634</v>
      </c>
    </row>
    <row r="161" spans="1:9" x14ac:dyDescent="0.3">
      <c r="A161" t="s">
        <v>105</v>
      </c>
      <c r="B161" t="s">
        <v>28</v>
      </c>
      <c r="C161" t="s">
        <v>10</v>
      </c>
      <c r="D161" t="s">
        <v>11</v>
      </c>
      <c r="E161">
        <v>0.41860000000000003</v>
      </c>
      <c r="F161">
        <v>552</v>
      </c>
      <c r="G161">
        <v>0</v>
      </c>
      <c r="H161">
        <v>9.2426880000000003E-2</v>
      </c>
      <c r="I161">
        <v>877323709</v>
      </c>
    </row>
    <row r="162" spans="1:9" x14ac:dyDescent="0.3">
      <c r="A162" t="s">
        <v>106</v>
      </c>
      <c r="B162" t="s">
        <v>28</v>
      </c>
      <c r="C162" t="s">
        <v>13</v>
      </c>
      <c r="D162" t="s">
        <v>14</v>
      </c>
      <c r="E162">
        <v>0.42220000000000002</v>
      </c>
      <c r="F162">
        <v>552</v>
      </c>
      <c r="G162">
        <v>1.9872000000000001</v>
      </c>
      <c r="H162">
        <v>9.3221760000000001E-2</v>
      </c>
      <c r="I162">
        <v>877332913</v>
      </c>
    </row>
  </sheetData>
  <mergeCells count="1">
    <mergeCell ref="K2:L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6"/>
  <sheetViews>
    <sheetView zoomScale="80" zoomScaleNormal="80" workbookViewId="0">
      <selection activeCell="A3" sqref="A3:I206"/>
    </sheetView>
  </sheetViews>
  <sheetFormatPr defaultRowHeight="14.4" x14ac:dyDescent="0.3"/>
  <cols>
    <col min="1" max="1" width="18.109375" style="13" bestFit="1" customWidth="1"/>
    <col min="2" max="2" width="12.88671875" style="13" bestFit="1" customWidth="1"/>
    <col min="3" max="3" width="10.21875" style="13" bestFit="1" customWidth="1"/>
    <col min="4" max="4" width="13.88671875" style="13" bestFit="1" customWidth="1"/>
    <col min="5" max="5" width="10.77734375" style="13" bestFit="1" customWidth="1"/>
    <col min="6" max="6" width="14" style="17" bestFit="1" customWidth="1"/>
    <col min="7" max="7" width="11.6640625" style="13" bestFit="1" customWidth="1"/>
    <col min="8" max="8" width="17.109375" style="13" bestFit="1" customWidth="1"/>
    <col min="9" max="9" width="17.44140625" style="13" customWidth="1"/>
    <col min="10" max="10" width="23.21875" style="13" bestFit="1" customWidth="1"/>
    <col min="11" max="11" width="25.21875" style="13" bestFit="1" customWidth="1"/>
    <col min="12" max="12" width="9.44140625" style="13" bestFit="1" customWidth="1"/>
    <col min="13" max="13" width="10.44140625" style="13" bestFit="1" customWidth="1"/>
    <col min="14" max="169" width="8.88671875" style="13" customWidth="1"/>
    <col min="170" max="16384" width="8.88671875" style="13"/>
  </cols>
  <sheetData>
    <row r="1" spans="1:12" ht="15" customHeight="1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12" ht="15" customHeight="1" thickTop="1" x14ac:dyDescent="0.3">
      <c r="A2" s="12"/>
      <c r="B2" s="18"/>
      <c r="F2" s="13"/>
      <c r="G2" s="19"/>
      <c r="H2" s="19"/>
      <c r="K2" s="9" t="s">
        <v>9</v>
      </c>
      <c r="L2" s="10"/>
    </row>
    <row r="3" spans="1:12" x14ac:dyDescent="0.3">
      <c r="A3"/>
      <c r="B3"/>
      <c r="C3"/>
      <c r="D3"/>
      <c r="E3"/>
      <c r="F3"/>
      <c r="G3"/>
      <c r="H3"/>
      <c r="I3"/>
      <c r="J3" s="22"/>
      <c r="K3" s="14" t="s">
        <v>12</v>
      </c>
      <c r="L3" s="2">
        <f>ROUNDDOWN(COUNT(Table3[Quantity]) / 2, 0)</f>
        <v>0</v>
      </c>
    </row>
    <row r="4" spans="1:12" x14ac:dyDescent="0.3">
      <c r="A4"/>
      <c r="B4"/>
      <c r="C4"/>
      <c r="D4"/>
      <c r="E4"/>
      <c r="F4"/>
      <c r="G4"/>
      <c r="H4"/>
      <c r="I4"/>
      <c r="J4" s="22"/>
      <c r="K4" s="14" t="s">
        <v>15</v>
      </c>
      <c r="L4" s="20">
        <f>SUMIF(Table3[PNL], "&gt;0", Table3[PNL])</f>
        <v>0</v>
      </c>
    </row>
    <row r="5" spans="1:12" x14ac:dyDescent="0.3">
      <c r="A5"/>
      <c r="B5"/>
      <c r="C5"/>
      <c r="D5"/>
      <c r="E5"/>
      <c r="F5"/>
      <c r="G5"/>
      <c r="H5"/>
      <c r="I5"/>
      <c r="J5" s="22"/>
      <c r="K5" s="14" t="s">
        <v>16</v>
      </c>
      <c r="L5" s="4">
        <f>SUMIF(Table3[PNL], "&lt;0", Table3[PNL])</f>
        <v>0</v>
      </c>
    </row>
    <row r="6" spans="1:12" x14ac:dyDescent="0.3">
      <c r="A6"/>
      <c r="B6"/>
      <c r="C6"/>
      <c r="D6"/>
      <c r="E6"/>
      <c r="F6"/>
      <c r="G6"/>
      <c r="H6"/>
      <c r="I6"/>
      <c r="J6" s="22"/>
      <c r="K6" s="14" t="s">
        <v>17</v>
      </c>
      <c r="L6" s="4">
        <f>SUM(Table3[Commission])</f>
        <v>0</v>
      </c>
    </row>
    <row r="7" spans="1:12" x14ac:dyDescent="0.3">
      <c r="A7"/>
      <c r="B7"/>
      <c r="C7"/>
      <c r="D7"/>
      <c r="E7"/>
      <c r="F7"/>
      <c r="G7"/>
      <c r="H7"/>
      <c r="I7"/>
      <c r="J7" s="22"/>
      <c r="K7" s="14" t="s">
        <v>18</v>
      </c>
      <c r="L7" s="20">
        <f>SUM(Table3[PNL]) - L6</f>
        <v>0</v>
      </c>
    </row>
    <row r="8" spans="1:12" x14ac:dyDescent="0.3">
      <c r="A8"/>
      <c r="B8"/>
      <c r="C8"/>
      <c r="D8"/>
      <c r="E8"/>
      <c r="F8"/>
      <c r="G8"/>
      <c r="H8"/>
      <c r="I8"/>
      <c r="J8" s="22"/>
      <c r="K8" s="14" t="s">
        <v>19</v>
      </c>
      <c r="L8" s="23" t="e">
        <f>AVERAGEIF(Table3[Type], "Opening Order", Table3[Price])</f>
        <v>#DIV/0!</v>
      </c>
    </row>
    <row r="9" spans="1:12" x14ac:dyDescent="0.3">
      <c r="A9"/>
      <c r="B9"/>
      <c r="C9"/>
      <c r="D9"/>
      <c r="E9"/>
      <c r="F9"/>
      <c r="G9"/>
      <c r="H9"/>
      <c r="I9"/>
      <c r="J9" s="22"/>
      <c r="K9" s="14" t="s">
        <v>20</v>
      </c>
      <c r="L9" s="2">
        <f>COUNTIFS(Table3[Side], "BUY", Table3[Type], "Opening Order")</f>
        <v>0</v>
      </c>
    </row>
    <row r="10" spans="1:12" x14ac:dyDescent="0.3">
      <c r="A10"/>
      <c r="B10"/>
      <c r="C10"/>
      <c r="D10"/>
      <c r="E10"/>
      <c r="F10"/>
      <c r="G10"/>
      <c r="H10"/>
      <c r="I10"/>
      <c r="J10" s="22"/>
      <c r="K10" s="14" t="s">
        <v>21</v>
      </c>
      <c r="L10" s="5" t="e">
        <f>COUNTIFS(Table3[Side], "SELL", Table3[Type], "Closing Order", Table3[PNL], "&gt;0") / L9</f>
        <v>#DIV/0!</v>
      </c>
    </row>
    <row r="11" spans="1:12" x14ac:dyDescent="0.3">
      <c r="A11"/>
      <c r="B11"/>
      <c r="C11"/>
      <c r="D11"/>
      <c r="E11"/>
      <c r="F11"/>
      <c r="G11"/>
      <c r="H11"/>
      <c r="I11"/>
      <c r="J11" s="22"/>
      <c r="K11" s="14" t="s">
        <v>22</v>
      </c>
      <c r="L11" s="2">
        <f>COUNTIFS(Table3[Side], "SELL", Table3[Type], "Opening Order")</f>
        <v>0</v>
      </c>
    </row>
    <row r="12" spans="1:12" x14ac:dyDescent="0.3">
      <c r="A12"/>
      <c r="B12"/>
      <c r="C12"/>
      <c r="D12"/>
      <c r="E12"/>
      <c r="F12"/>
      <c r="G12"/>
      <c r="H12"/>
      <c r="I12"/>
      <c r="J12" s="22"/>
      <c r="K12" s="14" t="s">
        <v>23</v>
      </c>
      <c r="L12" s="5" t="e">
        <f>COUNTIFS(Table3[Side],"BUY", Table3[Type], "Closing Order", Table3[PNL],"&gt;0") / L11</f>
        <v>#DIV/0!</v>
      </c>
    </row>
    <row r="13" spans="1:12" x14ac:dyDescent="0.3">
      <c r="A13"/>
      <c r="B13"/>
      <c r="C13"/>
      <c r="D13"/>
      <c r="E13"/>
      <c r="F13"/>
      <c r="G13"/>
      <c r="H13"/>
      <c r="I13"/>
      <c r="J13" s="22"/>
      <c r="K13" s="14" t="s">
        <v>24</v>
      </c>
      <c r="L13" s="1" t="e">
        <f>COUNTIFS(Table3[PNL],"&gt;0", Table3[Type], "Closing Order")/L3</f>
        <v>#DIV/0!</v>
      </c>
    </row>
    <row r="14" spans="1:12" x14ac:dyDescent="0.3">
      <c r="A14"/>
      <c r="B14"/>
      <c r="C14"/>
      <c r="D14"/>
      <c r="E14"/>
      <c r="F14"/>
      <c r="G14"/>
      <c r="H14"/>
      <c r="I14"/>
      <c r="J14" s="22"/>
      <c r="K14" s="14" t="s">
        <v>25</v>
      </c>
      <c r="L14" s="21" t="e">
        <f>AVERAGEIFS(Table3[PNL], Table3[PNL], "&gt;0", Table3[Type], "Closing Order")</f>
        <v>#DIV/0!</v>
      </c>
    </row>
    <row r="15" spans="1:12" x14ac:dyDescent="0.3">
      <c r="A15"/>
      <c r="B15"/>
      <c r="C15"/>
      <c r="D15"/>
      <c r="E15"/>
      <c r="F15"/>
      <c r="G15"/>
      <c r="H15"/>
      <c r="I15"/>
      <c r="J15" s="22"/>
      <c r="K15" s="14" t="s">
        <v>26</v>
      </c>
      <c r="L15" s="21" t="e">
        <f>AVERAGEIFS(Table3[PNL], Table3[PNL], "&lt;0", Table3[Type], "Closing Order")</f>
        <v>#DIV/0!</v>
      </c>
    </row>
    <row r="16" spans="1:12" x14ac:dyDescent="0.3">
      <c r="A16"/>
      <c r="B16"/>
      <c r="C16"/>
      <c r="D16"/>
      <c r="E16"/>
      <c r="F16"/>
      <c r="G16"/>
      <c r="H16"/>
      <c r="I16"/>
      <c r="J16" s="22"/>
      <c r="L16" s="19"/>
    </row>
    <row r="17" spans="1:11" x14ac:dyDescent="0.3">
      <c r="A17"/>
      <c r="B17"/>
      <c r="C17"/>
      <c r="D17"/>
      <c r="E17"/>
      <c r="F17"/>
      <c r="G17"/>
      <c r="H17"/>
      <c r="I17"/>
      <c r="J17" s="22"/>
    </row>
    <row r="18" spans="1:11" x14ac:dyDescent="0.3">
      <c r="A18"/>
      <c r="B18"/>
      <c r="C18"/>
      <c r="D18"/>
      <c r="E18"/>
      <c r="F18"/>
      <c r="G18"/>
      <c r="H18"/>
      <c r="I18"/>
      <c r="J18" s="22"/>
      <c r="K18" s="19"/>
    </row>
    <row r="19" spans="1:11" x14ac:dyDescent="0.3">
      <c r="A19"/>
      <c r="B19"/>
      <c r="C19"/>
      <c r="D19"/>
      <c r="E19"/>
      <c r="F19"/>
      <c r="G19"/>
      <c r="H19"/>
      <c r="I19"/>
      <c r="J19" s="22"/>
      <c r="K19" s="19"/>
    </row>
    <row r="20" spans="1:11" x14ac:dyDescent="0.3">
      <c r="A20"/>
      <c r="B20"/>
      <c r="C20"/>
      <c r="D20"/>
      <c r="E20"/>
      <c r="F20"/>
      <c r="G20"/>
      <c r="H20"/>
      <c r="I20"/>
      <c r="J20" s="22"/>
    </row>
    <row r="21" spans="1:11" x14ac:dyDescent="0.3">
      <c r="A21"/>
      <c r="B21"/>
      <c r="C21"/>
      <c r="D21"/>
      <c r="E21"/>
      <c r="F21"/>
      <c r="G21"/>
      <c r="H21"/>
      <c r="I21"/>
      <c r="J21" s="22"/>
    </row>
    <row r="22" spans="1:11" x14ac:dyDescent="0.3">
      <c r="A22"/>
      <c r="B22"/>
      <c r="C22"/>
      <c r="D22"/>
      <c r="E22"/>
      <c r="F22"/>
      <c r="G22"/>
      <c r="H22"/>
      <c r="I22"/>
      <c r="J22" s="22"/>
    </row>
    <row r="23" spans="1:11" x14ac:dyDescent="0.3">
      <c r="A23"/>
      <c r="B23"/>
      <c r="C23"/>
      <c r="D23"/>
      <c r="E23"/>
      <c r="F23"/>
      <c r="G23"/>
      <c r="H23"/>
      <c r="I23"/>
      <c r="J23" s="22"/>
    </row>
    <row r="24" spans="1:11" x14ac:dyDescent="0.3">
      <c r="A24"/>
      <c r="B24"/>
      <c r="C24"/>
      <c r="D24"/>
      <c r="E24"/>
      <c r="F24"/>
      <c r="G24"/>
      <c r="H24"/>
      <c r="I24"/>
      <c r="J24" s="22"/>
    </row>
    <row r="25" spans="1:11" x14ac:dyDescent="0.3">
      <c r="A25"/>
      <c r="B25"/>
      <c r="C25"/>
      <c r="D25"/>
      <c r="E25"/>
      <c r="F25"/>
      <c r="G25"/>
      <c r="H25"/>
      <c r="I25"/>
      <c r="J25" s="22"/>
    </row>
    <row r="26" spans="1:11" x14ac:dyDescent="0.3">
      <c r="A26"/>
      <c r="B26"/>
      <c r="C26"/>
      <c r="D26"/>
      <c r="E26"/>
      <c r="F26"/>
      <c r="G26"/>
      <c r="H26"/>
      <c r="I26"/>
      <c r="J26" s="22"/>
    </row>
    <row r="27" spans="1:11" x14ac:dyDescent="0.3">
      <c r="A27"/>
      <c r="B27"/>
      <c r="C27"/>
      <c r="D27"/>
      <c r="E27"/>
      <c r="F27"/>
      <c r="G27"/>
      <c r="H27"/>
      <c r="I27"/>
      <c r="J27" s="22"/>
    </row>
    <row r="28" spans="1:11" x14ac:dyDescent="0.3">
      <c r="A28"/>
      <c r="B28"/>
      <c r="C28"/>
      <c r="D28"/>
      <c r="E28"/>
      <c r="F28"/>
      <c r="G28"/>
      <c r="H28"/>
      <c r="I28"/>
      <c r="J28" s="22"/>
    </row>
    <row r="29" spans="1:11" x14ac:dyDescent="0.3">
      <c r="A29"/>
      <c r="B29"/>
      <c r="C29"/>
      <c r="D29"/>
      <c r="E29"/>
      <c r="F29"/>
      <c r="G29"/>
      <c r="H29"/>
      <c r="I29"/>
      <c r="J29" s="22"/>
    </row>
    <row r="30" spans="1:11" x14ac:dyDescent="0.3">
      <c r="A30"/>
      <c r="B30"/>
      <c r="C30"/>
      <c r="D30"/>
      <c r="E30"/>
      <c r="F30"/>
      <c r="G30"/>
      <c r="H30"/>
      <c r="I30"/>
      <c r="J30" s="22"/>
    </row>
    <row r="31" spans="1:11" x14ac:dyDescent="0.3">
      <c r="A31"/>
      <c r="B31"/>
      <c r="C31"/>
      <c r="D31"/>
      <c r="E31"/>
      <c r="F31"/>
      <c r="G31"/>
      <c r="H31"/>
      <c r="I31"/>
      <c r="J31" s="22"/>
    </row>
    <row r="32" spans="1:11" x14ac:dyDescent="0.3">
      <c r="A32"/>
      <c r="B32"/>
      <c r="C32"/>
      <c r="D32"/>
      <c r="E32"/>
      <c r="F32"/>
      <c r="G32"/>
      <c r="H32"/>
      <c r="I32"/>
      <c r="J32" s="22"/>
    </row>
    <row r="33" spans="1:10" x14ac:dyDescent="0.3">
      <c r="A33"/>
      <c r="B33"/>
      <c r="C33"/>
      <c r="D33"/>
      <c r="E33"/>
      <c r="F33"/>
      <c r="G33"/>
      <c r="H33"/>
      <c r="I33"/>
      <c r="J33" s="22"/>
    </row>
    <row r="34" spans="1:10" x14ac:dyDescent="0.3">
      <c r="A34"/>
      <c r="B34"/>
      <c r="C34"/>
      <c r="D34"/>
      <c r="E34"/>
      <c r="F34"/>
      <c r="G34"/>
      <c r="H34"/>
      <c r="I34"/>
      <c r="J34" s="22"/>
    </row>
    <row r="35" spans="1:10" x14ac:dyDescent="0.3">
      <c r="A35"/>
      <c r="B35"/>
      <c r="C35"/>
      <c r="D35"/>
      <c r="E35"/>
      <c r="F35"/>
      <c r="G35"/>
      <c r="H35"/>
      <c r="I35"/>
      <c r="J35" s="22"/>
    </row>
    <row r="36" spans="1:10" x14ac:dyDescent="0.3">
      <c r="A36"/>
      <c r="B36"/>
      <c r="C36"/>
      <c r="D36"/>
      <c r="E36"/>
      <c r="F36"/>
      <c r="G36"/>
      <c r="H36"/>
      <c r="I36"/>
      <c r="J36" s="22"/>
    </row>
    <row r="37" spans="1:10" x14ac:dyDescent="0.3">
      <c r="A37"/>
      <c r="B37"/>
      <c r="C37"/>
      <c r="D37"/>
      <c r="E37"/>
      <c r="F37"/>
      <c r="G37"/>
      <c r="H37"/>
      <c r="I37"/>
      <c r="J37" s="22"/>
    </row>
    <row r="38" spans="1:10" x14ac:dyDescent="0.3">
      <c r="A38"/>
      <c r="B38"/>
      <c r="C38"/>
      <c r="D38"/>
      <c r="E38"/>
      <c r="F38"/>
      <c r="G38"/>
      <c r="H38"/>
      <c r="I38"/>
      <c r="J38" s="22"/>
    </row>
    <row r="39" spans="1:10" x14ac:dyDescent="0.3">
      <c r="A39"/>
      <c r="B39"/>
      <c r="C39"/>
      <c r="D39"/>
      <c r="E39"/>
      <c r="F39"/>
      <c r="G39"/>
      <c r="H39"/>
      <c r="I39"/>
      <c r="J39" s="22"/>
    </row>
    <row r="40" spans="1:10" x14ac:dyDescent="0.3">
      <c r="A40"/>
      <c r="B40"/>
      <c r="C40"/>
      <c r="D40"/>
      <c r="E40"/>
      <c r="F40"/>
      <c r="G40"/>
      <c r="H40"/>
      <c r="I40"/>
      <c r="J40" s="22"/>
    </row>
    <row r="41" spans="1:10" x14ac:dyDescent="0.3">
      <c r="A41"/>
      <c r="B41"/>
      <c r="C41"/>
      <c r="D41"/>
      <c r="E41"/>
      <c r="F41"/>
      <c r="G41"/>
      <c r="H41"/>
      <c r="I41"/>
      <c r="J41" s="22"/>
    </row>
    <row r="42" spans="1:10" x14ac:dyDescent="0.3">
      <c r="A42"/>
      <c r="B42"/>
      <c r="C42"/>
      <c r="D42"/>
      <c r="E42"/>
      <c r="F42"/>
      <c r="G42"/>
      <c r="H42"/>
      <c r="I42"/>
      <c r="J42" s="22"/>
    </row>
    <row r="43" spans="1:10" x14ac:dyDescent="0.3">
      <c r="A43"/>
      <c r="B43"/>
      <c r="C43"/>
      <c r="D43"/>
      <c r="E43"/>
      <c r="F43"/>
      <c r="G43"/>
      <c r="H43"/>
      <c r="I43"/>
      <c r="J43" s="22"/>
    </row>
    <row r="44" spans="1:10" x14ac:dyDescent="0.3">
      <c r="A44"/>
      <c r="B44"/>
      <c r="C44"/>
      <c r="D44"/>
      <c r="E44"/>
      <c r="F44"/>
      <c r="G44"/>
      <c r="H44"/>
      <c r="I44"/>
      <c r="J44" s="22"/>
    </row>
    <row r="45" spans="1:10" x14ac:dyDescent="0.3">
      <c r="A45"/>
      <c r="B45"/>
      <c r="C45"/>
      <c r="D45"/>
      <c r="E45"/>
      <c r="F45"/>
      <c r="G45"/>
      <c r="H45"/>
      <c r="I45"/>
      <c r="J45" s="22"/>
    </row>
    <row r="46" spans="1:10" x14ac:dyDescent="0.3">
      <c r="A46"/>
      <c r="B46"/>
      <c r="C46"/>
      <c r="D46"/>
      <c r="E46"/>
      <c r="F46"/>
      <c r="G46"/>
      <c r="H46"/>
      <c r="I46"/>
      <c r="J46" s="22"/>
    </row>
    <row r="47" spans="1:10" x14ac:dyDescent="0.3">
      <c r="A47"/>
      <c r="B47"/>
      <c r="C47"/>
      <c r="D47"/>
      <c r="E47"/>
      <c r="F47"/>
      <c r="G47"/>
      <c r="H47"/>
      <c r="I47"/>
      <c r="J47" s="22"/>
    </row>
    <row r="48" spans="1:10" x14ac:dyDescent="0.3">
      <c r="A48"/>
      <c r="B48"/>
      <c r="C48"/>
      <c r="D48"/>
      <c r="E48"/>
      <c r="F48"/>
      <c r="G48"/>
      <c r="H48"/>
      <c r="I48"/>
      <c r="J48" s="22"/>
    </row>
    <row r="49" spans="1:10" x14ac:dyDescent="0.3">
      <c r="A49"/>
      <c r="B49"/>
      <c r="C49"/>
      <c r="D49"/>
      <c r="E49"/>
      <c r="F49"/>
      <c r="G49"/>
      <c r="H49"/>
      <c r="I49"/>
      <c r="J49" s="22"/>
    </row>
    <row r="50" spans="1:10" x14ac:dyDescent="0.3">
      <c r="A50"/>
      <c r="B50"/>
      <c r="C50"/>
      <c r="D50"/>
      <c r="E50"/>
      <c r="F50"/>
      <c r="G50"/>
      <c r="H50"/>
      <c r="I50"/>
      <c r="J50" s="22"/>
    </row>
    <row r="51" spans="1:10" x14ac:dyDescent="0.3">
      <c r="A51"/>
      <c r="B51"/>
      <c r="C51"/>
      <c r="D51"/>
      <c r="E51"/>
      <c r="F51"/>
      <c r="G51"/>
      <c r="H51"/>
      <c r="I51"/>
      <c r="J51" s="22"/>
    </row>
    <row r="52" spans="1:10" x14ac:dyDescent="0.3">
      <c r="A52"/>
      <c r="B52"/>
      <c r="C52"/>
      <c r="D52"/>
      <c r="E52"/>
      <c r="F52"/>
      <c r="G52"/>
      <c r="H52"/>
      <c r="I52"/>
      <c r="J52" s="22"/>
    </row>
    <row r="53" spans="1:10" x14ac:dyDescent="0.3">
      <c r="A53"/>
      <c r="B53"/>
      <c r="C53"/>
      <c r="D53"/>
      <c r="E53"/>
      <c r="F53"/>
      <c r="G53"/>
      <c r="H53"/>
      <c r="I53"/>
      <c r="J53" s="22"/>
    </row>
    <row r="54" spans="1:10" x14ac:dyDescent="0.3">
      <c r="A54"/>
      <c r="B54"/>
      <c r="C54"/>
      <c r="D54"/>
      <c r="E54"/>
      <c r="F54"/>
      <c r="G54"/>
      <c r="H54"/>
      <c r="I54"/>
      <c r="J54" s="22"/>
    </row>
    <row r="55" spans="1:10" x14ac:dyDescent="0.3">
      <c r="A55"/>
      <c r="B55"/>
      <c r="C55"/>
      <c r="D55"/>
      <c r="E55"/>
      <c r="F55"/>
      <c r="G55"/>
      <c r="H55"/>
      <c r="I55"/>
      <c r="J55" s="22"/>
    </row>
    <row r="56" spans="1:10" x14ac:dyDescent="0.3">
      <c r="A56"/>
      <c r="B56"/>
      <c r="C56"/>
      <c r="D56"/>
      <c r="E56"/>
      <c r="F56"/>
      <c r="G56"/>
      <c r="H56"/>
      <c r="I56"/>
      <c r="J56" s="22"/>
    </row>
    <row r="57" spans="1:10" x14ac:dyDescent="0.3">
      <c r="A57"/>
      <c r="B57"/>
      <c r="C57"/>
      <c r="D57"/>
      <c r="E57"/>
      <c r="F57"/>
      <c r="G57"/>
      <c r="H57"/>
      <c r="I57"/>
      <c r="J57" s="22"/>
    </row>
    <row r="58" spans="1:10" x14ac:dyDescent="0.3">
      <c r="A58"/>
      <c r="B58"/>
      <c r="C58"/>
      <c r="D58"/>
      <c r="E58"/>
      <c r="F58"/>
      <c r="G58"/>
      <c r="H58"/>
      <c r="I58"/>
      <c r="J58" s="22"/>
    </row>
    <row r="59" spans="1:10" x14ac:dyDescent="0.3">
      <c r="A59"/>
      <c r="B59"/>
      <c r="C59"/>
      <c r="D59"/>
      <c r="E59"/>
      <c r="F59"/>
      <c r="G59"/>
      <c r="H59"/>
      <c r="I59"/>
      <c r="J59" s="22"/>
    </row>
    <row r="60" spans="1:10" x14ac:dyDescent="0.3">
      <c r="A60"/>
      <c r="B60"/>
      <c r="C60"/>
      <c r="D60"/>
      <c r="E60"/>
      <c r="F60"/>
      <c r="G60"/>
      <c r="H60"/>
      <c r="I60"/>
      <c r="J60" s="22"/>
    </row>
    <row r="61" spans="1:10" x14ac:dyDescent="0.3">
      <c r="A61"/>
      <c r="B61"/>
      <c r="C61"/>
      <c r="D61"/>
      <c r="E61"/>
      <c r="F61"/>
      <c r="G61"/>
      <c r="H61"/>
      <c r="I61"/>
      <c r="J61" s="22"/>
    </row>
    <row r="62" spans="1:10" x14ac:dyDescent="0.3">
      <c r="A62"/>
      <c r="B62"/>
      <c r="C62"/>
      <c r="D62"/>
      <c r="E62"/>
      <c r="F62"/>
      <c r="G62"/>
      <c r="H62"/>
      <c r="I62"/>
      <c r="J62" s="22"/>
    </row>
    <row r="63" spans="1:10" x14ac:dyDescent="0.3">
      <c r="A63"/>
      <c r="B63"/>
      <c r="C63"/>
      <c r="D63"/>
      <c r="E63"/>
      <c r="F63"/>
      <c r="G63"/>
      <c r="H63"/>
      <c r="I63"/>
      <c r="J63" s="22"/>
    </row>
    <row r="64" spans="1:10" x14ac:dyDescent="0.3">
      <c r="A64"/>
      <c r="B64"/>
      <c r="C64"/>
      <c r="D64"/>
      <c r="E64"/>
      <c r="F64"/>
      <c r="G64"/>
      <c r="H64"/>
      <c r="I64"/>
      <c r="J64" s="22"/>
    </row>
    <row r="65" spans="1:10" x14ac:dyDescent="0.3">
      <c r="A65"/>
      <c r="B65"/>
      <c r="C65"/>
      <c r="D65"/>
      <c r="E65"/>
      <c r="F65"/>
      <c r="G65"/>
      <c r="H65"/>
      <c r="I65"/>
      <c r="J65" s="22"/>
    </row>
    <row r="66" spans="1:10" x14ac:dyDescent="0.3">
      <c r="A66"/>
      <c r="B66"/>
      <c r="C66"/>
      <c r="D66"/>
      <c r="E66"/>
      <c r="F66"/>
      <c r="G66"/>
      <c r="H66"/>
      <c r="I66"/>
      <c r="J66" s="22"/>
    </row>
    <row r="67" spans="1:10" x14ac:dyDescent="0.3">
      <c r="A67"/>
      <c r="B67"/>
      <c r="C67"/>
      <c r="D67"/>
      <c r="E67"/>
      <c r="F67"/>
      <c r="G67"/>
      <c r="H67"/>
      <c r="I67"/>
      <c r="J67" s="22"/>
    </row>
    <row r="68" spans="1:10" x14ac:dyDescent="0.3">
      <c r="A68"/>
      <c r="B68"/>
      <c r="C68"/>
      <c r="D68"/>
      <c r="E68"/>
      <c r="F68"/>
      <c r="G68"/>
      <c r="H68"/>
      <c r="I68"/>
      <c r="J68" s="22"/>
    </row>
    <row r="69" spans="1:10" x14ac:dyDescent="0.3">
      <c r="A69"/>
      <c r="B69"/>
      <c r="C69"/>
      <c r="D69"/>
      <c r="E69"/>
      <c r="F69"/>
      <c r="G69"/>
      <c r="H69"/>
      <c r="I69"/>
      <c r="J69" s="22"/>
    </row>
    <row r="70" spans="1:10" x14ac:dyDescent="0.3">
      <c r="A70"/>
      <c r="B70"/>
      <c r="C70"/>
      <c r="D70"/>
      <c r="E70"/>
      <c r="F70"/>
      <c r="G70"/>
      <c r="H70"/>
      <c r="I70"/>
      <c r="J70" s="22"/>
    </row>
    <row r="71" spans="1:10" x14ac:dyDescent="0.3">
      <c r="A71"/>
      <c r="B71"/>
      <c r="C71"/>
      <c r="D71"/>
      <c r="E71"/>
      <c r="F71"/>
      <c r="G71"/>
      <c r="H71"/>
      <c r="I71"/>
      <c r="J71" s="22"/>
    </row>
    <row r="72" spans="1:10" x14ac:dyDescent="0.3">
      <c r="A72"/>
      <c r="B72"/>
      <c r="C72"/>
      <c r="D72"/>
      <c r="E72"/>
      <c r="F72"/>
      <c r="G72"/>
      <c r="H72"/>
      <c r="I72"/>
      <c r="J72" s="22"/>
    </row>
    <row r="73" spans="1:10" x14ac:dyDescent="0.3">
      <c r="A73"/>
      <c r="B73"/>
      <c r="C73"/>
      <c r="D73"/>
      <c r="E73"/>
      <c r="F73"/>
      <c r="G73"/>
      <c r="H73"/>
      <c r="I73"/>
      <c r="J73" s="22"/>
    </row>
    <row r="74" spans="1:10" x14ac:dyDescent="0.3">
      <c r="A74"/>
      <c r="B74"/>
      <c r="C74"/>
      <c r="D74"/>
      <c r="E74"/>
      <c r="F74"/>
      <c r="G74"/>
      <c r="H74"/>
      <c r="I74"/>
      <c r="J74" s="22"/>
    </row>
    <row r="75" spans="1:10" x14ac:dyDescent="0.3">
      <c r="A75"/>
      <c r="B75"/>
      <c r="C75"/>
      <c r="D75"/>
      <c r="E75"/>
      <c r="F75"/>
      <c r="G75"/>
      <c r="H75"/>
      <c r="I75"/>
      <c r="J75" s="22"/>
    </row>
    <row r="76" spans="1:10" x14ac:dyDescent="0.3">
      <c r="A76"/>
      <c r="B76"/>
      <c r="C76"/>
      <c r="D76"/>
      <c r="E76"/>
      <c r="F76"/>
      <c r="G76"/>
      <c r="H76"/>
      <c r="I76"/>
      <c r="J76" s="22"/>
    </row>
    <row r="77" spans="1:10" x14ac:dyDescent="0.3">
      <c r="A77"/>
      <c r="B77"/>
      <c r="C77"/>
      <c r="D77"/>
      <c r="E77"/>
      <c r="F77"/>
      <c r="G77"/>
      <c r="H77"/>
      <c r="I77"/>
      <c r="J77" s="22"/>
    </row>
    <row r="78" spans="1:10" x14ac:dyDescent="0.3">
      <c r="A78"/>
      <c r="B78"/>
      <c r="C78"/>
      <c r="D78"/>
      <c r="E78"/>
      <c r="F78"/>
      <c r="G78"/>
      <c r="H78"/>
      <c r="I78"/>
      <c r="J78" s="22"/>
    </row>
    <row r="79" spans="1:10" x14ac:dyDescent="0.3">
      <c r="A79"/>
      <c r="B79"/>
      <c r="C79"/>
      <c r="D79"/>
      <c r="E79"/>
      <c r="F79"/>
      <c r="G79"/>
      <c r="H79"/>
      <c r="I79"/>
      <c r="J79" s="22"/>
    </row>
    <row r="80" spans="1:10" x14ac:dyDescent="0.3">
      <c r="A80"/>
      <c r="B80"/>
      <c r="C80"/>
      <c r="D80"/>
      <c r="E80"/>
      <c r="F80"/>
      <c r="G80"/>
      <c r="H80"/>
      <c r="I80"/>
      <c r="J80" s="22"/>
    </row>
    <row r="81" spans="1:10" x14ac:dyDescent="0.3">
      <c r="A81"/>
      <c r="B81"/>
      <c r="C81"/>
      <c r="D81"/>
      <c r="E81"/>
      <c r="F81"/>
      <c r="G81"/>
      <c r="H81"/>
      <c r="I81"/>
      <c r="J81" s="22"/>
    </row>
    <row r="82" spans="1:10" x14ac:dyDescent="0.3">
      <c r="A82"/>
      <c r="B82"/>
      <c r="C82"/>
      <c r="D82"/>
      <c r="E82"/>
      <c r="F82"/>
      <c r="G82"/>
      <c r="H82"/>
      <c r="I82"/>
      <c r="J82" s="22"/>
    </row>
    <row r="83" spans="1:10" x14ac:dyDescent="0.3">
      <c r="A83"/>
      <c r="B83"/>
      <c r="C83"/>
      <c r="D83"/>
      <c r="E83"/>
      <c r="F83"/>
      <c r="G83"/>
      <c r="H83"/>
      <c r="I83"/>
      <c r="J83" s="22"/>
    </row>
    <row r="84" spans="1:10" x14ac:dyDescent="0.3">
      <c r="A84"/>
      <c r="B84"/>
      <c r="C84"/>
      <c r="D84"/>
      <c r="E84"/>
      <c r="F84"/>
      <c r="G84"/>
      <c r="H84"/>
      <c r="I84"/>
      <c r="J84" s="22"/>
    </row>
    <row r="85" spans="1:10" x14ac:dyDescent="0.3">
      <c r="A85"/>
      <c r="B85"/>
      <c r="C85"/>
      <c r="D85"/>
      <c r="E85"/>
      <c r="F85"/>
      <c r="G85"/>
      <c r="H85"/>
      <c r="I85"/>
      <c r="J85" s="22"/>
    </row>
    <row r="86" spans="1:10" x14ac:dyDescent="0.3">
      <c r="A86"/>
      <c r="B86"/>
      <c r="C86"/>
      <c r="D86"/>
      <c r="E86"/>
      <c r="F86"/>
      <c r="G86"/>
      <c r="H86"/>
      <c r="I86"/>
      <c r="J86" s="22"/>
    </row>
    <row r="87" spans="1:10" x14ac:dyDescent="0.3">
      <c r="A87"/>
      <c r="B87"/>
      <c r="C87"/>
      <c r="D87"/>
      <c r="E87"/>
      <c r="F87"/>
      <c r="G87"/>
      <c r="H87"/>
      <c r="I87"/>
      <c r="J87" s="22"/>
    </row>
    <row r="88" spans="1:10" x14ac:dyDescent="0.3">
      <c r="A88"/>
      <c r="B88"/>
      <c r="C88"/>
      <c r="D88"/>
      <c r="E88"/>
      <c r="F88"/>
      <c r="G88"/>
      <c r="H88"/>
      <c r="I88"/>
      <c r="J88" s="22"/>
    </row>
    <row r="89" spans="1:10" x14ac:dyDescent="0.3">
      <c r="A89"/>
      <c r="B89"/>
      <c r="C89"/>
      <c r="D89"/>
      <c r="E89"/>
      <c r="F89"/>
      <c r="G89"/>
      <c r="H89"/>
      <c r="I89"/>
      <c r="J89" s="22"/>
    </row>
    <row r="90" spans="1:10" x14ac:dyDescent="0.3">
      <c r="A90"/>
      <c r="B90"/>
      <c r="C90"/>
      <c r="D90"/>
      <c r="E90"/>
      <c r="F90"/>
      <c r="G90"/>
      <c r="H90"/>
      <c r="I90"/>
      <c r="J90" s="22"/>
    </row>
    <row r="91" spans="1:10" x14ac:dyDescent="0.3">
      <c r="A91"/>
      <c r="B91"/>
      <c r="C91"/>
      <c r="D91"/>
      <c r="E91"/>
      <c r="F91"/>
      <c r="G91"/>
      <c r="H91"/>
      <c r="I91"/>
      <c r="J91" s="22"/>
    </row>
    <row r="92" spans="1:10" x14ac:dyDescent="0.3">
      <c r="A92"/>
      <c r="B92"/>
      <c r="C92"/>
      <c r="D92"/>
      <c r="E92"/>
      <c r="F92"/>
      <c r="G92"/>
      <c r="H92"/>
      <c r="I92"/>
      <c r="J92" s="22"/>
    </row>
    <row r="93" spans="1:10" x14ac:dyDescent="0.3">
      <c r="A93"/>
      <c r="B93"/>
      <c r="C93"/>
      <c r="D93"/>
      <c r="E93"/>
      <c r="F93"/>
      <c r="G93"/>
      <c r="H93"/>
      <c r="I93"/>
      <c r="J93" s="22"/>
    </row>
    <row r="94" spans="1:10" x14ac:dyDescent="0.3">
      <c r="A94"/>
      <c r="B94"/>
      <c r="C94"/>
      <c r="D94"/>
      <c r="E94"/>
      <c r="F94"/>
      <c r="G94"/>
      <c r="H94"/>
      <c r="I94"/>
      <c r="J94" s="22"/>
    </row>
    <row r="95" spans="1:10" x14ac:dyDescent="0.3">
      <c r="A95"/>
      <c r="B95"/>
      <c r="C95"/>
      <c r="D95"/>
      <c r="E95"/>
      <c r="F95"/>
      <c r="G95"/>
      <c r="H95"/>
      <c r="I95"/>
      <c r="J95" s="22"/>
    </row>
    <row r="96" spans="1:10" x14ac:dyDescent="0.3">
      <c r="A96"/>
      <c r="B96"/>
      <c r="C96"/>
      <c r="D96"/>
      <c r="E96"/>
      <c r="F96"/>
      <c r="G96"/>
      <c r="H96"/>
      <c r="I96"/>
      <c r="J96" s="22"/>
    </row>
    <row r="97" spans="1:10" x14ac:dyDescent="0.3">
      <c r="A97"/>
      <c r="B97"/>
      <c r="C97"/>
      <c r="D97"/>
      <c r="E97"/>
      <c r="F97"/>
      <c r="G97"/>
      <c r="H97"/>
      <c r="I97"/>
      <c r="J97" s="22"/>
    </row>
    <row r="98" spans="1:10" x14ac:dyDescent="0.3">
      <c r="A98"/>
      <c r="B98"/>
      <c r="C98"/>
      <c r="D98"/>
      <c r="E98"/>
      <c r="F98"/>
      <c r="G98"/>
      <c r="H98"/>
      <c r="I98"/>
      <c r="J98" s="22"/>
    </row>
    <row r="99" spans="1:10" x14ac:dyDescent="0.3">
      <c r="A99"/>
      <c r="B99"/>
      <c r="C99"/>
      <c r="D99"/>
      <c r="E99"/>
      <c r="F99"/>
      <c r="G99"/>
      <c r="H99"/>
      <c r="I99"/>
      <c r="J99" s="22"/>
    </row>
    <row r="100" spans="1:10" x14ac:dyDescent="0.3">
      <c r="A100"/>
      <c r="B100"/>
      <c r="C100"/>
      <c r="D100"/>
      <c r="E100"/>
      <c r="F100"/>
      <c r="G100"/>
      <c r="H100"/>
      <c r="I100"/>
      <c r="J100" s="22"/>
    </row>
    <row r="101" spans="1:10" x14ac:dyDescent="0.3">
      <c r="A101"/>
      <c r="B101"/>
      <c r="C101"/>
      <c r="D101"/>
      <c r="E101"/>
      <c r="F101"/>
      <c r="G101"/>
      <c r="H101"/>
      <c r="I101"/>
      <c r="J101" s="22"/>
    </row>
    <row r="102" spans="1:10" x14ac:dyDescent="0.3">
      <c r="A102"/>
      <c r="B102"/>
      <c r="C102"/>
      <c r="D102"/>
      <c r="E102"/>
      <c r="F102"/>
      <c r="G102"/>
      <c r="H102"/>
      <c r="I102"/>
      <c r="J102" s="22"/>
    </row>
    <row r="103" spans="1:10" x14ac:dyDescent="0.3">
      <c r="A103"/>
      <c r="B103"/>
      <c r="C103"/>
      <c r="D103"/>
      <c r="E103"/>
      <c r="F103"/>
      <c r="G103"/>
      <c r="H103"/>
      <c r="I103"/>
      <c r="J103" s="22"/>
    </row>
    <row r="104" spans="1:10" x14ac:dyDescent="0.3">
      <c r="A104"/>
      <c r="B104"/>
      <c r="C104"/>
      <c r="D104"/>
      <c r="E104"/>
      <c r="F104"/>
      <c r="G104"/>
      <c r="H104"/>
      <c r="I104"/>
      <c r="J104" s="22"/>
    </row>
    <row r="105" spans="1:10" x14ac:dyDescent="0.3">
      <c r="A105"/>
      <c r="B105"/>
      <c r="C105"/>
      <c r="D105"/>
      <c r="E105"/>
      <c r="F105"/>
      <c r="G105"/>
      <c r="H105"/>
      <c r="I105"/>
      <c r="J105" s="22"/>
    </row>
    <row r="106" spans="1:10" x14ac:dyDescent="0.3">
      <c r="A106"/>
      <c r="B106"/>
      <c r="C106"/>
      <c r="D106"/>
      <c r="E106"/>
      <c r="F106"/>
      <c r="G106"/>
      <c r="H106"/>
      <c r="I106"/>
      <c r="J106" s="22"/>
    </row>
    <row r="107" spans="1:10" x14ac:dyDescent="0.3">
      <c r="A107"/>
      <c r="B107"/>
      <c r="C107"/>
      <c r="D107"/>
      <c r="E107"/>
      <c r="F107"/>
      <c r="G107"/>
      <c r="H107"/>
      <c r="I107"/>
      <c r="J107" s="22"/>
    </row>
    <row r="108" spans="1:10" x14ac:dyDescent="0.3">
      <c r="A108"/>
      <c r="B108"/>
      <c r="C108"/>
      <c r="D108"/>
      <c r="E108"/>
      <c r="F108"/>
      <c r="G108"/>
      <c r="H108"/>
      <c r="I108"/>
      <c r="J108" s="22"/>
    </row>
    <row r="109" spans="1:10" x14ac:dyDescent="0.3">
      <c r="A109"/>
      <c r="B109"/>
      <c r="C109"/>
      <c r="D109"/>
      <c r="E109"/>
      <c r="F109"/>
      <c r="G109"/>
      <c r="H109"/>
      <c r="I109"/>
      <c r="J109" s="22"/>
    </row>
    <row r="110" spans="1:10" x14ac:dyDescent="0.3">
      <c r="A110"/>
      <c r="B110"/>
      <c r="C110"/>
      <c r="D110"/>
      <c r="E110"/>
      <c r="F110"/>
      <c r="G110"/>
      <c r="H110"/>
      <c r="I110"/>
      <c r="J110" s="22"/>
    </row>
    <row r="111" spans="1:10" x14ac:dyDescent="0.3">
      <c r="A111"/>
      <c r="B111"/>
      <c r="C111"/>
      <c r="D111"/>
      <c r="E111"/>
      <c r="F111"/>
      <c r="G111"/>
      <c r="H111"/>
      <c r="I111"/>
      <c r="J111" s="22"/>
    </row>
    <row r="112" spans="1:10" x14ac:dyDescent="0.3">
      <c r="A112"/>
      <c r="B112"/>
      <c r="C112"/>
      <c r="D112"/>
      <c r="E112"/>
      <c r="F112"/>
      <c r="G112"/>
      <c r="H112"/>
      <c r="I112"/>
      <c r="J112" s="22"/>
    </row>
    <row r="113" spans="1:10" x14ac:dyDescent="0.3">
      <c r="A113"/>
      <c r="B113"/>
      <c r="C113"/>
      <c r="D113"/>
      <c r="E113"/>
      <c r="F113"/>
      <c r="G113"/>
      <c r="H113"/>
      <c r="I113"/>
      <c r="J113" s="22"/>
    </row>
    <row r="114" spans="1:10" x14ac:dyDescent="0.3">
      <c r="A114"/>
      <c r="B114"/>
      <c r="C114"/>
      <c r="D114"/>
      <c r="E114"/>
      <c r="F114"/>
      <c r="G114"/>
      <c r="H114"/>
      <c r="I114"/>
      <c r="J114" s="22"/>
    </row>
    <row r="115" spans="1:10" x14ac:dyDescent="0.3">
      <c r="A115"/>
      <c r="B115"/>
      <c r="C115"/>
      <c r="D115"/>
      <c r="E115"/>
      <c r="F115"/>
      <c r="G115"/>
      <c r="H115"/>
      <c r="I115"/>
      <c r="J115" s="22"/>
    </row>
    <row r="116" spans="1:10" x14ac:dyDescent="0.3">
      <c r="A116"/>
      <c r="B116"/>
      <c r="C116"/>
      <c r="D116"/>
      <c r="E116"/>
      <c r="F116"/>
      <c r="G116"/>
      <c r="H116"/>
      <c r="I116"/>
      <c r="J116" s="22"/>
    </row>
    <row r="117" spans="1:10" x14ac:dyDescent="0.3">
      <c r="A117"/>
      <c r="B117"/>
      <c r="C117"/>
      <c r="D117"/>
      <c r="E117"/>
      <c r="F117"/>
      <c r="G117"/>
      <c r="H117"/>
      <c r="I117"/>
      <c r="J117" s="22"/>
    </row>
    <row r="118" spans="1:10" x14ac:dyDescent="0.3">
      <c r="A118"/>
      <c r="B118"/>
      <c r="C118"/>
      <c r="D118"/>
      <c r="E118"/>
      <c r="F118"/>
      <c r="G118"/>
      <c r="H118"/>
      <c r="I118"/>
      <c r="J118" s="22"/>
    </row>
    <row r="119" spans="1:10" x14ac:dyDescent="0.3">
      <c r="A119"/>
      <c r="B119"/>
      <c r="C119"/>
      <c r="D119"/>
      <c r="E119"/>
      <c r="F119"/>
      <c r="G119"/>
      <c r="H119"/>
      <c r="I119"/>
      <c r="J119" s="22"/>
    </row>
    <row r="120" spans="1:10" x14ac:dyDescent="0.3">
      <c r="A120"/>
      <c r="B120"/>
      <c r="C120"/>
      <c r="D120"/>
      <c r="E120"/>
      <c r="F120"/>
      <c r="G120"/>
      <c r="H120"/>
      <c r="I120"/>
    </row>
    <row r="121" spans="1:10" x14ac:dyDescent="0.3">
      <c r="A121"/>
      <c r="B121"/>
      <c r="C121"/>
      <c r="D121"/>
      <c r="E121"/>
      <c r="F121"/>
      <c r="G121"/>
      <c r="H121"/>
      <c r="I121"/>
    </row>
    <row r="122" spans="1:10" x14ac:dyDescent="0.3">
      <c r="A122"/>
      <c r="B122"/>
      <c r="C122"/>
      <c r="D122"/>
      <c r="E122"/>
      <c r="F122"/>
      <c r="G122"/>
      <c r="H122"/>
      <c r="I122"/>
    </row>
    <row r="123" spans="1:10" x14ac:dyDescent="0.3">
      <c r="A123"/>
      <c r="B123"/>
      <c r="C123"/>
      <c r="D123"/>
      <c r="E123"/>
      <c r="F123"/>
      <c r="G123"/>
      <c r="H123"/>
      <c r="I123"/>
    </row>
    <row r="124" spans="1:10" x14ac:dyDescent="0.3">
      <c r="A124"/>
      <c r="B124"/>
      <c r="C124"/>
      <c r="D124"/>
      <c r="E124"/>
      <c r="F124"/>
      <c r="G124"/>
      <c r="H124"/>
      <c r="I124"/>
    </row>
    <row r="125" spans="1:10" x14ac:dyDescent="0.3">
      <c r="A125"/>
      <c r="B125"/>
      <c r="C125"/>
      <c r="D125"/>
      <c r="E125"/>
      <c r="F125"/>
      <c r="G125"/>
      <c r="H125"/>
      <c r="I125"/>
    </row>
    <row r="126" spans="1:10" x14ac:dyDescent="0.3">
      <c r="A126"/>
      <c r="B126"/>
      <c r="C126"/>
      <c r="D126"/>
      <c r="E126"/>
      <c r="F126"/>
      <c r="G126"/>
      <c r="H126"/>
      <c r="I126"/>
    </row>
    <row r="127" spans="1:10" x14ac:dyDescent="0.3">
      <c r="A127"/>
      <c r="B127"/>
      <c r="C127"/>
      <c r="D127"/>
      <c r="E127"/>
      <c r="F127"/>
      <c r="G127"/>
      <c r="H127"/>
      <c r="I127"/>
    </row>
    <row r="128" spans="1:10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  <row r="183" spans="1:9" x14ac:dyDescent="0.3">
      <c r="A183"/>
      <c r="B183"/>
      <c r="C183"/>
      <c r="D183"/>
      <c r="E183"/>
      <c r="F183"/>
      <c r="G183"/>
      <c r="H183"/>
      <c r="I183"/>
    </row>
    <row r="184" spans="1:9" x14ac:dyDescent="0.3">
      <c r="A184"/>
      <c r="B184"/>
      <c r="C184"/>
      <c r="D184"/>
      <c r="E184"/>
      <c r="F184"/>
      <c r="G184"/>
      <c r="H184"/>
      <c r="I184"/>
    </row>
    <row r="185" spans="1:9" x14ac:dyDescent="0.3">
      <c r="A185"/>
      <c r="B185"/>
      <c r="C185"/>
      <c r="D185"/>
      <c r="E185"/>
      <c r="F185"/>
      <c r="G185"/>
      <c r="H185"/>
      <c r="I185"/>
    </row>
    <row r="186" spans="1:9" x14ac:dyDescent="0.3">
      <c r="A186"/>
      <c r="B186"/>
      <c r="C186"/>
      <c r="D186"/>
      <c r="E186"/>
      <c r="F186"/>
      <c r="G186"/>
      <c r="H186"/>
      <c r="I186"/>
    </row>
    <row r="187" spans="1:9" x14ac:dyDescent="0.3">
      <c r="A187"/>
      <c r="B187"/>
      <c r="C187"/>
      <c r="D187"/>
      <c r="E187"/>
      <c r="F187"/>
      <c r="G187"/>
      <c r="H187"/>
      <c r="I187"/>
    </row>
    <row r="188" spans="1:9" x14ac:dyDescent="0.3">
      <c r="A188"/>
      <c r="B188"/>
      <c r="C188"/>
      <c r="D188"/>
      <c r="E188"/>
      <c r="F188"/>
      <c r="G188"/>
      <c r="H188"/>
      <c r="I188"/>
    </row>
    <row r="189" spans="1:9" x14ac:dyDescent="0.3">
      <c r="A189"/>
      <c r="B189"/>
      <c r="C189"/>
      <c r="D189"/>
      <c r="E189"/>
      <c r="F189"/>
      <c r="G189"/>
      <c r="H189"/>
      <c r="I189"/>
    </row>
    <row r="190" spans="1:9" x14ac:dyDescent="0.3">
      <c r="A190"/>
      <c r="B190"/>
      <c r="C190"/>
      <c r="D190"/>
      <c r="E190"/>
      <c r="F190"/>
      <c r="G190"/>
      <c r="H190"/>
      <c r="I190"/>
    </row>
    <row r="191" spans="1:9" x14ac:dyDescent="0.3">
      <c r="A191"/>
      <c r="B191"/>
      <c r="C191"/>
      <c r="D191"/>
      <c r="E191"/>
      <c r="F191"/>
      <c r="G191"/>
      <c r="H191"/>
      <c r="I191"/>
    </row>
    <row r="192" spans="1:9" x14ac:dyDescent="0.3">
      <c r="A192"/>
      <c r="B192"/>
      <c r="C192"/>
      <c r="D192"/>
      <c r="E192"/>
      <c r="F192"/>
      <c r="G192"/>
      <c r="H192"/>
      <c r="I192"/>
    </row>
    <row r="193" spans="1:9" x14ac:dyDescent="0.3">
      <c r="A193"/>
      <c r="B193"/>
      <c r="C193"/>
      <c r="D193"/>
      <c r="E193"/>
      <c r="F193"/>
      <c r="G193"/>
      <c r="H193"/>
      <c r="I193"/>
    </row>
    <row r="194" spans="1:9" x14ac:dyDescent="0.3">
      <c r="A194"/>
      <c r="B194"/>
      <c r="C194"/>
      <c r="D194"/>
      <c r="E194"/>
      <c r="F194"/>
      <c r="G194"/>
      <c r="H194"/>
      <c r="I194"/>
    </row>
    <row r="195" spans="1:9" x14ac:dyDescent="0.3">
      <c r="A195"/>
      <c r="B195"/>
      <c r="C195"/>
      <c r="D195"/>
      <c r="E195"/>
      <c r="F195"/>
      <c r="G195"/>
      <c r="H195"/>
      <c r="I195"/>
    </row>
    <row r="196" spans="1:9" x14ac:dyDescent="0.3">
      <c r="A196"/>
      <c r="B196"/>
      <c r="C196"/>
      <c r="D196"/>
      <c r="E196"/>
      <c r="F196"/>
      <c r="G196"/>
      <c r="H196"/>
      <c r="I196"/>
    </row>
    <row r="197" spans="1:9" x14ac:dyDescent="0.3">
      <c r="A197"/>
      <c r="B197"/>
      <c r="C197"/>
      <c r="D197"/>
      <c r="E197"/>
      <c r="F197"/>
      <c r="G197"/>
      <c r="H197"/>
      <c r="I197"/>
    </row>
    <row r="198" spans="1:9" x14ac:dyDescent="0.3">
      <c r="A198"/>
      <c r="B198"/>
      <c r="C198"/>
      <c r="D198"/>
      <c r="E198"/>
      <c r="F198"/>
      <c r="G198"/>
      <c r="H198"/>
      <c r="I198"/>
    </row>
    <row r="199" spans="1:9" x14ac:dyDescent="0.3">
      <c r="A199"/>
      <c r="B199"/>
      <c r="C199"/>
      <c r="D199"/>
      <c r="E199"/>
      <c r="F199"/>
      <c r="G199"/>
      <c r="H199"/>
      <c r="I199"/>
    </row>
    <row r="200" spans="1:9" x14ac:dyDescent="0.3">
      <c r="A200"/>
      <c r="B200"/>
      <c r="C200"/>
      <c r="D200"/>
      <c r="E200"/>
      <c r="F200"/>
      <c r="G200"/>
      <c r="H200"/>
      <c r="I200"/>
    </row>
    <row r="201" spans="1:9" x14ac:dyDescent="0.3">
      <c r="A201"/>
      <c r="B201"/>
      <c r="C201"/>
      <c r="D201"/>
      <c r="E201"/>
      <c r="F201"/>
      <c r="G201"/>
      <c r="H201"/>
      <c r="I201"/>
    </row>
    <row r="202" spans="1:9" x14ac:dyDescent="0.3">
      <c r="A202"/>
      <c r="B202"/>
      <c r="C202"/>
      <c r="D202"/>
      <c r="E202"/>
      <c r="F202"/>
      <c r="G202"/>
      <c r="H202"/>
      <c r="I202"/>
    </row>
    <row r="203" spans="1:9" x14ac:dyDescent="0.3">
      <c r="A203"/>
      <c r="B203"/>
      <c r="C203"/>
      <c r="D203"/>
      <c r="E203"/>
      <c r="F203"/>
      <c r="G203"/>
      <c r="H203"/>
      <c r="I203"/>
    </row>
    <row r="204" spans="1:9" x14ac:dyDescent="0.3">
      <c r="A204"/>
      <c r="B204"/>
      <c r="C204"/>
      <c r="D204"/>
      <c r="E204"/>
      <c r="F204"/>
      <c r="G204"/>
      <c r="H204"/>
      <c r="I204"/>
    </row>
    <row r="205" spans="1:9" x14ac:dyDescent="0.3">
      <c r="A205"/>
      <c r="B205"/>
      <c r="C205"/>
      <c r="D205"/>
      <c r="E205"/>
      <c r="F205"/>
      <c r="G205"/>
      <c r="H205"/>
      <c r="I205"/>
    </row>
    <row r="206" spans="1:9" x14ac:dyDescent="0.3">
      <c r="A206"/>
      <c r="B206"/>
      <c r="C206"/>
      <c r="D206"/>
      <c r="E206"/>
      <c r="F206"/>
      <c r="G206"/>
      <c r="H206"/>
      <c r="I206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2"/>
  <sheetViews>
    <sheetView zoomScaleNormal="100" workbookViewId="0">
      <selection activeCell="A3" sqref="A3:I182"/>
    </sheetView>
  </sheetViews>
  <sheetFormatPr defaultRowHeight="14.4" x14ac:dyDescent="0.3"/>
  <cols>
    <col min="1" max="1" width="18.109375" style="13" bestFit="1" customWidth="1"/>
    <col min="2" max="2" width="12.88671875" style="13" bestFit="1" customWidth="1"/>
    <col min="3" max="3" width="10.21875" style="13" bestFit="1" customWidth="1"/>
    <col min="4" max="4" width="13.88671875" style="13" bestFit="1" customWidth="1"/>
    <col min="5" max="5" width="10.77734375" style="13" bestFit="1" customWidth="1"/>
    <col min="6" max="6" width="14" style="17" bestFit="1" customWidth="1"/>
    <col min="7" max="7" width="11.21875" style="13" bestFit="1" customWidth="1"/>
    <col min="8" max="8" width="18.5546875" style="13" bestFit="1" customWidth="1"/>
    <col min="9" max="9" width="17.44140625" style="13" bestFit="1" customWidth="1"/>
    <col min="10" max="11" width="25.21875" style="13" bestFit="1" customWidth="1"/>
    <col min="12" max="12" width="8.5546875" style="13" bestFit="1" customWidth="1"/>
    <col min="13" max="86" width="8.88671875" style="13" customWidth="1"/>
    <col min="87" max="16384" width="8.88671875" style="13"/>
  </cols>
  <sheetData>
    <row r="1" spans="1:12" ht="15" customHeight="1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7" t="s">
        <v>6</v>
      </c>
      <c r="H1" s="3" t="s">
        <v>7</v>
      </c>
      <c r="I1" s="13" t="s">
        <v>8</v>
      </c>
    </row>
    <row r="2" spans="1:12" ht="15" customHeight="1" thickTop="1" x14ac:dyDescent="0.3">
      <c r="A2" s="19"/>
      <c r="B2" s="18"/>
      <c r="F2" s="13"/>
      <c r="G2" s="19"/>
      <c r="H2" s="19"/>
      <c r="K2" s="29" t="s">
        <v>9</v>
      </c>
      <c r="L2" s="30"/>
    </row>
    <row r="3" spans="1:12" x14ac:dyDescent="0.3">
      <c r="A3"/>
      <c r="B3"/>
      <c r="C3"/>
      <c r="D3"/>
      <c r="E3"/>
      <c r="F3"/>
      <c r="G3"/>
      <c r="H3"/>
      <c r="I3"/>
      <c r="K3" s="14" t="s">
        <v>12</v>
      </c>
      <c r="L3" s="2">
        <f>ROUNDDOWN(COUNT(Table356[Quantity]) / 2, 0)</f>
        <v>0</v>
      </c>
    </row>
    <row r="4" spans="1:12" x14ac:dyDescent="0.3">
      <c r="A4"/>
      <c r="B4"/>
      <c r="C4"/>
      <c r="D4"/>
      <c r="E4"/>
      <c r="F4"/>
      <c r="G4"/>
      <c r="H4"/>
      <c r="I4"/>
      <c r="K4" s="14" t="s">
        <v>15</v>
      </c>
      <c r="L4" s="20">
        <f>SUMIF(Table356[PNL], "&gt;0", Table356[PNL])</f>
        <v>0</v>
      </c>
    </row>
    <row r="5" spans="1:12" x14ac:dyDescent="0.3">
      <c r="A5"/>
      <c r="B5"/>
      <c r="C5"/>
      <c r="D5"/>
      <c r="E5"/>
      <c r="F5"/>
      <c r="G5"/>
      <c r="H5"/>
      <c r="I5"/>
      <c r="K5" s="14" t="s">
        <v>16</v>
      </c>
      <c r="L5" s="21">
        <f>SUMIF(Table356[PNL], "&lt;0", Table356[PNL])</f>
        <v>0</v>
      </c>
    </row>
    <row r="6" spans="1:12" x14ac:dyDescent="0.3">
      <c r="A6"/>
      <c r="B6"/>
      <c r="C6"/>
      <c r="D6"/>
      <c r="E6"/>
      <c r="F6"/>
      <c r="G6"/>
      <c r="H6"/>
      <c r="I6"/>
      <c r="K6" s="14" t="s">
        <v>17</v>
      </c>
      <c r="L6" s="4">
        <f>SUM(Table356[Commission])</f>
        <v>0</v>
      </c>
    </row>
    <row r="7" spans="1:12" x14ac:dyDescent="0.3">
      <c r="A7"/>
      <c r="B7"/>
      <c r="C7"/>
      <c r="D7"/>
      <c r="E7"/>
      <c r="F7"/>
      <c r="G7"/>
      <c r="H7"/>
      <c r="I7"/>
      <c r="K7" s="14" t="s">
        <v>18</v>
      </c>
      <c r="L7" s="20">
        <f>SUM(Table356[PNL]) - L6</f>
        <v>0</v>
      </c>
    </row>
    <row r="8" spans="1:12" x14ac:dyDescent="0.3">
      <c r="A8"/>
      <c r="B8"/>
      <c r="C8"/>
      <c r="D8"/>
      <c r="E8"/>
      <c r="F8"/>
      <c r="G8"/>
      <c r="H8"/>
      <c r="I8"/>
      <c r="K8" s="14" t="s">
        <v>19</v>
      </c>
      <c r="L8" s="6" t="e">
        <f>AVERAGEIF(Table356[Type], "Opening Order", Table356[Price])</f>
        <v>#DIV/0!</v>
      </c>
    </row>
    <row r="9" spans="1:12" x14ac:dyDescent="0.3">
      <c r="A9"/>
      <c r="B9"/>
      <c r="C9"/>
      <c r="D9"/>
      <c r="E9"/>
      <c r="F9"/>
      <c r="G9"/>
      <c r="H9"/>
      <c r="I9"/>
      <c r="K9" s="14" t="s">
        <v>20</v>
      </c>
      <c r="L9" s="2">
        <f>COUNTIFS(Table356[Side], "BUY", Table356[Type], "Opening Order")</f>
        <v>0</v>
      </c>
    </row>
    <row r="10" spans="1:12" x14ac:dyDescent="0.3">
      <c r="A10"/>
      <c r="B10"/>
      <c r="C10"/>
      <c r="D10"/>
      <c r="E10"/>
      <c r="F10"/>
      <c r="G10"/>
      <c r="H10"/>
      <c r="I10"/>
      <c r="K10" s="14" t="s">
        <v>21</v>
      </c>
      <c r="L10" s="5" t="e">
        <f>COUNTIFS(Table356[Side], "SELL", Table356[Type], "Closing Order", Table356[PNL], "&gt;0") / L9</f>
        <v>#DIV/0!</v>
      </c>
    </row>
    <row r="11" spans="1:12" x14ac:dyDescent="0.3">
      <c r="A11"/>
      <c r="B11"/>
      <c r="C11"/>
      <c r="D11"/>
      <c r="E11"/>
      <c r="F11"/>
      <c r="G11"/>
      <c r="H11"/>
      <c r="I11"/>
      <c r="K11" s="14" t="s">
        <v>22</v>
      </c>
      <c r="L11" s="2">
        <f>COUNTIFS(Table356[Side], "SELL", Table356[Type], "Opening Order")</f>
        <v>0</v>
      </c>
    </row>
    <row r="12" spans="1:12" x14ac:dyDescent="0.3">
      <c r="A12"/>
      <c r="B12"/>
      <c r="C12"/>
      <c r="D12"/>
      <c r="E12"/>
      <c r="F12"/>
      <c r="G12"/>
      <c r="H12"/>
      <c r="I12"/>
      <c r="K12" s="14" t="s">
        <v>23</v>
      </c>
      <c r="L12" s="5" t="e">
        <f>COUNTIFS(Table356[Side],"BUY", Table356[Type], "Closing Order", Table356[PNL],"&gt;0") / L11</f>
        <v>#DIV/0!</v>
      </c>
    </row>
    <row r="13" spans="1:12" x14ac:dyDescent="0.3">
      <c r="A13"/>
      <c r="B13"/>
      <c r="C13"/>
      <c r="D13"/>
      <c r="E13"/>
      <c r="F13"/>
      <c r="G13"/>
      <c r="H13"/>
      <c r="I13"/>
      <c r="K13" s="16" t="s">
        <v>24</v>
      </c>
      <c r="L13" s="15" t="e">
        <f>COUNTIFS(Table356[PNL], "&gt;0", Table356[Type], "Closing Order")/L3</f>
        <v>#DIV/0!</v>
      </c>
    </row>
    <row r="14" spans="1:12" x14ac:dyDescent="0.3">
      <c r="A14"/>
      <c r="B14"/>
      <c r="C14"/>
      <c r="D14"/>
      <c r="E14"/>
      <c r="F14"/>
      <c r="G14"/>
      <c r="H14"/>
      <c r="I14"/>
      <c r="K14" s="14" t="s">
        <v>25</v>
      </c>
      <c r="L14" s="21" t="e">
        <f>AVERAGEIFS(Table356[PNL], Table356[PNL], "&gt;0", Table356[Type], "Closing Order")</f>
        <v>#DIV/0!</v>
      </c>
    </row>
    <row r="15" spans="1:12" x14ac:dyDescent="0.3">
      <c r="A15"/>
      <c r="B15"/>
      <c r="C15"/>
      <c r="D15"/>
      <c r="E15"/>
      <c r="F15"/>
      <c r="G15"/>
      <c r="H15"/>
      <c r="I15"/>
      <c r="K15" s="14" t="s">
        <v>26</v>
      </c>
      <c r="L15" s="21" t="e">
        <f>AVERAGEIFS(Table356[PNL], Table356[PNL], "&lt;0", Table356[Type], "Closing Order")</f>
        <v>#DIV/0!</v>
      </c>
    </row>
    <row r="16" spans="1:12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12" x14ac:dyDescent="0.3">
      <c r="A65"/>
      <c r="B65"/>
      <c r="C65"/>
      <c r="D65"/>
      <c r="E65"/>
      <c r="F65"/>
      <c r="G65"/>
      <c r="H65"/>
      <c r="I65"/>
    </row>
    <row r="66" spans="1:12" x14ac:dyDescent="0.3">
      <c r="A66"/>
      <c r="B66"/>
      <c r="C66"/>
      <c r="D66"/>
      <c r="E66"/>
      <c r="F66"/>
      <c r="G66"/>
      <c r="H66"/>
      <c r="I66"/>
    </row>
    <row r="67" spans="1:12" x14ac:dyDescent="0.3">
      <c r="A67"/>
      <c r="B67"/>
      <c r="C67"/>
      <c r="D67"/>
      <c r="E67"/>
      <c r="F67"/>
      <c r="G67"/>
      <c r="H67"/>
      <c r="I67"/>
    </row>
    <row r="68" spans="1:12" x14ac:dyDescent="0.3">
      <c r="A68"/>
      <c r="B68"/>
      <c r="C68"/>
      <c r="D68"/>
      <c r="E68"/>
      <c r="F68"/>
      <c r="G68"/>
      <c r="H68"/>
      <c r="I68"/>
    </row>
    <row r="69" spans="1:12" x14ac:dyDescent="0.3">
      <c r="A69"/>
      <c r="B69"/>
      <c r="C69"/>
      <c r="D69"/>
      <c r="E69"/>
      <c r="F69"/>
      <c r="G69"/>
      <c r="H69"/>
      <c r="I69"/>
    </row>
    <row r="70" spans="1:12" x14ac:dyDescent="0.3">
      <c r="A70"/>
      <c r="B70"/>
      <c r="C70"/>
      <c r="D70"/>
      <c r="E70"/>
      <c r="F70"/>
      <c r="G70"/>
      <c r="H70"/>
      <c r="I70"/>
    </row>
    <row r="71" spans="1:12" x14ac:dyDescent="0.3">
      <c r="A71"/>
      <c r="B71"/>
      <c r="C71"/>
      <c r="D71"/>
      <c r="E71"/>
      <c r="F71"/>
      <c r="G71"/>
      <c r="H71"/>
      <c r="I71"/>
    </row>
    <row r="72" spans="1:12" x14ac:dyDescent="0.3">
      <c r="A72"/>
      <c r="B72"/>
      <c r="C72"/>
      <c r="D72"/>
      <c r="E72"/>
      <c r="F72"/>
      <c r="G72"/>
      <c r="H72"/>
      <c r="I72"/>
    </row>
    <row r="73" spans="1:12" x14ac:dyDescent="0.3">
      <c r="A73"/>
      <c r="B73"/>
      <c r="C73"/>
      <c r="D73"/>
      <c r="E73"/>
      <c r="F73"/>
      <c r="G73"/>
      <c r="H73"/>
      <c r="I73"/>
    </row>
    <row r="74" spans="1:12" x14ac:dyDescent="0.3">
      <c r="A74"/>
      <c r="B74"/>
      <c r="C74"/>
      <c r="D74"/>
      <c r="E74"/>
      <c r="F74"/>
      <c r="G74"/>
      <c r="H74"/>
      <c r="I74"/>
    </row>
    <row r="75" spans="1:12" x14ac:dyDescent="0.3">
      <c r="A75"/>
      <c r="B75"/>
      <c r="C75"/>
      <c r="D75"/>
      <c r="E75"/>
      <c r="F75"/>
      <c r="G75"/>
      <c r="H75"/>
      <c r="I75"/>
    </row>
    <row r="76" spans="1:12" x14ac:dyDescent="0.3">
      <c r="A76"/>
      <c r="B76"/>
      <c r="C76"/>
      <c r="D76"/>
      <c r="E76"/>
      <c r="F76"/>
      <c r="G76"/>
      <c r="H76"/>
      <c r="I76"/>
    </row>
    <row r="77" spans="1:12" x14ac:dyDescent="0.3">
      <c r="A77"/>
      <c r="B77"/>
      <c r="C77"/>
      <c r="D77"/>
      <c r="E77"/>
      <c r="F77"/>
      <c r="G77"/>
      <c r="H77"/>
      <c r="I77"/>
    </row>
    <row r="78" spans="1:12" x14ac:dyDescent="0.3">
      <c r="A78"/>
      <c r="B78"/>
      <c r="C78"/>
      <c r="D78"/>
      <c r="E78"/>
      <c r="F78"/>
      <c r="G78"/>
      <c r="H78"/>
      <c r="I78"/>
    </row>
    <row r="79" spans="1:12" x14ac:dyDescent="0.3">
      <c r="A79"/>
      <c r="B79"/>
      <c r="C79"/>
      <c r="D79"/>
      <c r="E79"/>
      <c r="F79"/>
      <c r="G79"/>
      <c r="H79"/>
      <c r="I79"/>
      <c r="K79" s="13" t="s">
        <v>107</v>
      </c>
    </row>
    <row r="80" spans="1:12" x14ac:dyDescent="0.3">
      <c r="A80"/>
      <c r="B80"/>
      <c r="C80"/>
      <c r="D80"/>
      <c r="E80"/>
      <c r="F80"/>
      <c r="G80"/>
      <c r="H80"/>
      <c r="I80"/>
      <c r="K80" s="11"/>
      <c r="L80" s="19">
        <f>SUM(G3:G101)-SUM(H3:H101)</f>
        <v>0</v>
      </c>
    </row>
    <row r="81" spans="1:11" x14ac:dyDescent="0.3">
      <c r="A81"/>
      <c r="B81"/>
      <c r="C81"/>
      <c r="D81"/>
      <c r="E81"/>
      <c r="F81"/>
      <c r="G81"/>
      <c r="H81"/>
      <c r="I81"/>
      <c r="K81" s="11"/>
    </row>
    <row r="82" spans="1:11" x14ac:dyDescent="0.3">
      <c r="A82"/>
      <c r="B82"/>
      <c r="C82"/>
      <c r="D82"/>
      <c r="E82"/>
      <c r="F82"/>
      <c r="G82"/>
      <c r="H82"/>
      <c r="I82"/>
      <c r="K82" s="11"/>
    </row>
    <row r="83" spans="1:11" x14ac:dyDescent="0.3">
      <c r="A83"/>
      <c r="B83"/>
      <c r="C83"/>
      <c r="D83"/>
      <c r="E83"/>
      <c r="F83"/>
      <c r="G83"/>
      <c r="H83"/>
      <c r="I83"/>
      <c r="K83" s="11"/>
    </row>
    <row r="84" spans="1:11" x14ac:dyDescent="0.3">
      <c r="A84"/>
      <c r="B84"/>
      <c r="C84"/>
      <c r="D84"/>
      <c r="E84"/>
      <c r="F84"/>
      <c r="G84"/>
      <c r="H84"/>
      <c r="I84"/>
      <c r="K84" s="11"/>
    </row>
    <row r="85" spans="1:11" x14ac:dyDescent="0.3">
      <c r="A85"/>
      <c r="B85"/>
      <c r="C85"/>
      <c r="D85"/>
      <c r="E85"/>
      <c r="F85"/>
      <c r="G85"/>
      <c r="H85"/>
      <c r="I85"/>
      <c r="K85" s="11"/>
    </row>
    <row r="86" spans="1:11" x14ac:dyDescent="0.3">
      <c r="A86"/>
      <c r="B86"/>
      <c r="C86"/>
      <c r="D86"/>
      <c r="E86"/>
      <c r="F86"/>
      <c r="G86"/>
      <c r="H86"/>
      <c r="I86"/>
      <c r="K86" s="11"/>
    </row>
    <row r="87" spans="1:11" x14ac:dyDescent="0.3">
      <c r="A87"/>
      <c r="B87"/>
      <c r="C87"/>
      <c r="D87"/>
      <c r="E87"/>
      <c r="F87"/>
      <c r="G87"/>
      <c r="H87"/>
      <c r="I87"/>
      <c r="K87" s="11"/>
    </row>
    <row r="88" spans="1:11" x14ac:dyDescent="0.3">
      <c r="A88"/>
      <c r="B88"/>
      <c r="C88"/>
      <c r="D88"/>
      <c r="E88"/>
      <c r="F88"/>
      <c r="G88"/>
      <c r="H88"/>
      <c r="I88"/>
      <c r="K88" s="11"/>
    </row>
    <row r="89" spans="1:11" x14ac:dyDescent="0.3">
      <c r="A89"/>
      <c r="B89"/>
      <c r="C89"/>
      <c r="D89"/>
      <c r="E89"/>
      <c r="F89"/>
      <c r="G89"/>
      <c r="H89"/>
      <c r="I89"/>
      <c r="K89" s="11"/>
    </row>
    <row r="90" spans="1:11" x14ac:dyDescent="0.3">
      <c r="A90"/>
      <c r="B90"/>
      <c r="C90"/>
      <c r="D90"/>
      <c r="E90"/>
      <c r="F90"/>
      <c r="G90"/>
      <c r="H90"/>
      <c r="I90"/>
      <c r="K90" s="11"/>
    </row>
    <row r="91" spans="1:11" x14ac:dyDescent="0.3">
      <c r="A91"/>
      <c r="B91"/>
      <c r="C91"/>
      <c r="D91"/>
      <c r="E91"/>
      <c r="F91"/>
      <c r="G91"/>
      <c r="H91"/>
      <c r="I91"/>
      <c r="K91" s="11"/>
    </row>
    <row r="92" spans="1:11" x14ac:dyDescent="0.3">
      <c r="A92"/>
      <c r="B92"/>
      <c r="C92"/>
      <c r="D92"/>
      <c r="E92"/>
      <c r="F92"/>
      <c r="G92"/>
      <c r="H92"/>
      <c r="I92"/>
      <c r="K92" s="11"/>
    </row>
    <row r="93" spans="1:11" x14ac:dyDescent="0.3">
      <c r="A93"/>
      <c r="B93"/>
      <c r="C93"/>
      <c r="D93"/>
      <c r="E93"/>
      <c r="F93"/>
      <c r="G93"/>
      <c r="H93"/>
      <c r="I93"/>
      <c r="K93" s="11"/>
    </row>
    <row r="94" spans="1:11" x14ac:dyDescent="0.3">
      <c r="A94"/>
      <c r="B94"/>
      <c r="C94"/>
      <c r="D94"/>
      <c r="E94"/>
      <c r="F94"/>
      <c r="G94"/>
      <c r="H94"/>
      <c r="I94"/>
      <c r="K94" s="11"/>
    </row>
    <row r="95" spans="1:11" x14ac:dyDescent="0.3">
      <c r="A95"/>
      <c r="B95"/>
      <c r="C95"/>
      <c r="D95"/>
      <c r="E95"/>
      <c r="F95"/>
      <c r="G95"/>
      <c r="H95"/>
      <c r="I95"/>
      <c r="K95" s="11"/>
    </row>
    <row r="96" spans="1:11" x14ac:dyDescent="0.3">
      <c r="A96"/>
      <c r="B96"/>
      <c r="C96"/>
      <c r="D96"/>
      <c r="E96"/>
      <c r="F96"/>
      <c r="G96"/>
      <c r="H96"/>
      <c r="I96"/>
      <c r="K96" s="11"/>
    </row>
    <row r="97" spans="1:11" x14ac:dyDescent="0.3">
      <c r="A97"/>
      <c r="B97"/>
      <c r="C97"/>
      <c r="D97"/>
      <c r="E97"/>
      <c r="F97"/>
      <c r="G97"/>
      <c r="H97"/>
      <c r="I97"/>
      <c r="K97" s="11"/>
    </row>
    <row r="98" spans="1:11" x14ac:dyDescent="0.3">
      <c r="A98"/>
      <c r="B98"/>
      <c r="C98"/>
      <c r="D98"/>
      <c r="E98"/>
      <c r="F98"/>
      <c r="G98"/>
      <c r="H98"/>
      <c r="I98"/>
      <c r="K98" s="11"/>
    </row>
    <row r="99" spans="1:11" x14ac:dyDescent="0.3">
      <c r="A99"/>
      <c r="B99"/>
      <c r="C99"/>
      <c r="D99"/>
      <c r="E99"/>
      <c r="F99"/>
      <c r="G99"/>
      <c r="H99"/>
      <c r="I99"/>
      <c r="K99" s="11"/>
    </row>
    <row r="100" spans="1:11" x14ac:dyDescent="0.3">
      <c r="A100"/>
      <c r="B100"/>
      <c r="C100"/>
      <c r="D100"/>
      <c r="E100"/>
      <c r="F100"/>
      <c r="G100"/>
      <c r="H100"/>
      <c r="I100"/>
      <c r="K100" s="11"/>
    </row>
    <row r="101" spans="1:11" x14ac:dyDescent="0.3">
      <c r="A101"/>
      <c r="B101"/>
      <c r="C101"/>
      <c r="D101"/>
      <c r="E101"/>
      <c r="F101"/>
      <c r="G101"/>
      <c r="H101"/>
      <c r="I101"/>
      <c r="K101" s="11"/>
    </row>
    <row r="102" spans="1:11" x14ac:dyDescent="0.3">
      <c r="A102"/>
      <c r="B102"/>
      <c r="C102"/>
      <c r="D102"/>
      <c r="E102"/>
      <c r="F102"/>
      <c r="G102"/>
      <c r="H102"/>
      <c r="I102"/>
      <c r="K102" s="11"/>
    </row>
    <row r="103" spans="1:11" x14ac:dyDescent="0.3">
      <c r="A103"/>
      <c r="B103"/>
      <c r="C103"/>
      <c r="D103"/>
      <c r="E103"/>
      <c r="F103"/>
      <c r="G103"/>
      <c r="H103"/>
      <c r="I103"/>
      <c r="K103" s="11"/>
    </row>
    <row r="104" spans="1:11" x14ac:dyDescent="0.3">
      <c r="A104"/>
      <c r="B104"/>
      <c r="C104"/>
      <c r="D104"/>
      <c r="E104"/>
      <c r="F104"/>
      <c r="G104"/>
      <c r="H104"/>
      <c r="I104"/>
      <c r="K104" s="11"/>
    </row>
    <row r="105" spans="1:11" x14ac:dyDescent="0.3">
      <c r="A105"/>
      <c r="B105"/>
      <c r="C105"/>
      <c r="D105"/>
      <c r="E105"/>
      <c r="F105"/>
      <c r="G105"/>
      <c r="H105"/>
      <c r="I105"/>
      <c r="K105" s="11"/>
    </row>
    <row r="106" spans="1:11" x14ac:dyDescent="0.3">
      <c r="A106"/>
      <c r="B106"/>
      <c r="C106"/>
      <c r="D106"/>
      <c r="E106"/>
      <c r="F106"/>
      <c r="G106"/>
      <c r="H106"/>
      <c r="I106"/>
      <c r="K106" s="11"/>
    </row>
    <row r="107" spans="1:11" x14ac:dyDescent="0.3">
      <c r="A107"/>
      <c r="B107"/>
      <c r="C107"/>
      <c r="D107"/>
      <c r="E107"/>
      <c r="F107"/>
      <c r="G107"/>
      <c r="H107"/>
      <c r="I107"/>
      <c r="K107" s="11"/>
    </row>
    <row r="108" spans="1:11" x14ac:dyDescent="0.3">
      <c r="A108"/>
      <c r="B108"/>
      <c r="C108"/>
      <c r="D108"/>
      <c r="E108"/>
      <c r="F108"/>
      <c r="G108"/>
      <c r="H108"/>
      <c r="I108"/>
      <c r="K108" s="11"/>
    </row>
    <row r="109" spans="1:11" x14ac:dyDescent="0.3">
      <c r="A109"/>
      <c r="B109"/>
      <c r="C109"/>
      <c r="D109"/>
      <c r="E109"/>
      <c r="F109"/>
      <c r="G109"/>
      <c r="H109"/>
      <c r="I109"/>
      <c r="K109" s="11"/>
    </row>
    <row r="110" spans="1:11" x14ac:dyDescent="0.3">
      <c r="A110"/>
      <c r="B110"/>
      <c r="C110"/>
      <c r="D110"/>
      <c r="E110"/>
      <c r="F110"/>
      <c r="G110"/>
      <c r="H110"/>
      <c r="I110"/>
      <c r="K110" s="11"/>
    </row>
    <row r="111" spans="1:11" x14ac:dyDescent="0.3">
      <c r="A111"/>
      <c r="B111"/>
      <c r="C111"/>
      <c r="D111"/>
      <c r="E111"/>
      <c r="F111"/>
      <c r="G111"/>
      <c r="H111"/>
      <c r="I111"/>
      <c r="K111" s="11"/>
    </row>
    <row r="112" spans="1:11" x14ac:dyDescent="0.3">
      <c r="A112"/>
      <c r="B112"/>
      <c r="C112"/>
      <c r="D112"/>
      <c r="E112"/>
      <c r="F112"/>
      <c r="G112"/>
      <c r="H112"/>
      <c r="I112"/>
      <c r="K112" s="11"/>
    </row>
    <row r="113" spans="1:11" x14ac:dyDescent="0.3">
      <c r="A113"/>
      <c r="B113"/>
      <c r="C113"/>
      <c r="D113"/>
      <c r="E113"/>
      <c r="F113"/>
      <c r="G113"/>
      <c r="H113"/>
      <c r="I113"/>
      <c r="K113" s="11"/>
    </row>
    <row r="114" spans="1:11" x14ac:dyDescent="0.3">
      <c r="A114"/>
      <c r="B114"/>
      <c r="C114"/>
      <c r="D114"/>
      <c r="E114"/>
      <c r="F114"/>
      <c r="G114"/>
      <c r="H114"/>
      <c r="I114"/>
      <c r="K114" s="11"/>
    </row>
    <row r="115" spans="1:11" x14ac:dyDescent="0.3">
      <c r="A115"/>
      <c r="B115"/>
      <c r="C115"/>
      <c r="D115"/>
      <c r="E115"/>
      <c r="F115"/>
      <c r="G115"/>
      <c r="H115"/>
      <c r="I115"/>
      <c r="K115" s="11"/>
    </row>
    <row r="116" spans="1:11" x14ac:dyDescent="0.3">
      <c r="A116"/>
      <c r="B116"/>
      <c r="C116"/>
      <c r="D116"/>
      <c r="E116"/>
      <c r="F116"/>
      <c r="G116"/>
      <c r="H116"/>
      <c r="I116"/>
      <c r="K116" s="11"/>
    </row>
    <row r="117" spans="1:11" x14ac:dyDescent="0.3">
      <c r="A117"/>
      <c r="B117"/>
      <c r="C117"/>
      <c r="D117"/>
      <c r="E117"/>
      <c r="F117"/>
      <c r="G117"/>
      <c r="H117"/>
      <c r="I117"/>
      <c r="K117" s="11"/>
    </row>
    <row r="118" spans="1:11" x14ac:dyDescent="0.3">
      <c r="A118"/>
      <c r="B118"/>
      <c r="C118"/>
      <c r="D118"/>
      <c r="E118"/>
      <c r="F118"/>
      <c r="G118"/>
      <c r="H118"/>
      <c r="I118"/>
    </row>
    <row r="119" spans="1:11" x14ac:dyDescent="0.3">
      <c r="A119"/>
      <c r="B119"/>
      <c r="C119"/>
      <c r="D119"/>
      <c r="E119"/>
      <c r="F119"/>
      <c r="G119"/>
      <c r="H119"/>
      <c r="I119"/>
    </row>
    <row r="120" spans="1:11" x14ac:dyDescent="0.3">
      <c r="A120"/>
      <c r="B120"/>
      <c r="C120"/>
      <c r="D120"/>
      <c r="E120"/>
      <c r="F120"/>
      <c r="G120"/>
      <c r="H120"/>
      <c r="I120"/>
    </row>
    <row r="121" spans="1:11" x14ac:dyDescent="0.3">
      <c r="A121"/>
      <c r="B121"/>
      <c r="C121"/>
      <c r="D121"/>
      <c r="E121"/>
      <c r="F121"/>
      <c r="G121"/>
      <c r="H121"/>
      <c r="I121"/>
    </row>
    <row r="122" spans="1:11" x14ac:dyDescent="0.3">
      <c r="A122"/>
      <c r="B122"/>
      <c r="C122"/>
      <c r="D122"/>
      <c r="E122"/>
      <c r="F122"/>
      <c r="G122"/>
      <c r="H122"/>
      <c r="I122"/>
    </row>
    <row r="123" spans="1:11" x14ac:dyDescent="0.3">
      <c r="A123"/>
      <c r="B123"/>
      <c r="C123"/>
      <c r="D123"/>
      <c r="E123"/>
      <c r="F123"/>
      <c r="G123"/>
      <c r="H123"/>
      <c r="I123"/>
    </row>
    <row r="124" spans="1:11" x14ac:dyDescent="0.3">
      <c r="A124"/>
      <c r="B124"/>
      <c r="C124"/>
      <c r="D124"/>
      <c r="E124"/>
      <c r="F124"/>
      <c r="G124"/>
      <c r="H124"/>
      <c r="I124"/>
    </row>
    <row r="125" spans="1:11" x14ac:dyDescent="0.3">
      <c r="A125"/>
      <c r="B125"/>
      <c r="C125"/>
      <c r="D125"/>
      <c r="E125"/>
      <c r="F125"/>
      <c r="G125"/>
      <c r="H125"/>
      <c r="I125"/>
    </row>
    <row r="126" spans="1:11" x14ac:dyDescent="0.3">
      <c r="A126"/>
      <c r="B126"/>
      <c r="C126"/>
      <c r="D126"/>
      <c r="E126"/>
      <c r="F126"/>
      <c r="G126"/>
      <c r="H126"/>
      <c r="I126"/>
    </row>
    <row r="127" spans="1:11" x14ac:dyDescent="0.3">
      <c r="A127"/>
      <c r="B127"/>
      <c r="C127"/>
      <c r="D127"/>
      <c r="E127"/>
      <c r="F127"/>
      <c r="G127"/>
      <c r="H127"/>
      <c r="I127"/>
    </row>
    <row r="128" spans="1:11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  <row r="171" spans="1:9" x14ac:dyDescent="0.3">
      <c r="A171"/>
      <c r="B171"/>
      <c r="C171"/>
      <c r="D171"/>
      <c r="E171"/>
      <c r="F171"/>
      <c r="G171"/>
      <c r="H171"/>
      <c r="I171"/>
    </row>
    <row r="172" spans="1:9" x14ac:dyDescent="0.3">
      <c r="A172"/>
      <c r="B172"/>
      <c r="C172"/>
      <c r="D172"/>
      <c r="E172"/>
      <c r="F172"/>
      <c r="G172"/>
      <c r="H172"/>
      <c r="I172"/>
    </row>
    <row r="173" spans="1:9" x14ac:dyDescent="0.3">
      <c r="A173"/>
      <c r="B173"/>
      <c r="C173"/>
      <c r="D173"/>
      <c r="E173"/>
      <c r="F173"/>
      <c r="G173"/>
      <c r="H173"/>
      <c r="I173"/>
    </row>
    <row r="174" spans="1:9" x14ac:dyDescent="0.3">
      <c r="A174"/>
      <c r="B174"/>
      <c r="C174"/>
      <c r="D174"/>
      <c r="E174"/>
      <c r="F174"/>
      <c r="G174"/>
      <c r="H174"/>
      <c r="I174"/>
    </row>
    <row r="175" spans="1:9" x14ac:dyDescent="0.3">
      <c r="A175"/>
      <c r="B175"/>
      <c r="C175"/>
      <c r="D175"/>
      <c r="E175"/>
      <c r="F175"/>
      <c r="G175"/>
      <c r="H175"/>
      <c r="I175"/>
    </row>
    <row r="176" spans="1:9" x14ac:dyDescent="0.3">
      <c r="A176"/>
      <c r="B176"/>
      <c r="C176"/>
      <c r="D176"/>
      <c r="E176"/>
      <c r="F176"/>
      <c r="G176"/>
      <c r="H176"/>
      <c r="I176"/>
    </row>
    <row r="177" spans="1:9" x14ac:dyDescent="0.3">
      <c r="A177"/>
      <c r="B177"/>
      <c r="C177"/>
      <c r="D177"/>
      <c r="E177"/>
      <c r="F177"/>
      <c r="G177"/>
      <c r="H177"/>
      <c r="I177"/>
    </row>
    <row r="178" spans="1:9" x14ac:dyDescent="0.3">
      <c r="A178"/>
      <c r="B178"/>
      <c r="C178"/>
      <c r="D178"/>
      <c r="E178"/>
      <c r="F178"/>
      <c r="G178"/>
      <c r="H178"/>
      <c r="I178"/>
    </row>
    <row r="179" spans="1:9" x14ac:dyDescent="0.3">
      <c r="A179"/>
      <c r="B179"/>
      <c r="C179"/>
      <c r="D179"/>
      <c r="E179"/>
      <c r="F179"/>
      <c r="G179"/>
      <c r="H179"/>
      <c r="I179"/>
    </row>
    <row r="180" spans="1:9" x14ac:dyDescent="0.3">
      <c r="A180"/>
      <c r="B180"/>
      <c r="C180"/>
      <c r="D180"/>
      <c r="E180"/>
      <c r="F180"/>
      <c r="G180"/>
      <c r="H180"/>
      <c r="I180"/>
    </row>
    <row r="181" spans="1:9" x14ac:dyDescent="0.3">
      <c r="A181"/>
      <c r="B181"/>
      <c r="C181"/>
      <c r="D181"/>
      <c r="E181"/>
      <c r="F181"/>
      <c r="G181"/>
      <c r="H181"/>
      <c r="I181"/>
    </row>
    <row r="182" spans="1:9" x14ac:dyDescent="0.3">
      <c r="A182"/>
      <c r="B182"/>
      <c r="C182"/>
      <c r="D182"/>
      <c r="E182"/>
      <c r="F182"/>
      <c r="G182"/>
      <c r="H182"/>
      <c r="I182"/>
    </row>
  </sheetData>
  <mergeCells count="1">
    <mergeCell ref="K2:L2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8"/>
  <sheetViews>
    <sheetView workbookViewId="0">
      <selection activeCell="A3" sqref="A3:I88"/>
    </sheetView>
  </sheetViews>
  <sheetFormatPr defaultRowHeight="14.4" x14ac:dyDescent="0.3"/>
  <cols>
    <col min="1" max="1" width="18.109375" style="13" bestFit="1" customWidth="1"/>
    <col min="2" max="2" width="11.77734375" style="13" bestFit="1" customWidth="1"/>
    <col min="3" max="3" width="9" style="13" bestFit="1" customWidth="1"/>
    <col min="4" max="4" width="12.77734375" style="13" bestFit="1" customWidth="1"/>
    <col min="5" max="5" width="9.5546875" style="13" bestFit="1" customWidth="1"/>
    <col min="6" max="6" width="12.77734375" style="13" bestFit="1" customWidth="1"/>
    <col min="7" max="7" width="10.109375" style="13" bestFit="1" customWidth="1"/>
    <col min="8" max="8" width="17" style="13" bestFit="1" customWidth="1"/>
    <col min="9" max="9" width="16.21875" style="13" bestFit="1" customWidth="1"/>
    <col min="10" max="11" width="7.6640625" style="13" bestFit="1" customWidth="1"/>
    <col min="12" max="13" width="23.33203125" style="13" bestFit="1" customWidth="1"/>
    <col min="14" max="14" width="7.6640625" style="13" bestFit="1" customWidth="1"/>
    <col min="15" max="75" width="8.88671875" style="13" customWidth="1"/>
    <col min="76" max="16384" width="8.88671875" style="13"/>
  </cols>
  <sheetData>
    <row r="1" spans="1:14" ht="15" customHeight="1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7" t="s">
        <v>6</v>
      </c>
      <c r="H1" s="3" t="s">
        <v>7</v>
      </c>
      <c r="I1" s="13" t="s">
        <v>8</v>
      </c>
    </row>
    <row r="2" spans="1:14" ht="15" customHeight="1" thickTop="1" x14ac:dyDescent="0.3">
      <c r="A2" s="12"/>
      <c r="B2" s="18"/>
      <c r="G2" s="19"/>
      <c r="H2" s="19"/>
      <c r="K2" s="24"/>
      <c r="M2" s="9" t="s">
        <v>9</v>
      </c>
      <c r="N2" s="10"/>
    </row>
    <row r="3" spans="1:14" x14ac:dyDescent="0.3">
      <c r="A3"/>
      <c r="B3"/>
      <c r="C3"/>
      <c r="D3"/>
      <c r="E3"/>
      <c r="F3"/>
      <c r="G3"/>
      <c r="H3"/>
      <c r="I3"/>
      <c r="K3" s="24"/>
      <c r="M3" s="14" t="s">
        <v>12</v>
      </c>
      <c r="N3" s="2">
        <f>ROUNDDOWN(COUNT(Table35[Quantity]) / 2, 0)</f>
        <v>0</v>
      </c>
    </row>
    <row r="4" spans="1:14" x14ac:dyDescent="0.3">
      <c r="A4"/>
      <c r="B4"/>
      <c r="C4"/>
      <c r="D4"/>
      <c r="E4"/>
      <c r="F4"/>
      <c r="G4"/>
      <c r="H4"/>
      <c r="I4"/>
      <c r="K4" s="24"/>
      <c r="M4" s="14" t="s">
        <v>15</v>
      </c>
      <c r="N4" s="20">
        <f>SUMIF(Table35[PNL], "&gt;0", Table35[PNL])</f>
        <v>0</v>
      </c>
    </row>
    <row r="5" spans="1:14" x14ac:dyDescent="0.3">
      <c r="A5"/>
      <c r="B5"/>
      <c r="C5"/>
      <c r="D5"/>
      <c r="E5"/>
      <c r="F5"/>
      <c r="G5"/>
      <c r="H5"/>
      <c r="I5"/>
      <c r="K5" s="24"/>
      <c r="M5" s="14" t="s">
        <v>16</v>
      </c>
      <c r="N5" s="25">
        <f>SUMIF(Table35[PNL], "&lt;0", Table35[PNL])</f>
        <v>0</v>
      </c>
    </row>
    <row r="6" spans="1:14" x14ac:dyDescent="0.3">
      <c r="A6"/>
      <c r="B6"/>
      <c r="C6"/>
      <c r="D6"/>
      <c r="E6"/>
      <c r="F6"/>
      <c r="G6"/>
      <c r="H6"/>
      <c r="I6"/>
      <c r="K6" s="24"/>
      <c r="M6" s="14" t="s">
        <v>17</v>
      </c>
      <c r="N6" s="4">
        <f>SUM(Table35[Commission])</f>
        <v>0</v>
      </c>
    </row>
    <row r="7" spans="1:14" x14ac:dyDescent="0.3">
      <c r="A7"/>
      <c r="B7"/>
      <c r="C7"/>
      <c r="D7"/>
      <c r="E7"/>
      <c r="F7"/>
      <c r="G7"/>
      <c r="H7"/>
      <c r="I7"/>
      <c r="K7" s="24"/>
      <c r="M7" s="14" t="s">
        <v>18</v>
      </c>
      <c r="N7" s="20">
        <f>SUM(Table35[PNL]) - N6</f>
        <v>0</v>
      </c>
    </row>
    <row r="8" spans="1:14" x14ac:dyDescent="0.3">
      <c r="A8"/>
      <c r="B8"/>
      <c r="C8"/>
      <c r="D8"/>
      <c r="E8"/>
      <c r="F8"/>
      <c r="G8"/>
      <c r="H8"/>
      <c r="I8"/>
      <c r="K8" s="24"/>
      <c r="M8" s="14" t="s">
        <v>19</v>
      </c>
      <c r="N8" s="6" t="e">
        <f>AVERAGEIF(Table35[Type], "Opening Order", Table35[Price])</f>
        <v>#DIV/0!</v>
      </c>
    </row>
    <row r="9" spans="1:14" x14ac:dyDescent="0.3">
      <c r="A9"/>
      <c r="B9"/>
      <c r="C9"/>
      <c r="D9"/>
      <c r="E9"/>
      <c r="F9"/>
      <c r="G9"/>
      <c r="H9"/>
      <c r="I9"/>
      <c r="K9" s="24"/>
      <c r="M9" s="14" t="s">
        <v>20</v>
      </c>
      <c r="N9" s="2">
        <f>COUNTIFS(Table35[Side], "BUY", Table35[Type], "Opening Order")</f>
        <v>0</v>
      </c>
    </row>
    <row r="10" spans="1:14" x14ac:dyDescent="0.3">
      <c r="A10"/>
      <c r="B10"/>
      <c r="C10"/>
      <c r="D10"/>
      <c r="E10"/>
      <c r="F10"/>
      <c r="G10"/>
      <c r="H10"/>
      <c r="I10"/>
      <c r="K10" s="24"/>
      <c r="M10" s="14" t="s">
        <v>21</v>
      </c>
      <c r="N10" s="5" t="e">
        <f>COUNTIFS(Table35[Side], "SELL", Table35[Type], "Closing Order", Table35[PNL], "&gt;0") / N9</f>
        <v>#DIV/0!</v>
      </c>
    </row>
    <row r="11" spans="1:14" x14ac:dyDescent="0.3">
      <c r="A11"/>
      <c r="B11"/>
      <c r="C11"/>
      <c r="D11"/>
      <c r="E11"/>
      <c r="F11"/>
      <c r="G11"/>
      <c r="H11"/>
      <c r="I11"/>
      <c r="K11" s="24"/>
      <c r="M11" s="14" t="s">
        <v>22</v>
      </c>
      <c r="N11" s="2">
        <f>COUNTIFS(Table35[Side], "SELL", Table35[Type], "Opening Order")</f>
        <v>0</v>
      </c>
    </row>
    <row r="12" spans="1:14" x14ac:dyDescent="0.3">
      <c r="A12"/>
      <c r="B12"/>
      <c r="C12"/>
      <c r="D12"/>
      <c r="E12"/>
      <c r="F12"/>
      <c r="G12"/>
      <c r="H12"/>
      <c r="I12"/>
      <c r="K12" s="24"/>
      <c r="M12" s="14" t="s">
        <v>23</v>
      </c>
      <c r="N12" s="5" t="e">
        <f>COUNTIFS(Table35[Side],"BUY", Table35[Type], "Closing Order", Table35[PNL],"&gt;0") / N11</f>
        <v>#DIV/0!</v>
      </c>
    </row>
    <row r="13" spans="1:14" x14ac:dyDescent="0.3">
      <c r="A13"/>
      <c r="B13"/>
      <c r="C13"/>
      <c r="D13"/>
      <c r="E13"/>
      <c r="F13"/>
      <c r="G13"/>
      <c r="H13"/>
      <c r="I13"/>
      <c r="K13" s="24"/>
      <c r="M13" s="14" t="s">
        <v>24</v>
      </c>
      <c r="N13" s="7" t="e">
        <f>COUNTIFS(Table35[PNL], "&gt;0", Table35[Type], "Closing Order")/N3</f>
        <v>#DIV/0!</v>
      </c>
    </row>
    <row r="14" spans="1:14" x14ac:dyDescent="0.3">
      <c r="A14"/>
      <c r="B14"/>
      <c r="C14"/>
      <c r="D14"/>
      <c r="E14"/>
      <c r="F14"/>
      <c r="G14"/>
      <c r="H14"/>
      <c r="I14"/>
      <c r="K14" s="24"/>
      <c r="M14" s="14" t="s">
        <v>25</v>
      </c>
      <c r="N14" s="21" t="e">
        <f>AVERAGEIFS(Table35[PNL], Table35[PNL], "&gt;0", Table35[Type], "Closing Order")</f>
        <v>#DIV/0!</v>
      </c>
    </row>
    <row r="15" spans="1:14" x14ac:dyDescent="0.3">
      <c r="A15"/>
      <c r="B15"/>
      <c r="C15"/>
      <c r="D15"/>
      <c r="E15"/>
      <c r="F15"/>
      <c r="G15"/>
      <c r="H15"/>
      <c r="I15"/>
      <c r="K15" s="24"/>
      <c r="M15" s="14" t="s">
        <v>26</v>
      </c>
      <c r="N15" s="21" t="e">
        <f>AVERAGEIFS(Table35[PNL], Table35[PNL], "&lt;0", Table35[Type], "Closing Order")</f>
        <v>#DIV/0!</v>
      </c>
    </row>
    <row r="16" spans="1:14" x14ac:dyDescent="0.3">
      <c r="A16"/>
      <c r="B16"/>
      <c r="C16"/>
      <c r="D16"/>
      <c r="E16"/>
      <c r="F16"/>
      <c r="G16"/>
      <c r="H16"/>
      <c r="I16"/>
      <c r="K16" s="24"/>
      <c r="N16" s="19"/>
    </row>
    <row r="17" spans="1:11" x14ac:dyDescent="0.3">
      <c r="A17"/>
      <c r="B17"/>
      <c r="C17"/>
      <c r="D17"/>
      <c r="E17"/>
      <c r="F17"/>
      <c r="G17"/>
      <c r="H17"/>
      <c r="I17"/>
      <c r="K17" s="24"/>
    </row>
    <row r="18" spans="1:11" x14ac:dyDescent="0.3">
      <c r="A18"/>
      <c r="B18"/>
      <c r="C18"/>
      <c r="D18"/>
      <c r="E18"/>
      <c r="F18"/>
      <c r="G18"/>
      <c r="H18"/>
      <c r="I18"/>
      <c r="K18" s="24"/>
    </row>
    <row r="19" spans="1:11" x14ac:dyDescent="0.3">
      <c r="A19"/>
      <c r="B19"/>
      <c r="C19"/>
      <c r="D19"/>
      <c r="E19"/>
      <c r="F19"/>
      <c r="G19"/>
      <c r="H19"/>
      <c r="I19"/>
      <c r="K19" s="24"/>
    </row>
    <row r="20" spans="1:11" x14ac:dyDescent="0.3">
      <c r="A20"/>
      <c r="B20"/>
      <c r="C20"/>
      <c r="D20"/>
      <c r="E20"/>
      <c r="F20"/>
      <c r="G20"/>
      <c r="H20"/>
      <c r="I20"/>
      <c r="K20" s="24"/>
    </row>
    <row r="21" spans="1:11" x14ac:dyDescent="0.3">
      <c r="A21"/>
      <c r="B21"/>
      <c r="C21"/>
      <c r="D21"/>
      <c r="E21"/>
      <c r="F21"/>
      <c r="G21"/>
      <c r="H21"/>
      <c r="I21"/>
      <c r="K21" s="24"/>
    </row>
    <row r="22" spans="1:11" x14ac:dyDescent="0.3">
      <c r="A22"/>
      <c r="B22"/>
      <c r="C22"/>
      <c r="D22"/>
      <c r="E22"/>
      <c r="F22"/>
      <c r="G22"/>
      <c r="H22"/>
      <c r="I22"/>
      <c r="K22" s="24"/>
    </row>
    <row r="23" spans="1:11" x14ac:dyDescent="0.3">
      <c r="A23"/>
      <c r="B23"/>
      <c r="C23"/>
      <c r="D23"/>
      <c r="E23"/>
      <c r="F23"/>
      <c r="G23"/>
      <c r="H23"/>
      <c r="I23"/>
      <c r="K23" s="24"/>
    </row>
    <row r="24" spans="1:11" x14ac:dyDescent="0.3">
      <c r="A24"/>
      <c r="B24"/>
      <c r="C24"/>
      <c r="D24"/>
      <c r="E24"/>
      <c r="F24"/>
      <c r="G24"/>
      <c r="H24"/>
      <c r="I24"/>
      <c r="K24" s="24"/>
    </row>
    <row r="25" spans="1:11" x14ac:dyDescent="0.3">
      <c r="A25"/>
      <c r="B25"/>
      <c r="C25"/>
      <c r="D25"/>
      <c r="E25"/>
      <c r="F25"/>
      <c r="G25"/>
      <c r="H25"/>
      <c r="I25"/>
      <c r="K25" s="24"/>
    </row>
    <row r="26" spans="1:11" x14ac:dyDescent="0.3">
      <c r="A26"/>
      <c r="B26"/>
      <c r="C26"/>
      <c r="D26"/>
      <c r="E26"/>
      <c r="F26"/>
      <c r="G26"/>
      <c r="H26"/>
      <c r="I26"/>
      <c r="K26" s="24"/>
    </row>
    <row r="27" spans="1:11" x14ac:dyDescent="0.3">
      <c r="A27"/>
      <c r="B27"/>
      <c r="C27"/>
      <c r="D27"/>
      <c r="E27"/>
      <c r="F27"/>
      <c r="G27"/>
      <c r="H27"/>
      <c r="I27"/>
      <c r="K27" s="24"/>
    </row>
    <row r="28" spans="1:11" x14ac:dyDescent="0.3">
      <c r="A28"/>
      <c r="B28"/>
      <c r="C28"/>
      <c r="D28"/>
      <c r="E28"/>
      <c r="F28"/>
      <c r="G28"/>
      <c r="H28"/>
      <c r="I28"/>
      <c r="K28" s="24"/>
    </row>
    <row r="29" spans="1:11" x14ac:dyDescent="0.3">
      <c r="A29"/>
      <c r="B29"/>
      <c r="C29"/>
      <c r="D29"/>
      <c r="E29"/>
      <c r="F29"/>
      <c r="G29"/>
      <c r="H29"/>
      <c r="I29"/>
      <c r="K29" s="24"/>
    </row>
    <row r="30" spans="1:11" x14ac:dyDescent="0.3">
      <c r="A30"/>
      <c r="B30"/>
      <c r="C30"/>
      <c r="D30"/>
      <c r="E30"/>
      <c r="F30"/>
      <c r="G30"/>
      <c r="H30"/>
      <c r="I30"/>
    </row>
    <row r="31" spans="1:11" x14ac:dyDescent="0.3">
      <c r="A31"/>
      <c r="B31"/>
      <c r="C31"/>
      <c r="D31"/>
      <c r="E31"/>
      <c r="F31"/>
      <c r="G31"/>
      <c r="H31"/>
      <c r="I31"/>
    </row>
    <row r="32" spans="1:11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tabSelected="1" workbookViewId="0">
      <selection activeCell="E27" sqref="E27"/>
    </sheetView>
  </sheetViews>
  <sheetFormatPr defaultRowHeight="14.4" x14ac:dyDescent="0.3"/>
  <cols>
    <col min="1" max="1" width="18.109375" style="13" bestFit="1" customWidth="1"/>
    <col min="2" max="2" width="11.77734375" style="13" bestFit="1" customWidth="1"/>
    <col min="3" max="3" width="9" style="13" bestFit="1" customWidth="1"/>
    <col min="4" max="4" width="12.77734375" style="13" bestFit="1" customWidth="1"/>
    <col min="5" max="5" width="9.5546875" style="13" bestFit="1" customWidth="1"/>
    <col min="6" max="6" width="12.77734375" style="13" bestFit="1" customWidth="1"/>
    <col min="7" max="7" width="11.6640625" style="13" bestFit="1" customWidth="1"/>
    <col min="8" max="8" width="17" style="13" bestFit="1" customWidth="1"/>
    <col min="9" max="9" width="16.21875" style="13" bestFit="1" customWidth="1"/>
    <col min="10" max="12" width="8.88671875" style="13" customWidth="1"/>
    <col min="13" max="13" width="23.33203125" style="13" bestFit="1" customWidth="1"/>
    <col min="14" max="14" width="8.21875" style="13" bestFit="1" customWidth="1"/>
    <col min="15" max="32" width="8.88671875" style="13" customWidth="1"/>
    <col min="33" max="16384" width="8.88671875" style="13"/>
  </cols>
  <sheetData>
    <row r="1" spans="1:14" ht="15" customHeight="1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6" t="s">
        <v>6</v>
      </c>
      <c r="H1" s="3" t="s">
        <v>7</v>
      </c>
      <c r="I1" s="13" t="s">
        <v>8</v>
      </c>
    </row>
    <row r="2" spans="1:14" ht="15" customHeight="1" thickTop="1" x14ac:dyDescent="0.3">
      <c r="A2" s="12"/>
      <c r="B2" s="18"/>
      <c r="G2" s="19"/>
      <c r="H2" s="19"/>
      <c r="M2" s="9" t="s">
        <v>9</v>
      </c>
      <c r="N2" s="10"/>
    </row>
    <row r="3" spans="1:14" x14ac:dyDescent="0.3">
      <c r="A3"/>
      <c r="B3"/>
      <c r="C3"/>
      <c r="D3"/>
      <c r="E3"/>
      <c r="F3"/>
      <c r="G3"/>
      <c r="H3"/>
      <c r="I3"/>
      <c r="M3" s="14" t="s">
        <v>12</v>
      </c>
      <c r="N3" s="2">
        <f>ROUNDDOWN(COUNT(Table357[Quantity]) / 2, 0)</f>
        <v>0</v>
      </c>
    </row>
    <row r="4" spans="1:14" x14ac:dyDescent="0.3">
      <c r="A4"/>
      <c r="B4"/>
      <c r="C4"/>
      <c r="D4"/>
      <c r="E4"/>
      <c r="F4"/>
      <c r="G4"/>
      <c r="H4"/>
      <c r="I4"/>
      <c r="K4" s="19"/>
      <c r="M4" s="14" t="s">
        <v>15</v>
      </c>
      <c r="N4" s="20">
        <f>SUMIF(Table357[PNL], "&gt;0", Table357[PNL])</f>
        <v>0</v>
      </c>
    </row>
    <row r="5" spans="1:14" x14ac:dyDescent="0.3">
      <c r="A5"/>
      <c r="B5"/>
      <c r="C5"/>
      <c r="D5"/>
      <c r="E5"/>
      <c r="F5"/>
      <c r="G5"/>
      <c r="H5"/>
      <c r="I5"/>
      <c r="M5" s="14" t="s">
        <v>16</v>
      </c>
      <c r="N5" s="25">
        <f>SUMIF(Table357[PNL], "&lt;0", Table357[PNL])</f>
        <v>0</v>
      </c>
    </row>
    <row r="6" spans="1:14" x14ac:dyDescent="0.3">
      <c r="A6"/>
      <c r="B6"/>
      <c r="C6"/>
      <c r="D6"/>
      <c r="E6"/>
      <c r="F6"/>
      <c r="G6"/>
      <c r="H6"/>
      <c r="I6"/>
      <c r="M6" s="14" t="s">
        <v>17</v>
      </c>
      <c r="N6" s="4">
        <f>SUM(Table357[Commission])</f>
        <v>0</v>
      </c>
    </row>
    <row r="7" spans="1:14" x14ac:dyDescent="0.3">
      <c r="A7"/>
      <c r="B7"/>
      <c r="C7"/>
      <c r="D7"/>
      <c r="E7"/>
      <c r="F7"/>
      <c r="G7"/>
      <c r="H7"/>
      <c r="I7"/>
      <c r="M7" s="14" t="s">
        <v>18</v>
      </c>
      <c r="N7" s="20">
        <f>SUM(Table357[PNL]) - N6</f>
        <v>0</v>
      </c>
    </row>
    <row r="8" spans="1:14" x14ac:dyDescent="0.3">
      <c r="A8"/>
      <c r="B8"/>
      <c r="C8"/>
      <c r="D8"/>
      <c r="E8"/>
      <c r="F8"/>
      <c r="G8"/>
      <c r="H8"/>
      <c r="I8"/>
      <c r="M8" s="14" t="s">
        <v>19</v>
      </c>
      <c r="N8" s="6" t="e">
        <f>AVERAGEIF(Table357[Type], "Opening Order", Table357[Price])</f>
        <v>#DIV/0!</v>
      </c>
    </row>
    <row r="9" spans="1:14" x14ac:dyDescent="0.3">
      <c r="A9"/>
      <c r="B9"/>
      <c r="C9"/>
      <c r="D9"/>
      <c r="E9"/>
      <c r="F9"/>
      <c r="G9"/>
      <c r="H9"/>
      <c r="I9"/>
      <c r="M9" s="14" t="s">
        <v>20</v>
      </c>
      <c r="N9" s="2">
        <f>COUNTIFS(Table357[Side], "BUY", Table357[Type], "Opening Order")</f>
        <v>0</v>
      </c>
    </row>
    <row r="10" spans="1:14" x14ac:dyDescent="0.3">
      <c r="A10"/>
      <c r="B10"/>
      <c r="C10"/>
      <c r="D10"/>
      <c r="E10"/>
      <c r="F10"/>
      <c r="G10"/>
      <c r="H10"/>
      <c r="I10"/>
      <c r="M10" s="14" t="s">
        <v>21</v>
      </c>
      <c r="N10" s="5" t="e">
        <f>COUNTIFS(Table357[Side], "SELL", Table357[Type], "Closing Order", Table357[PNL], "&gt;0") / N9</f>
        <v>#DIV/0!</v>
      </c>
    </row>
    <row r="11" spans="1:14" x14ac:dyDescent="0.3">
      <c r="A11"/>
      <c r="B11"/>
      <c r="C11"/>
      <c r="D11"/>
      <c r="E11"/>
      <c r="F11"/>
      <c r="G11"/>
      <c r="H11"/>
      <c r="I11"/>
      <c r="M11" s="14" t="s">
        <v>22</v>
      </c>
      <c r="N11" s="2">
        <f>COUNTIFS(Table357[Side], "SELL", Table357[Type], "Opening Order")</f>
        <v>0</v>
      </c>
    </row>
    <row r="12" spans="1:14" x14ac:dyDescent="0.3">
      <c r="A12"/>
      <c r="B12"/>
      <c r="C12"/>
      <c r="D12"/>
      <c r="E12"/>
      <c r="F12"/>
      <c r="G12"/>
      <c r="H12"/>
      <c r="I12"/>
      <c r="M12" s="14" t="s">
        <v>23</v>
      </c>
      <c r="N12" s="5" t="e">
        <f>COUNTIFS(Table357[Side],"BUY", Table357[Type], "Closing Order", Table357[PNL],"&gt;0") / N11</f>
        <v>#DIV/0!</v>
      </c>
    </row>
    <row r="13" spans="1:14" x14ac:dyDescent="0.3">
      <c r="A13"/>
      <c r="B13"/>
      <c r="C13"/>
      <c r="D13"/>
      <c r="E13"/>
      <c r="F13"/>
      <c r="G13"/>
      <c r="H13"/>
      <c r="I13"/>
      <c r="M13" s="14" t="s">
        <v>24</v>
      </c>
      <c r="N13" s="21" t="e">
        <f>COUNTIFS(Table357[PNL], "&gt;0", Table357[Type], "Closing Order")/N3</f>
        <v>#DIV/0!</v>
      </c>
    </row>
    <row r="14" spans="1:14" x14ac:dyDescent="0.3">
      <c r="A14"/>
      <c r="B14"/>
      <c r="C14"/>
      <c r="D14"/>
      <c r="E14"/>
      <c r="F14"/>
      <c r="G14"/>
      <c r="H14"/>
      <c r="I14"/>
      <c r="M14" s="14" t="s">
        <v>25</v>
      </c>
      <c r="N14" s="21" t="e">
        <f>AVERAGEIFS(Table357[PNL], Table357[PNL], "&gt;0", Table357[Type], "Closing Order")</f>
        <v>#DIV/0!</v>
      </c>
    </row>
    <row r="15" spans="1:14" x14ac:dyDescent="0.3">
      <c r="A15"/>
      <c r="B15"/>
      <c r="C15"/>
      <c r="D15"/>
      <c r="E15"/>
      <c r="F15"/>
      <c r="G15"/>
      <c r="H15"/>
      <c r="I15"/>
      <c r="M15" s="14" t="s">
        <v>26</v>
      </c>
      <c r="N15" s="21" t="e">
        <f>AVERAGEIFS(Table357[PNL], Table357[PNL], "&lt;0", Table357[Type], "Closing Order")</f>
        <v>#DIV/0!</v>
      </c>
    </row>
    <row r="16" spans="1:14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ETHUSDT</vt:lpstr>
      <vt:lpstr>XRPUSDT</vt:lpstr>
      <vt:lpstr>MATICUSDT</vt:lpstr>
      <vt:lpstr>BTCUSDT</vt:lpstr>
      <vt:lpstr>SOLUSDT</vt:lpstr>
      <vt:lpstr>BNBUSDT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Novelli</dc:creator>
  <cp:lastModifiedBy>Marcos Novelli</cp:lastModifiedBy>
  <dcterms:created xsi:type="dcterms:W3CDTF">2022-04-11T18:17:27Z</dcterms:created>
  <dcterms:modified xsi:type="dcterms:W3CDTF">2022-08-20T22:29:14Z</dcterms:modified>
</cp:coreProperties>
</file>