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4.xml" ContentType="application/vnd.openxmlformats-officedocument.drawing+xml"/>
  <Override PartName="/xl/tables/table14.xml" ContentType="application/vnd.openxmlformats-officedocument.spreadsheetml.tab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15.xml" ContentType="application/vnd.openxmlformats-officedocument.drawing+xml"/>
  <Override PartName="/xl/tables/table15.xml" ContentType="application/vnd.openxmlformats-officedocument.spreadsheetml.tab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tables/table16.xml" ContentType="application/vnd.openxmlformats-officedocument.spreadsheetml.table+xml"/>
  <Override PartName="/xl/drawings/drawing16.xml" ContentType="application/vnd.openxmlformats-officedocument.drawing+xml"/>
  <Override PartName="/xl/tables/table17.xml" ContentType="application/vnd.openxmlformats-officedocument.spreadsheetml.tab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17.xml" ContentType="application/vnd.openxmlformats-officedocument.drawing+xml"/>
  <Override PartName="/xl/tables/table18.xml" ContentType="application/vnd.openxmlformats-officedocument.spreadsheetml.tab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18.xml" ContentType="application/vnd.openxmlformats-officedocument.drawing+xml"/>
  <Override PartName="/xl/tables/table19.xml" ContentType="application/vnd.openxmlformats-officedocument.spreadsheetml.tab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19.xml" ContentType="application/vnd.openxmlformats-officedocument.drawing+xml"/>
  <Override PartName="/xl/tables/table20.xml" ContentType="application/vnd.openxmlformats-officedocument.spreadsheetml.tab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20.xml" ContentType="application/vnd.openxmlformats-officedocument.drawing+xml"/>
  <Override PartName="/xl/tables/table21.xml" ContentType="application/vnd.openxmlformats-officedocument.spreadsheetml.tab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21.xml" ContentType="application/vnd.openxmlformats-officedocument.drawing+xml"/>
  <Override PartName="/xl/tables/table22.xml" ContentType="application/vnd.openxmlformats-officedocument.spreadsheetml.tab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22.xml" ContentType="application/vnd.openxmlformats-officedocument.drawing+xml"/>
  <Override PartName="/xl/tables/table23.xml" ContentType="application/vnd.openxmlformats-officedocument.spreadsheetml.tab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drawings/drawing23.xml" ContentType="application/vnd.openxmlformats-officedocument.drawing+xml"/>
  <Override PartName="/xl/tables/table24.xml" ContentType="application/vnd.openxmlformats-officedocument.spreadsheetml.tab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drawings/drawing24.xml" ContentType="application/vnd.openxmlformats-officedocument.drawing+xml"/>
  <Override PartName="/xl/tables/table25.xml" ContentType="application/vnd.openxmlformats-officedocument.spreadsheetml.tab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drawings/drawing25.xml" ContentType="application/vnd.openxmlformats-officedocument.drawing+xml"/>
  <Override PartName="/xl/tables/table26.xml" ContentType="application/vnd.openxmlformats-officedocument.spreadsheetml.tab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drawings/drawing26.xml" ContentType="application/vnd.openxmlformats-officedocument.drawing+xml"/>
  <Override PartName="/xl/tables/table27.xml" ContentType="application/vnd.openxmlformats-officedocument.spreadsheetml.tab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drawings/drawing27.xml" ContentType="application/vnd.openxmlformats-officedocument.drawing+xml"/>
  <Override PartName="/xl/tables/table28.xml" ContentType="application/vnd.openxmlformats-officedocument.spreadsheetml.tab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drawings/drawing28.xml" ContentType="application/vnd.openxmlformats-officedocument.drawing+xml"/>
  <Override PartName="/xl/tables/table29.xml" ContentType="application/vnd.openxmlformats-officedocument.spreadsheetml.tab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drawings/drawing29.xml" ContentType="application/vnd.openxmlformats-officedocument.drawing+xml"/>
  <Override PartName="/xl/tables/table30.xml" ContentType="application/vnd.openxmlformats-officedocument.spreadsheetml.tab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drawings/drawing30.xml" ContentType="application/vnd.openxmlformats-officedocument.drawing+xml"/>
  <Override PartName="/xl/tables/table31.xml" ContentType="application/vnd.openxmlformats-officedocument.spreadsheetml.table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drawings/drawing31.xml" ContentType="application/vnd.openxmlformats-officedocument.drawing+xml"/>
  <Override PartName="/xl/tables/table32.xml" ContentType="application/vnd.openxmlformats-officedocument.spreadsheetml.table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drawings/drawing32.xml" ContentType="application/vnd.openxmlformats-officedocument.drawing+xml"/>
  <Override PartName="/xl/tables/table33.xml" ContentType="application/vnd.openxmlformats-officedocument.spreadsheetml.table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62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drawings/drawing33.xml" ContentType="application/vnd.openxmlformats-officedocument.drawing+xml"/>
  <Override PartName="/xl/tables/table34.xml" ContentType="application/vnd.openxmlformats-officedocument.spreadsheetml.table+xml"/>
  <Override PartName="/xl/charts/chart63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64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tables/table35.xml" ContentType="application/vnd.openxmlformats-officedocument.spreadsheetml.table+xml"/>
  <Override PartName="/xl/drawings/drawing34.xml" ContentType="application/vnd.openxmlformats-officedocument.drawing+xml"/>
  <Override PartName="/xl/tables/table36.xml" ContentType="application/vnd.openxmlformats-officedocument.spreadsheetml.table+xml"/>
  <Override PartName="/xl/charts/chart65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66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drawings/drawing35.xml" ContentType="application/vnd.openxmlformats-officedocument.drawing+xml"/>
  <Override PartName="/xl/tables/table37.xml" ContentType="application/vnd.openxmlformats-officedocument.spreadsheetml.table+xml"/>
  <Override PartName="/xl/charts/chart67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charts/chart68.xml" ContentType="application/vnd.openxmlformats-officedocument.drawingml.chart+xml"/>
  <Override PartName="/xl/charts/style68.xml" ContentType="application/vnd.ms-office.chartstyle+xml"/>
  <Override PartName="/xl/charts/colors68.xml" ContentType="application/vnd.ms-office.chartcolorstyle+xml"/>
  <Override PartName="/xl/drawings/drawing36.xml" ContentType="application/vnd.openxmlformats-officedocument.drawing+xml"/>
  <Override PartName="/xl/tables/table38.xml" ContentType="application/vnd.openxmlformats-officedocument.spreadsheetml.table+xml"/>
  <Override PartName="/xl/charts/chart69.xml" ContentType="application/vnd.openxmlformats-officedocument.drawingml.chart+xml"/>
  <Override PartName="/xl/charts/style69.xml" ContentType="application/vnd.ms-office.chartstyle+xml"/>
  <Override PartName="/xl/charts/colors69.xml" ContentType="application/vnd.ms-office.chartcolorstyle+xml"/>
  <Override PartName="/xl/charts/chart70.xml" ContentType="application/vnd.openxmlformats-officedocument.drawingml.chart+xml"/>
  <Override PartName="/xl/charts/style70.xml" ContentType="application/vnd.ms-office.chartstyle+xml"/>
  <Override PartName="/xl/charts/colors70.xml" ContentType="application/vnd.ms-office.chartcolorstyle+xml"/>
  <Override PartName="/xl/drawings/drawing37.xml" ContentType="application/vnd.openxmlformats-officedocument.drawing+xml"/>
  <Override PartName="/xl/tables/table39.xml" ContentType="application/vnd.openxmlformats-officedocument.spreadsheetml.table+xml"/>
  <Override PartName="/xl/charts/chart71.xml" ContentType="application/vnd.openxmlformats-officedocument.drawingml.chart+xml"/>
  <Override PartName="/xl/charts/style71.xml" ContentType="application/vnd.ms-office.chartstyle+xml"/>
  <Override PartName="/xl/charts/colors71.xml" ContentType="application/vnd.ms-office.chartcolorstyle+xml"/>
  <Override PartName="/xl/charts/chart72.xml" ContentType="application/vnd.openxmlformats-officedocument.drawingml.chart+xml"/>
  <Override PartName="/xl/charts/style72.xml" ContentType="application/vnd.ms-office.chartstyle+xml"/>
  <Override PartName="/xl/charts/colors72.xml" ContentType="application/vnd.ms-office.chartcolorstyle+xml"/>
  <Override PartName="/xl/drawings/drawing38.xml" ContentType="application/vnd.openxmlformats-officedocument.drawing+xml"/>
  <Override PartName="/xl/tables/table40.xml" ContentType="application/vnd.openxmlformats-officedocument.spreadsheetml.table+xml"/>
  <Override PartName="/xl/charts/chart73.xml" ContentType="application/vnd.openxmlformats-officedocument.drawingml.chart+xml"/>
  <Override PartName="/xl/charts/style73.xml" ContentType="application/vnd.ms-office.chartstyle+xml"/>
  <Override PartName="/xl/charts/colors73.xml" ContentType="application/vnd.ms-office.chartcolorstyle+xml"/>
  <Override PartName="/xl/charts/chart74.xml" ContentType="application/vnd.openxmlformats-officedocument.drawingml.chart+xml"/>
  <Override PartName="/xl/charts/style74.xml" ContentType="application/vnd.ms-office.chartstyle+xml"/>
  <Override PartName="/xl/charts/colors74.xml" ContentType="application/vnd.ms-office.chartcolorstyle+xml"/>
  <Override PartName="/xl/drawings/drawing39.xml" ContentType="application/vnd.openxmlformats-officedocument.drawing+xml"/>
  <Override PartName="/xl/tables/table41.xml" ContentType="application/vnd.openxmlformats-officedocument.spreadsheetml.table+xml"/>
  <Override PartName="/xl/charts/chart75.xml" ContentType="application/vnd.openxmlformats-officedocument.drawingml.chart+xml"/>
  <Override PartName="/xl/charts/style75.xml" ContentType="application/vnd.ms-office.chartstyle+xml"/>
  <Override PartName="/xl/charts/colors75.xml" ContentType="application/vnd.ms-office.chartcolorstyle+xml"/>
  <Override PartName="/xl/charts/chart76.xml" ContentType="application/vnd.openxmlformats-officedocument.drawingml.chart+xml"/>
  <Override PartName="/xl/charts/style76.xml" ContentType="application/vnd.ms-office.chartstyle+xml"/>
  <Override PartName="/xl/charts/colors76.xml" ContentType="application/vnd.ms-office.chartcolorstyle+xml"/>
  <Override PartName="/xl/tables/table42.xml" ContentType="application/vnd.openxmlformats-officedocument.spreadsheetml.table+xml"/>
  <Override PartName="/xl/drawings/drawing40.xml" ContentType="application/vnd.openxmlformats-officedocument.drawing+xml"/>
  <Override PartName="/xl/tables/table43.xml" ContentType="application/vnd.openxmlformats-officedocument.spreadsheetml.table+xml"/>
  <Override PartName="/xl/charts/chart77.xml" ContentType="application/vnd.openxmlformats-officedocument.drawingml.chart+xml"/>
  <Override PartName="/xl/charts/style77.xml" ContentType="application/vnd.ms-office.chartstyle+xml"/>
  <Override PartName="/xl/charts/colors77.xml" ContentType="application/vnd.ms-office.chartcolorstyle+xml"/>
  <Override PartName="/xl/charts/chart78.xml" ContentType="application/vnd.openxmlformats-officedocument.drawingml.chart+xml"/>
  <Override PartName="/xl/charts/style78.xml" ContentType="application/vnd.ms-office.chartstyle+xml"/>
  <Override PartName="/xl/charts/colors78.xml" ContentType="application/vnd.ms-office.chartcolorstyle+xml"/>
  <Override PartName="/xl/drawings/drawing41.xml" ContentType="application/vnd.openxmlformats-officedocument.drawing+xml"/>
  <Override PartName="/xl/tables/table44.xml" ContentType="application/vnd.openxmlformats-officedocument.spreadsheetml.table+xml"/>
  <Override PartName="/xl/charts/chart79.xml" ContentType="application/vnd.openxmlformats-officedocument.drawingml.chart+xml"/>
  <Override PartName="/xl/charts/style79.xml" ContentType="application/vnd.ms-office.chartstyle+xml"/>
  <Override PartName="/xl/charts/colors79.xml" ContentType="application/vnd.ms-office.chartcolorstyle+xml"/>
  <Override PartName="/xl/charts/chart80.xml" ContentType="application/vnd.openxmlformats-officedocument.drawingml.chart+xml"/>
  <Override PartName="/xl/charts/style80.xml" ContentType="application/vnd.ms-office.chartstyle+xml"/>
  <Override PartName="/xl/charts/colors80.xml" ContentType="application/vnd.ms-office.chartcolorstyle+xml"/>
  <Override PartName="/xl/drawings/drawing42.xml" ContentType="application/vnd.openxmlformats-officedocument.drawing+xml"/>
  <Override PartName="/xl/tables/table45.xml" ContentType="application/vnd.openxmlformats-officedocument.spreadsheetml.table+xml"/>
  <Override PartName="/xl/charts/chart81.xml" ContentType="application/vnd.openxmlformats-officedocument.drawingml.chart+xml"/>
  <Override PartName="/xl/charts/style81.xml" ContentType="application/vnd.ms-office.chartstyle+xml"/>
  <Override PartName="/xl/charts/colors81.xml" ContentType="application/vnd.ms-office.chartcolorstyle+xml"/>
  <Override PartName="/xl/charts/chart82.xml" ContentType="application/vnd.openxmlformats-officedocument.drawingml.chart+xml"/>
  <Override PartName="/xl/charts/style82.xml" ContentType="application/vnd.ms-office.chartstyle+xml"/>
  <Override PartName="/xl/charts/colors82.xml" ContentType="application/vnd.ms-office.chartcolorstyle+xml"/>
  <Override PartName="/xl/drawings/drawing43.xml" ContentType="application/vnd.openxmlformats-officedocument.drawing+xml"/>
  <Override PartName="/xl/tables/table46.xml" ContentType="application/vnd.openxmlformats-officedocument.spreadsheetml.table+xml"/>
  <Override PartName="/xl/charts/chart83.xml" ContentType="application/vnd.openxmlformats-officedocument.drawingml.chart+xml"/>
  <Override PartName="/xl/charts/style83.xml" ContentType="application/vnd.ms-office.chartstyle+xml"/>
  <Override PartName="/xl/charts/colors83.xml" ContentType="application/vnd.ms-office.chartcolorstyle+xml"/>
  <Override PartName="/xl/charts/chart84.xml" ContentType="application/vnd.openxmlformats-officedocument.drawingml.chart+xml"/>
  <Override PartName="/xl/charts/style84.xml" ContentType="application/vnd.ms-office.chartstyle+xml"/>
  <Override PartName="/xl/charts/colors84.xml" ContentType="application/vnd.ms-office.chartcolorstyle+xml"/>
  <Override PartName="/xl/tables/table47.xml" ContentType="application/vnd.openxmlformats-officedocument.spreadsheetml.table+xml"/>
  <Override PartName="/xl/drawings/drawing44.xml" ContentType="application/vnd.openxmlformats-officedocument.drawing+xml"/>
  <Override PartName="/xl/tables/table48.xml" ContentType="application/vnd.openxmlformats-officedocument.spreadsheetml.table+xml"/>
  <Override PartName="/xl/charts/chart85.xml" ContentType="application/vnd.openxmlformats-officedocument.drawingml.chart+xml"/>
  <Override PartName="/xl/charts/style85.xml" ContentType="application/vnd.ms-office.chartstyle+xml"/>
  <Override PartName="/xl/charts/colors85.xml" ContentType="application/vnd.ms-office.chartcolorstyle+xml"/>
  <Override PartName="/xl/charts/chart86.xml" ContentType="application/vnd.openxmlformats-officedocument.drawingml.chart+xml"/>
  <Override PartName="/xl/charts/style86.xml" ContentType="application/vnd.ms-office.chartstyle+xml"/>
  <Override PartName="/xl/charts/colors86.xml" ContentType="application/vnd.ms-office.chartcolorstyle+xml"/>
  <Override PartName="/xl/drawings/drawing45.xml" ContentType="application/vnd.openxmlformats-officedocument.drawing+xml"/>
  <Override PartName="/xl/tables/table49.xml" ContentType="application/vnd.openxmlformats-officedocument.spreadsheetml.table+xml"/>
  <Override PartName="/xl/charts/chart87.xml" ContentType="application/vnd.openxmlformats-officedocument.drawingml.chart+xml"/>
  <Override PartName="/xl/charts/style87.xml" ContentType="application/vnd.ms-office.chartstyle+xml"/>
  <Override PartName="/xl/charts/colors87.xml" ContentType="application/vnd.ms-office.chartcolorstyle+xml"/>
  <Override PartName="/xl/charts/chart88.xml" ContentType="application/vnd.openxmlformats-officedocument.drawingml.chart+xml"/>
  <Override PartName="/xl/charts/style88.xml" ContentType="application/vnd.ms-office.chartstyle+xml"/>
  <Override PartName="/xl/charts/colors88.xml" ContentType="application/vnd.ms-office.chartcolorstyle+xml"/>
  <Override PartName="/xl/tables/table50.xml" ContentType="application/vnd.openxmlformats-officedocument.spreadsheetml.table+xml"/>
  <Override PartName="/xl/drawings/drawing46.xml" ContentType="application/vnd.openxmlformats-officedocument.drawing+xml"/>
  <Override PartName="/xl/tables/table51.xml" ContentType="application/vnd.openxmlformats-officedocument.spreadsheetml.table+xml"/>
  <Override PartName="/xl/charts/chart89.xml" ContentType="application/vnd.openxmlformats-officedocument.drawingml.chart+xml"/>
  <Override PartName="/xl/charts/style89.xml" ContentType="application/vnd.ms-office.chartstyle+xml"/>
  <Override PartName="/xl/charts/colors89.xml" ContentType="application/vnd.ms-office.chartcolorstyle+xml"/>
  <Override PartName="/xl/charts/chart90.xml" ContentType="application/vnd.openxmlformats-officedocument.drawingml.chart+xml"/>
  <Override PartName="/xl/charts/style90.xml" ContentType="application/vnd.ms-office.chartstyle+xml"/>
  <Override PartName="/xl/charts/colors90.xml" ContentType="application/vnd.ms-office.chartcolorstyle+xml"/>
  <Override PartName="/xl/drawings/drawing47.xml" ContentType="application/vnd.openxmlformats-officedocument.drawing+xml"/>
  <Override PartName="/xl/tables/table52.xml" ContentType="application/vnd.openxmlformats-officedocument.spreadsheetml.table+xml"/>
  <Override PartName="/xl/charts/chart91.xml" ContentType="application/vnd.openxmlformats-officedocument.drawingml.chart+xml"/>
  <Override PartName="/xl/charts/style91.xml" ContentType="application/vnd.ms-office.chartstyle+xml"/>
  <Override PartName="/xl/charts/colors91.xml" ContentType="application/vnd.ms-office.chartcolorstyle+xml"/>
  <Override PartName="/xl/charts/chart92.xml" ContentType="application/vnd.openxmlformats-officedocument.drawingml.chart+xml"/>
  <Override PartName="/xl/charts/style92.xml" ContentType="application/vnd.ms-office.chartstyle+xml"/>
  <Override PartName="/xl/charts/colors92.xml" ContentType="application/vnd.ms-office.chartcolorstyle+xml"/>
  <Override PartName="/xl/drawings/drawing48.xml" ContentType="application/vnd.openxmlformats-officedocument.drawing+xml"/>
  <Override PartName="/xl/tables/table53.xml" ContentType="application/vnd.openxmlformats-officedocument.spreadsheetml.table+xml"/>
  <Override PartName="/xl/charts/chart93.xml" ContentType="application/vnd.openxmlformats-officedocument.drawingml.chart+xml"/>
  <Override PartName="/xl/charts/style93.xml" ContentType="application/vnd.ms-office.chartstyle+xml"/>
  <Override PartName="/xl/charts/colors93.xml" ContentType="application/vnd.ms-office.chartcolorstyle+xml"/>
  <Override PartName="/xl/charts/chart94.xml" ContentType="application/vnd.openxmlformats-officedocument.drawingml.chart+xml"/>
  <Override PartName="/xl/charts/style94.xml" ContentType="application/vnd.ms-office.chartstyle+xml"/>
  <Override PartName="/xl/charts/colors94.xml" ContentType="application/vnd.ms-office.chartcolorstyle+xml"/>
  <Override PartName="/xl/drawings/drawing49.xml" ContentType="application/vnd.openxmlformats-officedocument.drawing+xml"/>
  <Override PartName="/xl/tables/table54.xml" ContentType="application/vnd.openxmlformats-officedocument.spreadsheetml.table+xml"/>
  <Override PartName="/xl/charts/chart95.xml" ContentType="application/vnd.openxmlformats-officedocument.drawingml.chart+xml"/>
  <Override PartName="/xl/charts/style95.xml" ContentType="application/vnd.ms-office.chartstyle+xml"/>
  <Override PartName="/xl/charts/colors95.xml" ContentType="application/vnd.ms-office.chartcolorstyle+xml"/>
  <Override PartName="/xl/charts/chart96.xml" ContentType="application/vnd.openxmlformats-officedocument.drawingml.chart+xml"/>
  <Override PartName="/xl/charts/style96.xml" ContentType="application/vnd.ms-office.chartstyle+xml"/>
  <Override PartName="/xl/charts/colors96.xml" ContentType="application/vnd.ms-office.chartcolorstyle+xml"/>
  <Override PartName="/xl/drawings/drawing50.xml" ContentType="application/vnd.openxmlformats-officedocument.drawing+xml"/>
  <Override PartName="/xl/tables/table55.xml" ContentType="application/vnd.openxmlformats-officedocument.spreadsheetml.table+xml"/>
  <Override PartName="/xl/charts/chart97.xml" ContentType="application/vnd.openxmlformats-officedocument.drawingml.chart+xml"/>
  <Override PartName="/xl/charts/style97.xml" ContentType="application/vnd.ms-office.chartstyle+xml"/>
  <Override PartName="/xl/charts/colors97.xml" ContentType="application/vnd.ms-office.chartcolorstyle+xml"/>
  <Override PartName="/xl/charts/chart98.xml" ContentType="application/vnd.openxmlformats-officedocument.drawingml.chart+xml"/>
  <Override PartName="/xl/charts/style98.xml" ContentType="application/vnd.ms-office.chartstyle+xml"/>
  <Override PartName="/xl/charts/colors98.xml" ContentType="application/vnd.ms-office.chartcolorstyle+xml"/>
  <Override PartName="/xl/drawings/drawing51.xml" ContentType="application/vnd.openxmlformats-officedocument.drawing+xml"/>
  <Override PartName="/xl/tables/table56.xml" ContentType="application/vnd.openxmlformats-officedocument.spreadsheetml.table+xml"/>
  <Override PartName="/xl/charts/chart99.xml" ContentType="application/vnd.openxmlformats-officedocument.drawingml.chart+xml"/>
  <Override PartName="/xl/charts/style99.xml" ContentType="application/vnd.ms-office.chartstyle+xml"/>
  <Override PartName="/xl/charts/colors99.xml" ContentType="application/vnd.ms-office.chartcolorstyle+xml"/>
  <Override PartName="/xl/charts/chart100.xml" ContentType="application/vnd.openxmlformats-officedocument.drawingml.chart+xml"/>
  <Override PartName="/xl/charts/style100.xml" ContentType="application/vnd.ms-office.chartstyle+xml"/>
  <Override PartName="/xl/charts/colors100.xml" ContentType="application/vnd.ms-office.chartcolorstyle+xml"/>
  <Override PartName="/xl/drawings/drawing52.xml" ContentType="application/vnd.openxmlformats-officedocument.drawing+xml"/>
  <Override PartName="/xl/tables/table57.xml" ContentType="application/vnd.openxmlformats-officedocument.spreadsheetml.table+xml"/>
  <Override PartName="/xl/charts/chart101.xml" ContentType="application/vnd.openxmlformats-officedocument.drawingml.chart+xml"/>
  <Override PartName="/xl/charts/style101.xml" ContentType="application/vnd.ms-office.chartstyle+xml"/>
  <Override PartName="/xl/charts/colors101.xml" ContentType="application/vnd.ms-office.chartcolorstyle+xml"/>
  <Override PartName="/xl/charts/chart102.xml" ContentType="application/vnd.openxmlformats-officedocument.drawingml.chart+xml"/>
  <Override PartName="/xl/charts/style102.xml" ContentType="application/vnd.ms-office.chartstyle+xml"/>
  <Override PartName="/xl/charts/colors102.xml" ContentType="application/vnd.ms-office.chartcolorstyle+xml"/>
  <Override PartName="/xl/tables/table58.xml" ContentType="application/vnd.openxmlformats-officedocument.spreadsheetml.table+xml"/>
  <Override PartName="/xl/drawings/drawing53.xml" ContentType="application/vnd.openxmlformats-officedocument.drawing+xml"/>
  <Override PartName="/xl/tables/table59.xml" ContentType="application/vnd.openxmlformats-officedocument.spreadsheetml.table+xml"/>
  <Override PartName="/xl/charts/chart103.xml" ContentType="application/vnd.openxmlformats-officedocument.drawingml.chart+xml"/>
  <Override PartName="/xl/charts/style103.xml" ContentType="application/vnd.ms-office.chartstyle+xml"/>
  <Override PartName="/xl/charts/colors103.xml" ContentType="application/vnd.ms-office.chartcolorstyle+xml"/>
  <Override PartName="/xl/charts/chart104.xml" ContentType="application/vnd.openxmlformats-officedocument.drawingml.chart+xml"/>
  <Override PartName="/xl/charts/style104.xml" ContentType="application/vnd.ms-office.chartstyle+xml"/>
  <Override PartName="/xl/charts/colors104.xml" ContentType="application/vnd.ms-office.chartcolorstyle+xml"/>
  <Override PartName="/xl/drawings/drawing54.xml" ContentType="application/vnd.openxmlformats-officedocument.drawing+xml"/>
  <Override PartName="/xl/tables/table60.xml" ContentType="application/vnd.openxmlformats-officedocument.spreadsheetml.table+xml"/>
  <Override PartName="/xl/charts/chart105.xml" ContentType="application/vnd.openxmlformats-officedocument.drawingml.chart+xml"/>
  <Override PartName="/xl/charts/style105.xml" ContentType="application/vnd.ms-office.chartstyle+xml"/>
  <Override PartName="/xl/charts/colors105.xml" ContentType="application/vnd.ms-office.chartcolorstyle+xml"/>
  <Override PartName="/xl/charts/chart106.xml" ContentType="application/vnd.openxmlformats-officedocument.drawingml.chart+xml"/>
  <Override PartName="/xl/charts/style106.xml" ContentType="application/vnd.ms-office.chartstyle+xml"/>
  <Override PartName="/xl/charts/colors106.xml" ContentType="application/vnd.ms-office.chartcolorstyle+xml"/>
  <Override PartName="/xl/drawings/drawing55.xml" ContentType="application/vnd.openxmlformats-officedocument.drawing+xml"/>
  <Override PartName="/xl/tables/table61.xml" ContentType="application/vnd.openxmlformats-officedocument.spreadsheetml.table+xml"/>
  <Override PartName="/xl/charts/chart107.xml" ContentType="application/vnd.openxmlformats-officedocument.drawingml.chart+xml"/>
  <Override PartName="/xl/charts/style107.xml" ContentType="application/vnd.ms-office.chartstyle+xml"/>
  <Override PartName="/xl/charts/colors107.xml" ContentType="application/vnd.ms-office.chartcolorstyle+xml"/>
  <Override PartName="/xl/charts/chart108.xml" ContentType="application/vnd.openxmlformats-officedocument.drawingml.chart+xml"/>
  <Override PartName="/xl/charts/style108.xml" ContentType="application/vnd.ms-office.chartstyle+xml"/>
  <Override PartName="/xl/charts/colors108.xml" ContentType="application/vnd.ms-office.chartcolorstyle+xml"/>
  <Override PartName="/xl/drawings/drawing56.xml" ContentType="application/vnd.openxmlformats-officedocument.drawing+xml"/>
  <Override PartName="/xl/tables/table62.xml" ContentType="application/vnd.openxmlformats-officedocument.spreadsheetml.table+xml"/>
  <Override PartName="/xl/charts/chart109.xml" ContentType="application/vnd.openxmlformats-officedocument.drawingml.chart+xml"/>
  <Override PartName="/xl/charts/style109.xml" ContentType="application/vnd.ms-office.chartstyle+xml"/>
  <Override PartName="/xl/charts/colors109.xml" ContentType="application/vnd.ms-office.chartcolorstyle+xml"/>
  <Override PartName="/xl/charts/chart110.xml" ContentType="application/vnd.openxmlformats-officedocument.drawingml.chart+xml"/>
  <Override PartName="/xl/charts/style110.xml" ContentType="application/vnd.ms-office.chartstyle+xml"/>
  <Override PartName="/xl/charts/colors110.xml" ContentType="application/vnd.ms-office.chartcolorsty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oavp/Documents/Foni_Credito/"/>
    </mc:Choice>
  </mc:AlternateContent>
  <xr:revisionPtr revIDLastSave="0" documentId="13_ncr:1_{F7216058-8223-0644-8AC7-ABB4EB1B38D7}" xr6:coauthVersionLast="47" xr6:coauthVersionMax="47" xr10:uidLastSave="{00000000-0000-0000-0000-000000000000}"/>
  <bookViews>
    <workbookView xWindow="1440" yWindow="500" windowWidth="25680" windowHeight="16080" firstSheet="62" activeTab="73" xr2:uid="{75304D87-570E-D347-9C76-F1219AD4D7B1}"/>
  </bookViews>
  <sheets>
    <sheet name="Control" sheetId="13" r:id="rId1"/>
    <sheet name="P1" sheetId="1" r:id="rId2"/>
    <sheet name="P2" sheetId="2" r:id="rId3"/>
    <sheet name="P3" sheetId="3" r:id="rId4"/>
    <sheet name="P4" sheetId="4" r:id="rId5"/>
    <sheet name="P5" sheetId="5" r:id="rId6"/>
    <sheet name="P6" sheetId="6" r:id="rId7"/>
    <sheet name="P7" sheetId="7" r:id="rId8"/>
    <sheet name="P8" sheetId="8" r:id="rId9"/>
    <sheet name="P9" sheetId="9" r:id="rId10"/>
    <sheet name="P10" sheetId="10" r:id="rId11"/>
    <sheet name="P11" sheetId="11" r:id="rId12"/>
    <sheet name="P12" sheetId="12" r:id="rId13"/>
    <sheet name="P13" sheetId="14" r:id="rId14"/>
    <sheet name="P14" sheetId="15" r:id="rId15"/>
    <sheet name="P15" sheetId="16" r:id="rId16"/>
    <sheet name="P16" sheetId="17" r:id="rId17"/>
    <sheet name="P17" sheetId="18" r:id="rId18"/>
    <sheet name="P18" sheetId="19" r:id="rId19"/>
    <sheet name="P19" sheetId="20" r:id="rId20"/>
    <sheet name="P20" sheetId="21" r:id="rId21"/>
    <sheet name="P21" sheetId="22" r:id="rId22"/>
    <sheet name="P22" sheetId="23" r:id="rId23"/>
    <sheet name="P23" sheetId="24" r:id="rId24"/>
    <sheet name="P24" sheetId="25" r:id="rId25"/>
    <sheet name="P25" sheetId="26" r:id="rId26"/>
    <sheet name="P26" sheetId="27" r:id="rId27"/>
    <sheet name="P27" sheetId="28" r:id="rId28"/>
    <sheet name="P28" sheetId="29" r:id="rId29"/>
    <sheet name="P29" sheetId="30" r:id="rId30"/>
    <sheet name="P30" sheetId="31" r:id="rId31"/>
    <sheet name="P31" sheetId="32" r:id="rId32"/>
    <sheet name="P32" sheetId="33" r:id="rId33"/>
    <sheet name="P33" sheetId="34" r:id="rId34"/>
    <sheet name="P34" sheetId="35" r:id="rId35"/>
    <sheet name="P35" sheetId="36" r:id="rId36"/>
    <sheet name="P36" sheetId="37" r:id="rId37"/>
    <sheet name="P37" sheetId="38" r:id="rId38"/>
    <sheet name="P38" sheetId="39" r:id="rId39"/>
    <sheet name="P39" sheetId="40" r:id="rId40"/>
    <sheet name="P40" sheetId="41" r:id="rId41"/>
    <sheet name="P41" sheetId="42" r:id="rId42"/>
    <sheet name="P42" sheetId="43" r:id="rId43"/>
    <sheet name="P43" sheetId="44" r:id="rId44"/>
    <sheet name="P44" sheetId="45" r:id="rId45"/>
    <sheet name="P45" sheetId="46" r:id="rId46"/>
    <sheet name="P46" sheetId="47" r:id="rId47"/>
    <sheet name="P47" sheetId="48" r:id="rId48"/>
    <sheet name="P48" sheetId="49" r:id="rId49"/>
    <sheet name="P49" sheetId="50" r:id="rId50"/>
    <sheet name="P50" sheetId="51" r:id="rId51"/>
    <sheet name="P51" sheetId="52" r:id="rId52"/>
    <sheet name="P52" sheetId="53" r:id="rId53"/>
    <sheet name="P53" sheetId="54" r:id="rId54"/>
    <sheet name="P54" sheetId="55" r:id="rId55"/>
    <sheet name="P55" sheetId="56" r:id="rId56"/>
    <sheet name="P56" sheetId="57" r:id="rId57"/>
    <sheet name="P57" sheetId="58" r:id="rId58"/>
    <sheet name="P58" sheetId="59" r:id="rId59"/>
    <sheet name="P59" sheetId="60" r:id="rId60"/>
    <sheet name="P60" sheetId="61" r:id="rId61"/>
    <sheet name="P61" sheetId="62" r:id="rId62"/>
    <sheet name="P62" sheetId="63" r:id="rId63"/>
    <sheet name="P63" sheetId="64" r:id="rId64"/>
    <sheet name="P64" sheetId="65" r:id="rId65"/>
    <sheet name="P65" sheetId="66" r:id="rId66"/>
    <sheet name="P66" sheetId="67" r:id="rId67"/>
    <sheet name="P67" sheetId="68" r:id="rId68"/>
    <sheet name="P68" sheetId="69" r:id="rId69"/>
    <sheet name="P69" sheetId="70" r:id="rId70"/>
    <sheet name="P70" sheetId="71" r:id="rId71"/>
    <sheet name="P71" sheetId="72" r:id="rId72"/>
    <sheet name="P72" sheetId="73" r:id="rId73"/>
    <sheet name="P73" sheetId="74" r:id="rId74"/>
    <sheet name="P74" sheetId="75" r:id="rId7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74" l="1"/>
  <c r="E5" i="74"/>
  <c r="F5" i="74"/>
  <c r="G5" i="74"/>
  <c r="F5" i="73"/>
  <c r="F4" i="73"/>
  <c r="E5" i="73"/>
  <c r="G5" i="73"/>
  <c r="F5" i="72"/>
  <c r="F4" i="72"/>
  <c r="E5" i="72"/>
  <c r="G5" i="72"/>
  <c r="F5" i="71"/>
  <c r="F6" i="71"/>
  <c r="F7" i="71"/>
  <c r="F4" i="71"/>
  <c r="E7" i="71"/>
  <c r="G7" i="71"/>
  <c r="F5" i="68"/>
  <c r="F6" i="68"/>
  <c r="E6" i="68"/>
  <c r="G6" i="68"/>
  <c r="F5" i="67"/>
  <c r="F6" i="67"/>
  <c r="F7" i="67"/>
  <c r="F8" i="67"/>
  <c r="F9" i="67"/>
  <c r="E9" i="67"/>
  <c r="G9" i="67"/>
  <c r="F5" i="66"/>
  <c r="F6" i="66"/>
  <c r="F7" i="66"/>
  <c r="F4" i="66"/>
  <c r="E7" i="66"/>
  <c r="G7" i="66"/>
  <c r="F5" i="65"/>
  <c r="F6" i="65"/>
  <c r="F7" i="65"/>
  <c r="F8" i="65"/>
  <c r="E8" i="65"/>
  <c r="G8" i="65"/>
  <c r="F6" i="63"/>
  <c r="F7" i="63"/>
  <c r="F8" i="63"/>
  <c r="F9" i="63"/>
  <c r="G9" i="63"/>
  <c r="F5" i="62"/>
  <c r="F6" i="62"/>
  <c r="F7" i="62"/>
  <c r="F8" i="62"/>
  <c r="F9" i="62"/>
  <c r="E9" i="62"/>
  <c r="G9" i="62"/>
  <c r="F5" i="61"/>
  <c r="F6" i="61"/>
  <c r="F7" i="61"/>
  <c r="F8" i="61"/>
  <c r="F9" i="61"/>
  <c r="E9" i="61"/>
  <c r="G9" i="61"/>
  <c r="F5" i="60"/>
  <c r="F6" i="60"/>
  <c r="F7" i="60"/>
  <c r="F8" i="60"/>
  <c r="F9" i="60"/>
  <c r="E9" i="60"/>
  <c r="G9" i="60"/>
  <c r="F5" i="58"/>
  <c r="F6" i="58"/>
  <c r="F7" i="58"/>
  <c r="F8" i="58"/>
  <c r="F9" i="58"/>
  <c r="E9" i="58"/>
  <c r="G9" i="58"/>
  <c r="F5" i="57"/>
  <c r="F6" i="57"/>
  <c r="F7" i="57"/>
  <c r="F8" i="57"/>
  <c r="F9" i="57"/>
  <c r="E9" i="57"/>
  <c r="G9" i="57"/>
  <c r="F5" i="56"/>
  <c r="F6" i="56"/>
  <c r="F7" i="56"/>
  <c r="F8" i="56"/>
  <c r="F9" i="56"/>
  <c r="F10" i="56"/>
  <c r="E10" i="56"/>
  <c r="G10" i="56"/>
  <c r="F5" i="55"/>
  <c r="F6" i="55"/>
  <c r="F7" i="55"/>
  <c r="F8" i="55"/>
  <c r="F9" i="55"/>
  <c r="F10" i="55"/>
  <c r="E10" i="55"/>
  <c r="G10" i="55"/>
  <c r="F5" i="54"/>
  <c r="F6" i="54"/>
  <c r="F7" i="54"/>
  <c r="F8" i="54"/>
  <c r="F9" i="54"/>
  <c r="F10" i="54"/>
  <c r="E10" i="54"/>
  <c r="G10" i="54"/>
  <c r="F5" i="53"/>
  <c r="F6" i="53"/>
  <c r="F7" i="53"/>
  <c r="F8" i="53"/>
  <c r="F9" i="53"/>
  <c r="E9" i="53"/>
  <c r="G9" i="53"/>
  <c r="F5" i="52"/>
  <c r="F6" i="52"/>
  <c r="F7" i="52"/>
  <c r="F8" i="52"/>
  <c r="F9" i="52"/>
  <c r="F10" i="52"/>
  <c r="F11" i="52"/>
  <c r="E11" i="52"/>
  <c r="G11" i="52"/>
  <c r="F5" i="50"/>
  <c r="F6" i="50"/>
  <c r="F7" i="50"/>
  <c r="F8" i="50"/>
  <c r="F9" i="50"/>
  <c r="F10" i="50"/>
  <c r="F11" i="50"/>
  <c r="E11" i="50"/>
  <c r="G11" i="50"/>
  <c r="F5" i="49"/>
  <c r="F6" i="49"/>
  <c r="F7" i="49"/>
  <c r="F8" i="49"/>
  <c r="F9" i="49"/>
  <c r="F10" i="49"/>
  <c r="F11" i="49"/>
  <c r="E11" i="49"/>
  <c r="G11" i="49"/>
  <c r="F5" i="47"/>
  <c r="F6" i="47"/>
  <c r="F7" i="47"/>
  <c r="F8" i="47"/>
  <c r="F9" i="47"/>
  <c r="F10" i="47"/>
  <c r="F11" i="47"/>
  <c r="F12" i="47"/>
  <c r="E12" i="47"/>
  <c r="G12" i="47"/>
  <c r="F5" i="46"/>
  <c r="F6" i="46"/>
  <c r="F7" i="46"/>
  <c r="F8" i="46"/>
  <c r="F9" i="46"/>
  <c r="F10" i="46"/>
  <c r="E10" i="46"/>
  <c r="G10" i="46"/>
  <c r="F5" i="45"/>
  <c r="F6" i="45"/>
  <c r="F7" i="45"/>
  <c r="F8" i="45"/>
  <c r="F9" i="45"/>
  <c r="F10" i="45"/>
  <c r="F11" i="45"/>
  <c r="F12" i="45"/>
  <c r="F13" i="45"/>
  <c r="F14" i="45"/>
  <c r="F15" i="45"/>
  <c r="F16" i="45"/>
  <c r="E16" i="45"/>
  <c r="G16" i="45"/>
  <c r="F5" i="44"/>
  <c r="F6" i="44"/>
  <c r="F7" i="44"/>
  <c r="F8" i="44"/>
  <c r="F9" i="44"/>
  <c r="F10" i="44"/>
  <c r="F11" i="44"/>
  <c r="F12" i="44"/>
  <c r="F13" i="44"/>
  <c r="F14" i="44"/>
  <c r="F15" i="44"/>
  <c r="F16" i="44"/>
  <c r="E16" i="44"/>
  <c r="G16" i="44"/>
  <c r="F5" i="42"/>
  <c r="F6" i="42"/>
  <c r="F7" i="42"/>
  <c r="F8" i="42"/>
  <c r="F9" i="42"/>
  <c r="F10" i="42"/>
  <c r="F11" i="42"/>
  <c r="F12" i="42"/>
  <c r="F13" i="42"/>
  <c r="F14" i="42"/>
  <c r="F15" i="42"/>
  <c r="F16" i="42"/>
  <c r="F17" i="42"/>
  <c r="F18" i="42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E18" i="42"/>
  <c r="G18" i="42"/>
  <c r="E18" i="41"/>
  <c r="G18" i="41"/>
  <c r="F5" i="40"/>
  <c r="F6" i="40"/>
  <c r="F7" i="40"/>
  <c r="F8" i="40"/>
  <c r="F9" i="40"/>
  <c r="F10" i="40"/>
  <c r="F11" i="40"/>
  <c r="F12" i="40"/>
  <c r="F13" i="40"/>
  <c r="F14" i="40"/>
  <c r="F15" i="40"/>
  <c r="F16" i="40"/>
  <c r="F17" i="40"/>
  <c r="E17" i="40"/>
  <c r="G17" i="40"/>
  <c r="F5" i="39"/>
  <c r="F6" i="39"/>
  <c r="F7" i="39"/>
  <c r="F8" i="39"/>
  <c r="F9" i="39"/>
  <c r="F10" i="39"/>
  <c r="F11" i="39"/>
  <c r="F12" i="39"/>
  <c r="F13" i="39"/>
  <c r="F14" i="39"/>
  <c r="F15" i="39"/>
  <c r="F16" i="39"/>
  <c r="F17" i="39"/>
  <c r="F18" i="39"/>
  <c r="E18" i="39"/>
  <c r="G18" i="39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F20" i="38"/>
  <c r="F21" i="38"/>
  <c r="F22" i="38"/>
  <c r="E22" i="38"/>
  <c r="G22" i="38"/>
  <c r="F5" i="37"/>
  <c r="F6" i="37"/>
  <c r="F7" i="37"/>
  <c r="F8" i="37"/>
  <c r="F9" i="37"/>
  <c r="F10" i="37"/>
  <c r="F11" i="37"/>
  <c r="F12" i="37"/>
  <c r="F13" i="37"/>
  <c r="F14" i="37"/>
  <c r="F15" i="37"/>
  <c r="F16" i="37"/>
  <c r="F17" i="37"/>
  <c r="F18" i="37"/>
  <c r="F19" i="37"/>
  <c r="F20" i="37"/>
  <c r="F21" i="37"/>
  <c r="E21" i="37"/>
  <c r="G21" i="37"/>
  <c r="F5" i="35"/>
  <c r="F6" i="35"/>
  <c r="F7" i="35"/>
  <c r="F8" i="35"/>
  <c r="F9" i="35"/>
  <c r="F10" i="35"/>
  <c r="F11" i="35"/>
  <c r="F12" i="35"/>
  <c r="F13" i="35"/>
  <c r="F14" i="35"/>
  <c r="F15" i="35"/>
  <c r="F16" i="35"/>
  <c r="F17" i="35"/>
  <c r="F18" i="35"/>
  <c r="F19" i="35"/>
  <c r="F20" i="35"/>
  <c r="F21" i="35"/>
  <c r="E21" i="35"/>
  <c r="G21" i="35"/>
  <c r="F5" i="34"/>
  <c r="F6" i="34"/>
  <c r="F7" i="34"/>
  <c r="F8" i="34"/>
  <c r="F9" i="34"/>
  <c r="F10" i="34"/>
  <c r="F11" i="34"/>
  <c r="F12" i="34"/>
  <c r="F13" i="34"/>
  <c r="F14" i="34"/>
  <c r="F15" i="34"/>
  <c r="F16" i="34"/>
  <c r="F17" i="34"/>
  <c r="F18" i="34"/>
  <c r="F19" i="34"/>
  <c r="F20" i="34"/>
  <c r="F21" i="34"/>
  <c r="E21" i="34"/>
  <c r="G21" i="34"/>
  <c r="F5" i="33"/>
  <c r="F6" i="33"/>
  <c r="F7" i="33"/>
  <c r="F8" i="33"/>
  <c r="F9" i="33"/>
  <c r="F10" i="33"/>
  <c r="F11" i="33"/>
  <c r="F12" i="33"/>
  <c r="F13" i="33"/>
  <c r="F14" i="33"/>
  <c r="F15" i="33"/>
  <c r="F16" i="33"/>
  <c r="F17" i="33"/>
  <c r="F18" i="33"/>
  <c r="F19" i="33"/>
  <c r="F20" i="33"/>
  <c r="F21" i="33"/>
  <c r="E21" i="33"/>
  <c r="G21" i="33"/>
  <c r="F5" i="32"/>
  <c r="F6" i="32"/>
  <c r="F7" i="32"/>
  <c r="F8" i="32"/>
  <c r="F9" i="32"/>
  <c r="F10" i="32"/>
  <c r="F11" i="32"/>
  <c r="F12" i="32"/>
  <c r="F13" i="32"/>
  <c r="F14" i="32"/>
  <c r="F15" i="32"/>
  <c r="F16" i="32"/>
  <c r="F17" i="32"/>
  <c r="F18" i="32"/>
  <c r="F19" i="32"/>
  <c r="F20" i="32"/>
  <c r="F21" i="32"/>
  <c r="F22" i="32"/>
  <c r="F23" i="32"/>
  <c r="F24" i="32"/>
  <c r="F25" i="32"/>
  <c r="G25" i="32"/>
  <c r="E25" i="31"/>
  <c r="F25" i="31"/>
  <c r="G25" i="31"/>
  <c r="F24" i="31"/>
  <c r="F23" i="31"/>
  <c r="F22" i="31"/>
  <c r="F5" i="30"/>
  <c r="F6" i="30"/>
  <c r="F7" i="30"/>
  <c r="F8" i="30"/>
  <c r="F9" i="30"/>
  <c r="F10" i="30"/>
  <c r="F11" i="30"/>
  <c r="F12" i="30"/>
  <c r="F13" i="30"/>
  <c r="F14" i="30"/>
  <c r="F15" i="30"/>
  <c r="F16" i="30"/>
  <c r="F17" i="30"/>
  <c r="F18" i="30"/>
  <c r="F19" i="30"/>
  <c r="F20" i="30"/>
  <c r="F21" i="30"/>
  <c r="F22" i="30"/>
  <c r="F23" i="30"/>
  <c r="F24" i="30"/>
  <c r="F25" i="30"/>
  <c r="E25" i="30"/>
  <c r="G25" i="30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E25" i="29"/>
  <c r="G25" i="29"/>
  <c r="F5" i="28"/>
  <c r="F6" i="28"/>
  <c r="F7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F20" i="28"/>
  <c r="F21" i="28"/>
  <c r="F22" i="28"/>
  <c r="F23" i="28"/>
  <c r="F24" i="28"/>
  <c r="F25" i="28"/>
  <c r="E25" i="28"/>
  <c r="G25" i="28"/>
  <c r="F5" i="27"/>
  <c r="F6" i="27"/>
  <c r="F7" i="27"/>
  <c r="F8" i="27"/>
  <c r="F9" i="27"/>
  <c r="F10" i="27"/>
  <c r="F11" i="27"/>
  <c r="F12" i="27"/>
  <c r="F13" i="27"/>
  <c r="F14" i="27"/>
  <c r="F15" i="27"/>
  <c r="F16" i="27"/>
  <c r="F17" i="27"/>
  <c r="F18" i="27"/>
  <c r="F19" i="27"/>
  <c r="F20" i="27"/>
  <c r="F21" i="27"/>
  <c r="F22" i="27"/>
  <c r="F23" i="27"/>
  <c r="F24" i="27"/>
  <c r="F25" i="27"/>
  <c r="F26" i="27"/>
  <c r="E26" i="27"/>
  <c r="G26" i="27"/>
  <c r="F5" i="26"/>
  <c r="F6" i="26"/>
  <c r="F7" i="26"/>
  <c r="F8" i="26"/>
  <c r="F9" i="26"/>
  <c r="F10" i="26"/>
  <c r="F11" i="26"/>
  <c r="F12" i="26"/>
  <c r="F13" i="26"/>
  <c r="F14" i="26"/>
  <c r="F15" i="26"/>
  <c r="F16" i="26"/>
  <c r="F17" i="26"/>
  <c r="F18" i="26"/>
  <c r="F19" i="26"/>
  <c r="F20" i="26"/>
  <c r="F21" i="26"/>
  <c r="F22" i="26"/>
  <c r="F23" i="26"/>
  <c r="F24" i="26"/>
  <c r="F25" i="26"/>
  <c r="F26" i="26"/>
  <c r="E26" i="26"/>
  <c r="G26" i="26"/>
  <c r="F5" i="25"/>
  <c r="F6" i="25"/>
  <c r="F7" i="25"/>
  <c r="F8" i="25"/>
  <c r="F9" i="25"/>
  <c r="F10" i="25"/>
  <c r="F11" i="25"/>
  <c r="F12" i="25"/>
  <c r="F13" i="25"/>
  <c r="F14" i="25"/>
  <c r="F15" i="25"/>
  <c r="F16" i="25"/>
  <c r="F17" i="25"/>
  <c r="F18" i="25"/>
  <c r="F19" i="25"/>
  <c r="F20" i="25"/>
  <c r="F21" i="25"/>
  <c r="F22" i="25"/>
  <c r="F23" i="25"/>
  <c r="F24" i="25"/>
  <c r="F25" i="25"/>
  <c r="F26" i="25"/>
  <c r="E26" i="25"/>
  <c r="G26" i="25"/>
  <c r="F5" i="24"/>
  <c r="F6" i="24"/>
  <c r="F7" i="24"/>
  <c r="F8" i="24"/>
  <c r="F9" i="24"/>
  <c r="F10" i="24"/>
  <c r="F11" i="24"/>
  <c r="F12" i="24"/>
  <c r="F13" i="24"/>
  <c r="F14" i="24"/>
  <c r="F15" i="24"/>
  <c r="F16" i="24"/>
  <c r="F17" i="24"/>
  <c r="F18" i="24"/>
  <c r="F19" i="24"/>
  <c r="F20" i="24"/>
  <c r="F21" i="24"/>
  <c r="F22" i="24"/>
  <c r="F23" i="24"/>
  <c r="F24" i="24"/>
  <c r="F25" i="24"/>
  <c r="E25" i="24"/>
  <c r="G25" i="24"/>
  <c r="F5" i="23"/>
  <c r="F6" i="23"/>
  <c r="F7" i="23"/>
  <c r="F8" i="23"/>
  <c r="F9" i="23"/>
  <c r="F10" i="23"/>
  <c r="F11" i="23"/>
  <c r="F12" i="23"/>
  <c r="F13" i="23"/>
  <c r="F14" i="23"/>
  <c r="F15" i="23"/>
  <c r="F16" i="23"/>
  <c r="F17" i="23"/>
  <c r="F18" i="23"/>
  <c r="F19" i="23"/>
  <c r="F20" i="23"/>
  <c r="F21" i="23"/>
  <c r="F22" i="23"/>
  <c r="F23" i="23"/>
  <c r="F24" i="23"/>
  <c r="F25" i="23"/>
  <c r="F26" i="23"/>
  <c r="F27" i="23"/>
  <c r="E27" i="23"/>
  <c r="G27" i="23"/>
  <c r="F5" i="22"/>
  <c r="F6" i="22"/>
  <c r="F7" i="22"/>
  <c r="F8" i="22"/>
  <c r="F9" i="22"/>
  <c r="F10" i="22"/>
  <c r="F11" i="22"/>
  <c r="F12" i="22"/>
  <c r="F13" i="22"/>
  <c r="F14" i="22"/>
  <c r="F15" i="22"/>
  <c r="F16" i="22"/>
  <c r="F17" i="22"/>
  <c r="F18" i="22"/>
  <c r="F19" i="22"/>
  <c r="F20" i="22"/>
  <c r="F21" i="22"/>
  <c r="F22" i="22"/>
  <c r="F23" i="22"/>
  <c r="F24" i="22"/>
  <c r="F25" i="22"/>
  <c r="F26" i="22"/>
  <c r="F27" i="22"/>
  <c r="E27" i="22"/>
  <c r="G27" i="22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F27" i="21"/>
  <c r="E27" i="21"/>
  <c r="G27" i="21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E28" i="20"/>
  <c r="G28" i="20"/>
  <c r="E28" i="19"/>
  <c r="F28" i="19"/>
  <c r="G28" i="19"/>
  <c r="F27" i="19"/>
  <c r="F26" i="19"/>
  <c r="F25" i="19"/>
  <c r="E28" i="18"/>
  <c r="F28" i="18"/>
  <c r="G28" i="18"/>
  <c r="F27" i="18"/>
  <c r="F26" i="18"/>
  <c r="F25" i="18"/>
  <c r="F24" i="18"/>
  <c r="F23" i="18"/>
  <c r="F22" i="18"/>
  <c r="F21" i="18"/>
  <c r="E30" i="16"/>
  <c r="F30" i="16"/>
  <c r="G30" i="16"/>
  <c r="F29" i="16"/>
  <c r="F28" i="16"/>
  <c r="F27" i="16"/>
  <c r="F26" i="16"/>
  <c r="F25" i="16"/>
  <c r="F24" i="16"/>
  <c r="F23" i="16"/>
  <c r="E30" i="15"/>
  <c r="F30" i="15"/>
  <c r="G30" i="15"/>
  <c r="F29" i="15"/>
  <c r="F28" i="15"/>
  <c r="F27" i="15"/>
  <c r="E31" i="14"/>
  <c r="F31" i="14"/>
  <c r="G31" i="14"/>
  <c r="F30" i="14"/>
  <c r="F29" i="14"/>
  <c r="F28" i="14"/>
  <c r="E32" i="12"/>
  <c r="F32" i="12"/>
  <c r="G32" i="12"/>
  <c r="F31" i="12"/>
  <c r="F30" i="12"/>
  <c r="F29" i="12"/>
  <c r="E33" i="11"/>
  <c r="F33" i="11"/>
  <c r="G33" i="11"/>
  <c r="F32" i="11"/>
  <c r="F31" i="11"/>
  <c r="F30" i="11"/>
  <c r="E39" i="10"/>
  <c r="F39" i="10"/>
  <c r="G39" i="10"/>
  <c r="F38" i="10"/>
  <c r="F37" i="10"/>
  <c r="F36" i="10"/>
  <c r="E40" i="9"/>
  <c r="F40" i="9"/>
  <c r="G40" i="9"/>
  <c r="F39" i="9"/>
  <c r="F38" i="9"/>
  <c r="F37" i="9"/>
  <c r="F36" i="9"/>
  <c r="F35" i="9"/>
  <c r="F34" i="9"/>
  <c r="F33" i="9"/>
  <c r="E40" i="8"/>
  <c r="F40" i="8"/>
  <c r="G40" i="8"/>
  <c r="F39" i="8"/>
  <c r="F38" i="8"/>
  <c r="F37" i="8"/>
  <c r="F36" i="8"/>
  <c r="F35" i="8"/>
  <c r="F34" i="8"/>
  <c r="F33" i="8"/>
  <c r="E40" i="7"/>
  <c r="F40" i="7"/>
  <c r="G40" i="7"/>
  <c r="F39" i="7"/>
  <c r="F38" i="7"/>
  <c r="F37" i="7"/>
  <c r="F36" i="7"/>
  <c r="F35" i="7"/>
  <c r="F34" i="7"/>
  <c r="F33" i="7"/>
  <c r="E42" i="6"/>
  <c r="F42" i="6"/>
  <c r="G42" i="6"/>
  <c r="F41" i="6"/>
  <c r="F43" i="5"/>
  <c r="F37" i="5"/>
  <c r="F38" i="5"/>
  <c r="F39" i="5"/>
  <c r="F40" i="5"/>
  <c r="F41" i="5"/>
  <c r="F42" i="5"/>
  <c r="E43" i="5"/>
  <c r="G43" i="5"/>
  <c r="F36" i="5"/>
  <c r="E42" i="4"/>
  <c r="F42" i="4"/>
  <c r="G42" i="4"/>
  <c r="F41" i="4"/>
  <c r="F40" i="4"/>
  <c r="F39" i="4"/>
  <c r="F38" i="4"/>
  <c r="F37" i="4"/>
  <c r="F36" i="4"/>
  <c r="F35" i="4"/>
  <c r="E25" i="2"/>
  <c r="F25" i="2"/>
  <c r="G25" i="2"/>
  <c r="F22" i="2"/>
  <c r="F31" i="1"/>
  <c r="F30" i="1"/>
  <c r="D70" i="13"/>
  <c r="D69" i="13"/>
  <c r="C72" i="13"/>
  <c r="C70" i="13"/>
  <c r="C69" i="13"/>
  <c r="B74" i="13"/>
  <c r="B73" i="13"/>
  <c r="B72" i="13"/>
  <c r="B71" i="13"/>
  <c r="B70" i="13"/>
  <c r="B69" i="13"/>
  <c r="B68" i="13"/>
  <c r="M3" i="74"/>
  <c r="C74" i="13" s="1"/>
  <c r="J7" i="74"/>
  <c r="J8" i="74" s="1"/>
  <c r="J6" i="74"/>
  <c r="J5" i="74"/>
  <c r="G4" i="74"/>
  <c r="E4" i="74"/>
  <c r="J3" i="74" s="1" a="1"/>
  <c r="J3" i="74" s="1"/>
  <c r="D74" i="13" s="1"/>
  <c r="M3" i="73"/>
  <c r="C73" i="13" s="1"/>
  <c r="J7" i="73"/>
  <c r="J6" i="73"/>
  <c r="J5" i="73"/>
  <c r="E4" i="73"/>
  <c r="J3" i="73" s="1" a="1"/>
  <c r="J3" i="73" s="1"/>
  <c r="D73" i="13" s="1"/>
  <c r="G4" i="73"/>
  <c r="J7" i="71"/>
  <c r="J8" i="71" s="1"/>
  <c r="M3" i="72"/>
  <c r="J7" i="72"/>
  <c r="J8" i="72" s="1"/>
  <c r="J6" i="72"/>
  <c r="J5" i="72"/>
  <c r="G4" i="72"/>
  <c r="E4" i="72"/>
  <c r="J3" i="72" s="1" a="1"/>
  <c r="J3" i="72" s="1"/>
  <c r="D72" i="13" s="1"/>
  <c r="M3" i="71"/>
  <c r="C71" i="13" s="1"/>
  <c r="J6" i="71"/>
  <c r="J5" i="71"/>
  <c r="J3" i="68" a="1"/>
  <c r="J3" i="68" s="1"/>
  <c r="D68" i="13" s="1"/>
  <c r="E6" i="71"/>
  <c r="J3" i="71" s="1" a="1"/>
  <c r="J3" i="71" s="1"/>
  <c r="D71" i="13" s="1"/>
  <c r="G6" i="71"/>
  <c r="E5" i="71"/>
  <c r="G5" i="71"/>
  <c r="M3" i="68"/>
  <c r="C68" i="13" s="1"/>
  <c r="J7" i="68"/>
  <c r="J6" i="68"/>
  <c r="J5" i="68"/>
  <c r="E5" i="68"/>
  <c r="E4" i="68"/>
  <c r="G5" i="68"/>
  <c r="G4" i="68"/>
  <c r="F4" i="68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E27" i="1"/>
  <c r="E28" i="1"/>
  <c r="E29" i="1"/>
  <c r="E30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E8" i="67"/>
  <c r="G8" i="67"/>
  <c r="E6" i="66"/>
  <c r="G6" i="66"/>
  <c r="E7" i="65"/>
  <c r="G7" i="65"/>
  <c r="G8" i="63"/>
  <c r="E8" i="62"/>
  <c r="G8" i="62"/>
  <c r="E8" i="61"/>
  <c r="G8" i="61"/>
  <c r="E8" i="60"/>
  <c r="G8" i="60"/>
  <c r="E8" i="58"/>
  <c r="G8" i="58"/>
  <c r="E8" i="57"/>
  <c r="G8" i="57"/>
  <c r="E9" i="56"/>
  <c r="G9" i="56"/>
  <c r="E9" i="55"/>
  <c r="G9" i="55"/>
  <c r="E9" i="54"/>
  <c r="G9" i="54"/>
  <c r="E8" i="53"/>
  <c r="G8" i="53"/>
  <c r="E10" i="52"/>
  <c r="G10" i="52"/>
  <c r="E10" i="50"/>
  <c r="G10" i="50"/>
  <c r="E10" i="49"/>
  <c r="G10" i="49"/>
  <c r="E11" i="47"/>
  <c r="G11" i="47"/>
  <c r="E9" i="46"/>
  <c r="G9" i="46"/>
  <c r="E15" i="45"/>
  <c r="G15" i="45"/>
  <c r="E15" i="44"/>
  <c r="G15" i="44"/>
  <c r="E17" i="42"/>
  <c r="G17" i="42"/>
  <c r="E17" i="41"/>
  <c r="G17" i="41"/>
  <c r="E16" i="40"/>
  <c r="G16" i="40"/>
  <c r="E17" i="39"/>
  <c r="G17" i="39"/>
  <c r="E21" i="38"/>
  <c r="G21" i="38"/>
  <c r="E20" i="37"/>
  <c r="G20" i="37"/>
  <c r="E20" i="35"/>
  <c r="J3" i="35" s="1" a="1"/>
  <c r="J3" i="35" s="1"/>
  <c r="D35" i="13" s="1"/>
  <c r="G20" i="35"/>
  <c r="E20" i="34"/>
  <c r="G20" i="34"/>
  <c r="E20" i="33"/>
  <c r="G20" i="33"/>
  <c r="G24" i="32"/>
  <c r="E24" i="31"/>
  <c r="G24" i="31"/>
  <c r="E24" i="30"/>
  <c r="G24" i="30"/>
  <c r="E24" i="29"/>
  <c r="G24" i="29"/>
  <c r="E24" i="28"/>
  <c r="G24" i="28"/>
  <c r="E25" i="27"/>
  <c r="G25" i="27"/>
  <c r="E25" i="26"/>
  <c r="G25" i="26"/>
  <c r="E25" i="25"/>
  <c r="G25" i="25"/>
  <c r="E24" i="24"/>
  <c r="G24" i="24"/>
  <c r="E26" i="23"/>
  <c r="G26" i="23"/>
  <c r="E26" i="22"/>
  <c r="G26" i="22"/>
  <c r="E26" i="21"/>
  <c r="G26" i="21"/>
  <c r="E27" i="20"/>
  <c r="G27" i="20"/>
  <c r="E27" i="19"/>
  <c r="G27" i="19"/>
  <c r="E27" i="18"/>
  <c r="G27" i="18"/>
  <c r="E29" i="16"/>
  <c r="G29" i="16"/>
  <c r="E29" i="15"/>
  <c r="G29" i="15"/>
  <c r="E30" i="14"/>
  <c r="J3" i="14" s="1" a="1"/>
  <c r="J3" i="14" s="1"/>
  <c r="D14" i="13" s="1"/>
  <c r="G30" i="14"/>
  <c r="E31" i="12"/>
  <c r="G31" i="12"/>
  <c r="E32" i="11"/>
  <c r="G32" i="11"/>
  <c r="E38" i="10"/>
  <c r="G38" i="10"/>
  <c r="E39" i="9"/>
  <c r="G39" i="9"/>
  <c r="E39" i="8"/>
  <c r="G39" i="8"/>
  <c r="E39" i="7"/>
  <c r="G39" i="7"/>
  <c r="E41" i="6"/>
  <c r="G41" i="6"/>
  <c r="E42" i="5"/>
  <c r="G42" i="5"/>
  <c r="E41" i="4"/>
  <c r="G41" i="4"/>
  <c r="E24" i="2"/>
  <c r="F24" i="2"/>
  <c r="G24" i="2"/>
  <c r="E7" i="67"/>
  <c r="G7" i="67"/>
  <c r="E5" i="66"/>
  <c r="G5" i="66"/>
  <c r="E6" i="65"/>
  <c r="G6" i="65"/>
  <c r="J7" i="65" s="1"/>
  <c r="G7" i="63"/>
  <c r="E7" i="62"/>
  <c r="G7" i="62"/>
  <c r="E7" i="61"/>
  <c r="G7" i="61"/>
  <c r="E7" i="60"/>
  <c r="G7" i="60"/>
  <c r="E7" i="58"/>
  <c r="G7" i="58"/>
  <c r="E7" i="57"/>
  <c r="G7" i="57"/>
  <c r="E8" i="56"/>
  <c r="G8" i="56"/>
  <c r="E8" i="55"/>
  <c r="G8" i="55"/>
  <c r="E8" i="54"/>
  <c r="G8" i="54"/>
  <c r="E7" i="53"/>
  <c r="G7" i="53"/>
  <c r="E9" i="52"/>
  <c r="G9" i="52"/>
  <c r="E9" i="50"/>
  <c r="G9" i="50"/>
  <c r="E9" i="49"/>
  <c r="G9" i="49"/>
  <c r="E10" i="47"/>
  <c r="G10" i="47"/>
  <c r="E8" i="46"/>
  <c r="G8" i="46"/>
  <c r="E14" i="45"/>
  <c r="G14" i="45"/>
  <c r="E14" i="44"/>
  <c r="G14" i="44"/>
  <c r="E16" i="42"/>
  <c r="G16" i="42"/>
  <c r="E16" i="41"/>
  <c r="G16" i="41"/>
  <c r="E15" i="40"/>
  <c r="G15" i="40"/>
  <c r="E16" i="39"/>
  <c r="G16" i="39"/>
  <c r="E20" i="38"/>
  <c r="G20" i="38"/>
  <c r="J7" i="38" s="1"/>
  <c r="E19" i="37"/>
  <c r="G19" i="37"/>
  <c r="E19" i="35"/>
  <c r="G19" i="35"/>
  <c r="E18" i="34"/>
  <c r="E19" i="34"/>
  <c r="G19" i="34"/>
  <c r="E19" i="33"/>
  <c r="G19" i="33"/>
  <c r="G23" i="32"/>
  <c r="E23" i="31"/>
  <c r="G23" i="31"/>
  <c r="E23" i="30"/>
  <c r="G23" i="30"/>
  <c r="E23" i="29"/>
  <c r="G23" i="29"/>
  <c r="E23" i="28"/>
  <c r="G23" i="28"/>
  <c r="E24" i="27"/>
  <c r="G24" i="27"/>
  <c r="E24" i="26"/>
  <c r="G24" i="26"/>
  <c r="J7" i="26" s="1"/>
  <c r="E26" i="13" s="1"/>
  <c r="E24" i="25"/>
  <c r="G24" i="25"/>
  <c r="E23" i="24"/>
  <c r="G23" i="24"/>
  <c r="E25" i="23"/>
  <c r="G25" i="23"/>
  <c r="E25" i="22"/>
  <c r="G25" i="22"/>
  <c r="E25" i="21"/>
  <c r="J3" i="21" s="1" a="1"/>
  <c r="J3" i="21" s="1"/>
  <c r="D21" i="13" s="1"/>
  <c r="G25" i="21"/>
  <c r="E26" i="20"/>
  <c r="G26" i="20"/>
  <c r="E26" i="19"/>
  <c r="J3" i="19" s="1" a="1"/>
  <c r="J3" i="19" s="1"/>
  <c r="D19" i="13" s="1"/>
  <c r="G26" i="19"/>
  <c r="E26" i="18"/>
  <c r="G26" i="18"/>
  <c r="E28" i="16"/>
  <c r="G28" i="16"/>
  <c r="E28" i="15"/>
  <c r="G28" i="15"/>
  <c r="E29" i="14"/>
  <c r="G29" i="14"/>
  <c r="E30" i="12"/>
  <c r="G30" i="12"/>
  <c r="E31" i="11"/>
  <c r="G31" i="11"/>
  <c r="E37" i="10"/>
  <c r="J3" i="10" s="1" a="1"/>
  <c r="J3" i="10" s="1"/>
  <c r="D11" i="13" s="1"/>
  <c r="G37" i="10"/>
  <c r="E38" i="9"/>
  <c r="G38" i="9"/>
  <c r="E38" i="8"/>
  <c r="G38" i="8"/>
  <c r="E38" i="7"/>
  <c r="G38" i="7"/>
  <c r="E40" i="6"/>
  <c r="G40" i="6"/>
  <c r="E41" i="5"/>
  <c r="G41" i="5"/>
  <c r="E40" i="4"/>
  <c r="G40" i="4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3" i="2"/>
  <c r="E22" i="2"/>
  <c r="E23" i="2"/>
  <c r="G23" i="2"/>
  <c r="B15" i="13"/>
  <c r="M3" i="67"/>
  <c r="C67" i="13" s="1"/>
  <c r="J6" i="67"/>
  <c r="J5" i="67"/>
  <c r="E5" i="67"/>
  <c r="G5" i="67"/>
  <c r="E6" i="67"/>
  <c r="G6" i="67"/>
  <c r="G4" i="67"/>
  <c r="F4" i="67"/>
  <c r="M3" i="66"/>
  <c r="C66" i="13" s="1"/>
  <c r="J6" i="66"/>
  <c r="J5" i="66"/>
  <c r="G4" i="66"/>
  <c r="E4" i="66"/>
  <c r="M3" i="65"/>
  <c r="C65" i="13" s="1"/>
  <c r="J6" i="65"/>
  <c r="J5" i="65"/>
  <c r="J3" i="65" a="1"/>
  <c r="J3" i="65" s="1"/>
  <c r="D65" i="13" s="1"/>
  <c r="G5" i="65"/>
  <c r="E5" i="65"/>
  <c r="E4" i="65"/>
  <c r="G4" i="65"/>
  <c r="F4" i="65"/>
  <c r="F5" i="31"/>
  <c r="F6" i="31"/>
  <c r="F7" i="31"/>
  <c r="F8" i="31"/>
  <c r="F9" i="31"/>
  <c r="F10" i="31"/>
  <c r="F11" i="31"/>
  <c r="F12" i="31"/>
  <c r="F13" i="31"/>
  <c r="F14" i="31"/>
  <c r="F15" i="31"/>
  <c r="F16" i="31"/>
  <c r="F17" i="31"/>
  <c r="F18" i="31"/>
  <c r="F19" i="31"/>
  <c r="F20" i="31"/>
  <c r="F21" i="31"/>
  <c r="F5" i="19"/>
  <c r="F6" i="19"/>
  <c r="F7" i="19"/>
  <c r="F8" i="19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5" i="63"/>
  <c r="F4" i="63"/>
  <c r="G6" i="63"/>
  <c r="F4" i="62"/>
  <c r="E6" i="62"/>
  <c r="G6" i="62"/>
  <c r="E6" i="61"/>
  <c r="G6" i="61"/>
  <c r="F4" i="61"/>
  <c r="F4" i="60"/>
  <c r="F4" i="58"/>
  <c r="F4" i="53"/>
  <c r="F4" i="50"/>
  <c r="F4" i="49"/>
  <c r="E6" i="60"/>
  <c r="G6" i="60"/>
  <c r="E6" i="58"/>
  <c r="G6" i="58"/>
  <c r="F4" i="57"/>
  <c r="E6" i="57"/>
  <c r="G6" i="57"/>
  <c r="E7" i="56"/>
  <c r="G7" i="56"/>
  <c r="E7" i="55"/>
  <c r="G7" i="55"/>
  <c r="F4" i="54"/>
  <c r="E7" i="54"/>
  <c r="G7" i="54"/>
  <c r="E6" i="53"/>
  <c r="G6" i="53"/>
  <c r="E8" i="52"/>
  <c r="J3" i="52" s="1" a="1"/>
  <c r="J3" i="52" s="1"/>
  <c r="D52" i="13" s="1"/>
  <c r="G8" i="52"/>
  <c r="E8" i="50"/>
  <c r="G8" i="50"/>
  <c r="E8" i="49"/>
  <c r="G8" i="49"/>
  <c r="E9" i="47"/>
  <c r="G9" i="47"/>
  <c r="E7" i="46"/>
  <c r="G7" i="46"/>
  <c r="E13" i="45"/>
  <c r="G13" i="45"/>
  <c r="E13" i="44"/>
  <c r="G13" i="44"/>
  <c r="E15" i="42"/>
  <c r="G15" i="42"/>
  <c r="E15" i="41"/>
  <c r="G15" i="41"/>
  <c r="E14" i="40"/>
  <c r="G14" i="40"/>
  <c r="E15" i="39"/>
  <c r="G15" i="39"/>
  <c r="E19" i="38"/>
  <c r="G19" i="38"/>
  <c r="E18" i="37"/>
  <c r="G18" i="37"/>
  <c r="J7" i="37" s="1"/>
  <c r="E18" i="35"/>
  <c r="G18" i="35"/>
  <c r="G18" i="34"/>
  <c r="E18" i="33"/>
  <c r="G18" i="33"/>
  <c r="G22" i="32"/>
  <c r="E22" i="31"/>
  <c r="G22" i="31"/>
  <c r="E22" i="30"/>
  <c r="G22" i="30"/>
  <c r="E22" i="29"/>
  <c r="G22" i="29"/>
  <c r="E22" i="28"/>
  <c r="G22" i="28"/>
  <c r="E23" i="27"/>
  <c r="G23" i="27"/>
  <c r="E23" i="26"/>
  <c r="G23" i="26"/>
  <c r="E23" i="25"/>
  <c r="G23" i="25"/>
  <c r="E22" i="24"/>
  <c r="G22" i="24"/>
  <c r="E24" i="23"/>
  <c r="G24" i="23"/>
  <c r="E24" i="22"/>
  <c r="G24" i="22"/>
  <c r="E24" i="21"/>
  <c r="G24" i="21"/>
  <c r="J7" i="21" s="1"/>
  <c r="E21" i="13" s="1"/>
  <c r="E25" i="20"/>
  <c r="G25" i="20"/>
  <c r="E25" i="19"/>
  <c r="G25" i="19"/>
  <c r="E25" i="18"/>
  <c r="G25" i="18"/>
  <c r="E27" i="16"/>
  <c r="G27" i="16"/>
  <c r="E27" i="15"/>
  <c r="G27" i="15"/>
  <c r="E28" i="14"/>
  <c r="G28" i="14"/>
  <c r="E29" i="12"/>
  <c r="G29" i="12"/>
  <c r="E30" i="11"/>
  <c r="G30" i="11"/>
  <c r="E36" i="10"/>
  <c r="G36" i="10"/>
  <c r="E37" i="9"/>
  <c r="G37" i="9"/>
  <c r="E37" i="8"/>
  <c r="G37" i="8"/>
  <c r="E37" i="7"/>
  <c r="G37" i="7"/>
  <c r="E39" i="6"/>
  <c r="G39" i="6"/>
  <c r="E40" i="5"/>
  <c r="G40" i="5"/>
  <c r="E39" i="4"/>
  <c r="G39" i="4"/>
  <c r="G22" i="2"/>
  <c r="E4" i="1"/>
  <c r="F4" i="1"/>
  <c r="G4" i="1"/>
  <c r="E5" i="1"/>
  <c r="G5" i="1"/>
  <c r="E6" i="1"/>
  <c r="G6" i="1"/>
  <c r="E7" i="1"/>
  <c r="G7" i="1"/>
  <c r="E8" i="1"/>
  <c r="G8" i="1"/>
  <c r="E9" i="1"/>
  <c r="J3" i="1" s="1" a="1"/>
  <c r="J3" i="1" s="1"/>
  <c r="D2" i="13" s="1"/>
  <c r="G9" i="1"/>
  <c r="E10" i="1"/>
  <c r="G10" i="1"/>
  <c r="E11" i="1"/>
  <c r="G11" i="1"/>
  <c r="E12" i="1"/>
  <c r="G12" i="1"/>
  <c r="E13" i="1"/>
  <c r="G13" i="1"/>
  <c r="E14" i="1"/>
  <c r="G14" i="1"/>
  <c r="E15" i="1"/>
  <c r="G15" i="1"/>
  <c r="E16" i="1"/>
  <c r="G16" i="1"/>
  <c r="E17" i="1"/>
  <c r="G17" i="1"/>
  <c r="E18" i="1"/>
  <c r="G18" i="1"/>
  <c r="E19" i="1"/>
  <c r="G19" i="1"/>
  <c r="E20" i="1"/>
  <c r="G20" i="1"/>
  <c r="E21" i="1"/>
  <c r="G21" i="1"/>
  <c r="E22" i="1"/>
  <c r="G22" i="1"/>
  <c r="E23" i="1"/>
  <c r="G23" i="1"/>
  <c r="E24" i="1"/>
  <c r="G24" i="1"/>
  <c r="E25" i="1"/>
  <c r="G25" i="1"/>
  <c r="E26" i="1"/>
  <c r="G26" i="1"/>
  <c r="J6" i="28"/>
  <c r="J5" i="26"/>
  <c r="G5" i="63"/>
  <c r="J7" i="63" s="1"/>
  <c r="E5" i="62"/>
  <c r="G5" i="62"/>
  <c r="E5" i="61"/>
  <c r="G5" i="61"/>
  <c r="E5" i="60"/>
  <c r="G5" i="60"/>
  <c r="E5" i="58"/>
  <c r="G5" i="58"/>
  <c r="E5" i="57"/>
  <c r="G5" i="57"/>
  <c r="E6" i="56"/>
  <c r="G6" i="56"/>
  <c r="E6" i="55"/>
  <c r="G6" i="55"/>
  <c r="E6" i="54"/>
  <c r="G6" i="54"/>
  <c r="E5" i="53"/>
  <c r="G5" i="53"/>
  <c r="E7" i="52"/>
  <c r="G7" i="52"/>
  <c r="E7" i="50"/>
  <c r="G7" i="50"/>
  <c r="E7" i="49"/>
  <c r="G7" i="49"/>
  <c r="E8" i="47"/>
  <c r="G8" i="47"/>
  <c r="E6" i="46"/>
  <c r="G6" i="46"/>
  <c r="E12" i="45"/>
  <c r="G12" i="45"/>
  <c r="E12" i="44"/>
  <c r="G12" i="44"/>
  <c r="E14" i="42"/>
  <c r="G14" i="42"/>
  <c r="E14" i="41"/>
  <c r="G14" i="41"/>
  <c r="E13" i="40"/>
  <c r="G13" i="40"/>
  <c r="E14" i="39"/>
  <c r="G14" i="39"/>
  <c r="E18" i="38"/>
  <c r="G18" i="38"/>
  <c r="E17" i="37"/>
  <c r="G17" i="37"/>
  <c r="E17" i="35"/>
  <c r="G17" i="35"/>
  <c r="E17" i="34"/>
  <c r="G17" i="34"/>
  <c r="E17" i="33"/>
  <c r="G17" i="33"/>
  <c r="G21" i="32"/>
  <c r="E21" i="31"/>
  <c r="G21" i="31"/>
  <c r="E21" i="30"/>
  <c r="G21" i="30"/>
  <c r="E21" i="29"/>
  <c r="G21" i="29"/>
  <c r="E21" i="28"/>
  <c r="G21" i="28"/>
  <c r="E22" i="27"/>
  <c r="G22" i="27"/>
  <c r="E22" i="26"/>
  <c r="G22" i="26"/>
  <c r="E22" i="25"/>
  <c r="G22" i="25"/>
  <c r="E21" i="24"/>
  <c r="G21" i="24"/>
  <c r="E23" i="23"/>
  <c r="G23" i="23"/>
  <c r="E23" i="22"/>
  <c r="G23" i="22"/>
  <c r="E23" i="21"/>
  <c r="G23" i="21"/>
  <c r="E24" i="20"/>
  <c r="G24" i="20"/>
  <c r="E24" i="19"/>
  <c r="G24" i="19"/>
  <c r="E24" i="18"/>
  <c r="G24" i="18"/>
  <c r="E26" i="16"/>
  <c r="G26" i="16"/>
  <c r="E26" i="15"/>
  <c r="G26" i="15"/>
  <c r="E27" i="14"/>
  <c r="G27" i="14"/>
  <c r="E28" i="12"/>
  <c r="G28" i="12"/>
  <c r="E29" i="11"/>
  <c r="G29" i="11"/>
  <c r="E35" i="10"/>
  <c r="G35" i="10"/>
  <c r="E36" i="9"/>
  <c r="G36" i="9"/>
  <c r="G36" i="8"/>
  <c r="E36" i="7"/>
  <c r="G36" i="7"/>
  <c r="E38" i="6"/>
  <c r="G38" i="6"/>
  <c r="E39" i="5"/>
  <c r="G39" i="5"/>
  <c r="E38" i="4"/>
  <c r="G38" i="4"/>
  <c r="E21" i="2"/>
  <c r="G21" i="2"/>
  <c r="M3" i="57"/>
  <c r="B63" i="13"/>
  <c r="B62" i="13"/>
  <c r="B61" i="13"/>
  <c r="B60" i="13"/>
  <c r="B59" i="13"/>
  <c r="B58" i="13"/>
  <c r="B57" i="13"/>
  <c r="B56" i="13"/>
  <c r="B55" i="13"/>
  <c r="B54" i="13"/>
  <c r="B53" i="13"/>
  <c r="B52" i="13"/>
  <c r="B51" i="13"/>
  <c r="J6" i="63"/>
  <c r="J5" i="63"/>
  <c r="J3" i="63" a="1"/>
  <c r="J3" i="63" s="1"/>
  <c r="D63" i="13" s="1"/>
  <c r="M3" i="63"/>
  <c r="C63" i="13" s="1"/>
  <c r="G4" i="63"/>
  <c r="J6" i="62"/>
  <c r="J5" i="62"/>
  <c r="M3" i="62"/>
  <c r="C62" i="13" s="1"/>
  <c r="G4" i="62"/>
  <c r="E4" i="62"/>
  <c r="J6" i="61"/>
  <c r="J5" i="61"/>
  <c r="M3" i="61"/>
  <c r="C61" i="13" s="1"/>
  <c r="G4" i="61"/>
  <c r="E4" i="61"/>
  <c r="M3" i="60"/>
  <c r="C60" i="13" s="1"/>
  <c r="J6" i="60"/>
  <c r="J5" i="60"/>
  <c r="G4" i="60"/>
  <c r="E4" i="60"/>
  <c r="J6" i="58"/>
  <c r="J5" i="58"/>
  <c r="M3" i="58"/>
  <c r="C57" i="13" s="1"/>
  <c r="G4" i="58"/>
  <c r="E4" i="58"/>
  <c r="J3" i="58" s="1" a="1"/>
  <c r="J3" i="58" s="1"/>
  <c r="D58" i="13" s="1"/>
  <c r="J6" i="57"/>
  <c r="J5" i="57"/>
  <c r="G4" i="57"/>
  <c r="E4" i="57"/>
  <c r="M3" i="56"/>
  <c r="C56" i="13" s="1"/>
  <c r="J6" i="56"/>
  <c r="J5" i="56"/>
  <c r="E5" i="56"/>
  <c r="J3" i="56" s="1" a="1"/>
  <c r="J3" i="56" s="1"/>
  <c r="D56" i="13" s="1"/>
  <c r="G5" i="56"/>
  <c r="G4" i="56"/>
  <c r="F4" i="56"/>
  <c r="E4" i="56"/>
  <c r="M3" i="55"/>
  <c r="C55" i="13" s="1"/>
  <c r="J6" i="55"/>
  <c r="J5" i="55"/>
  <c r="E5" i="55"/>
  <c r="G5" i="55"/>
  <c r="G4" i="55"/>
  <c r="F4" i="55"/>
  <c r="E4" i="55"/>
  <c r="M3" i="54"/>
  <c r="C54" i="13" s="1"/>
  <c r="J6" i="54"/>
  <c r="J5" i="54"/>
  <c r="E4" i="54"/>
  <c r="E5" i="54"/>
  <c r="G5" i="54"/>
  <c r="G4" i="54"/>
  <c r="M3" i="53"/>
  <c r="C53" i="13" s="1"/>
  <c r="J6" i="53"/>
  <c r="J5" i="53"/>
  <c r="E4" i="53"/>
  <c r="G4" i="53"/>
  <c r="M3" i="52"/>
  <c r="C52" i="13" s="1"/>
  <c r="J6" i="52"/>
  <c r="J5" i="52"/>
  <c r="E5" i="52"/>
  <c r="G5" i="52"/>
  <c r="E6" i="52"/>
  <c r="G6" i="52"/>
  <c r="G4" i="52"/>
  <c r="F4" i="52"/>
  <c r="E4" i="52"/>
  <c r="J3" i="20" a="1"/>
  <c r="J3" i="20" s="1"/>
  <c r="D20" i="13" s="1"/>
  <c r="B50" i="13"/>
  <c r="B49" i="13"/>
  <c r="B48" i="13"/>
  <c r="B47" i="13"/>
  <c r="B46" i="13"/>
  <c r="B45" i="13"/>
  <c r="B44" i="13"/>
  <c r="B43" i="13"/>
  <c r="B42" i="13"/>
  <c r="B41" i="13"/>
  <c r="B40" i="13"/>
  <c r="B39" i="13"/>
  <c r="B38" i="13"/>
  <c r="B37" i="13"/>
  <c r="B36" i="13"/>
  <c r="B35" i="13"/>
  <c r="B34" i="13"/>
  <c r="J6" i="50"/>
  <c r="J5" i="50"/>
  <c r="M3" i="50"/>
  <c r="C50" i="13" s="1"/>
  <c r="E5" i="50"/>
  <c r="G5" i="50"/>
  <c r="E6" i="50"/>
  <c r="G6" i="50"/>
  <c r="G4" i="50"/>
  <c r="E4" i="50"/>
  <c r="M3" i="49"/>
  <c r="C49" i="13" s="1"/>
  <c r="J6" i="49"/>
  <c r="J5" i="49"/>
  <c r="E6" i="49"/>
  <c r="G6" i="49"/>
  <c r="J7" i="49" s="1"/>
  <c r="E49" i="13" s="1"/>
  <c r="E5" i="49"/>
  <c r="G5" i="49"/>
  <c r="G4" i="49"/>
  <c r="E4" i="49"/>
  <c r="M3" i="47"/>
  <c r="C47" i="13" s="1"/>
  <c r="J6" i="47"/>
  <c r="J5" i="47"/>
  <c r="E5" i="47"/>
  <c r="G5" i="47"/>
  <c r="E6" i="47"/>
  <c r="G6" i="47"/>
  <c r="E7" i="47"/>
  <c r="G7" i="47"/>
  <c r="G4" i="47"/>
  <c r="F4" i="47"/>
  <c r="E4" i="47"/>
  <c r="M3" i="46"/>
  <c r="C46" i="13" s="1"/>
  <c r="J6" i="46"/>
  <c r="J5" i="46"/>
  <c r="E5" i="46"/>
  <c r="G5" i="46"/>
  <c r="G4" i="46"/>
  <c r="F4" i="46"/>
  <c r="E4" i="46"/>
  <c r="M3" i="45"/>
  <c r="C45" i="13" s="1"/>
  <c r="J6" i="45"/>
  <c r="J5" i="45"/>
  <c r="E5" i="45"/>
  <c r="G5" i="45"/>
  <c r="E6" i="45"/>
  <c r="G6" i="45"/>
  <c r="E7" i="45"/>
  <c r="G7" i="45"/>
  <c r="E8" i="45"/>
  <c r="G8" i="45"/>
  <c r="E9" i="45"/>
  <c r="G9" i="45"/>
  <c r="E10" i="45"/>
  <c r="G10" i="45"/>
  <c r="E11" i="45"/>
  <c r="J3" i="45" s="1" a="1"/>
  <c r="J3" i="45" s="1"/>
  <c r="D45" i="13" s="1"/>
  <c r="G11" i="45"/>
  <c r="G4" i="45"/>
  <c r="F4" i="45"/>
  <c r="E4" i="45"/>
  <c r="M3" i="44"/>
  <c r="C44" i="13" s="1"/>
  <c r="J7" i="44"/>
  <c r="J6" i="44"/>
  <c r="J5" i="44"/>
  <c r="J3" i="44" a="1"/>
  <c r="J3" i="44" s="1"/>
  <c r="D44" i="13" s="1"/>
  <c r="E5" i="44"/>
  <c r="G5" i="44"/>
  <c r="E6" i="44"/>
  <c r="G6" i="44"/>
  <c r="E7" i="44"/>
  <c r="G7" i="44"/>
  <c r="E8" i="44"/>
  <c r="G8" i="44"/>
  <c r="E9" i="44"/>
  <c r="G9" i="44"/>
  <c r="E10" i="44"/>
  <c r="G10" i="44"/>
  <c r="E11" i="44"/>
  <c r="G11" i="44"/>
  <c r="G4" i="44"/>
  <c r="F4" i="44"/>
  <c r="E4" i="44"/>
  <c r="M3" i="42"/>
  <c r="C42" i="13" s="1"/>
  <c r="J6" i="42"/>
  <c r="J5" i="42"/>
  <c r="E5" i="42"/>
  <c r="G5" i="42"/>
  <c r="E6" i="42"/>
  <c r="G6" i="42"/>
  <c r="E7" i="42"/>
  <c r="G7" i="42"/>
  <c r="E8" i="42"/>
  <c r="G8" i="42"/>
  <c r="E9" i="42"/>
  <c r="G9" i="42"/>
  <c r="E10" i="42"/>
  <c r="G10" i="42"/>
  <c r="E11" i="42"/>
  <c r="G11" i="42"/>
  <c r="E12" i="42"/>
  <c r="G12" i="42"/>
  <c r="E13" i="42"/>
  <c r="G13" i="42"/>
  <c r="G4" i="42"/>
  <c r="F4" i="42"/>
  <c r="M3" i="41"/>
  <c r="C41" i="13" s="1"/>
  <c r="J6" i="41"/>
  <c r="J5" i="41"/>
  <c r="E5" i="41"/>
  <c r="G5" i="41"/>
  <c r="E6" i="41"/>
  <c r="G6" i="41"/>
  <c r="E7" i="41"/>
  <c r="G7" i="41"/>
  <c r="E8" i="41"/>
  <c r="G8" i="41"/>
  <c r="E9" i="41"/>
  <c r="G9" i="41"/>
  <c r="E10" i="41"/>
  <c r="G10" i="41"/>
  <c r="E11" i="41"/>
  <c r="G11" i="41"/>
  <c r="E12" i="41"/>
  <c r="G12" i="41"/>
  <c r="E13" i="41"/>
  <c r="G13" i="41"/>
  <c r="G4" i="41"/>
  <c r="F4" i="41"/>
  <c r="E4" i="41"/>
  <c r="E12" i="40"/>
  <c r="G12" i="40"/>
  <c r="E13" i="39"/>
  <c r="G13" i="39"/>
  <c r="E17" i="38"/>
  <c r="G17" i="38"/>
  <c r="E16" i="37"/>
  <c r="G16" i="37"/>
  <c r="E16" i="35"/>
  <c r="G16" i="35"/>
  <c r="E16" i="34"/>
  <c r="G16" i="34"/>
  <c r="E16" i="33"/>
  <c r="G16" i="33"/>
  <c r="G20" i="32"/>
  <c r="E20" i="31"/>
  <c r="G20" i="31"/>
  <c r="E20" i="30"/>
  <c r="J3" i="30" s="1" a="1"/>
  <c r="J3" i="30" s="1"/>
  <c r="D30" i="13" s="1"/>
  <c r="G20" i="30"/>
  <c r="E20" i="29"/>
  <c r="G20" i="29"/>
  <c r="E20" i="28"/>
  <c r="G20" i="28"/>
  <c r="E21" i="27"/>
  <c r="G21" i="27"/>
  <c r="E21" i="26"/>
  <c r="G21" i="26"/>
  <c r="E21" i="25"/>
  <c r="G21" i="25"/>
  <c r="E20" i="24"/>
  <c r="G20" i="24"/>
  <c r="E22" i="23"/>
  <c r="G22" i="23"/>
  <c r="E22" i="22"/>
  <c r="G22" i="22"/>
  <c r="E22" i="21"/>
  <c r="G22" i="21"/>
  <c r="G23" i="20"/>
  <c r="E23" i="19"/>
  <c r="G23" i="19"/>
  <c r="E23" i="18"/>
  <c r="J3" i="18" s="1" a="1"/>
  <c r="J3" i="18" s="1"/>
  <c r="D18" i="13" s="1"/>
  <c r="G23" i="18"/>
  <c r="E25" i="16"/>
  <c r="G25" i="16"/>
  <c r="E25" i="15"/>
  <c r="G25" i="15"/>
  <c r="E26" i="14"/>
  <c r="G26" i="14"/>
  <c r="E27" i="12"/>
  <c r="J3" i="12" s="1" a="1"/>
  <c r="J3" i="12" s="1"/>
  <c r="D13" i="13" s="1"/>
  <c r="G27" i="12"/>
  <c r="E28" i="11"/>
  <c r="G28" i="11"/>
  <c r="E34" i="10"/>
  <c r="G34" i="10"/>
  <c r="E35" i="9"/>
  <c r="G35" i="9"/>
  <c r="G35" i="8"/>
  <c r="E35" i="7"/>
  <c r="G35" i="7"/>
  <c r="E37" i="6"/>
  <c r="G37" i="6"/>
  <c r="E38" i="5"/>
  <c r="G38" i="5"/>
  <c r="E37" i="4"/>
  <c r="G37" i="4"/>
  <c r="E20" i="2"/>
  <c r="G20" i="2"/>
  <c r="M3" i="40"/>
  <c r="C40" i="13" s="1"/>
  <c r="J6" i="40"/>
  <c r="J5" i="40"/>
  <c r="J3" i="40" a="1"/>
  <c r="J3" i="40" s="1"/>
  <c r="D40" i="13" s="1"/>
  <c r="E5" i="40"/>
  <c r="G5" i="40"/>
  <c r="E6" i="40"/>
  <c r="G6" i="40"/>
  <c r="E7" i="40"/>
  <c r="G7" i="40"/>
  <c r="E8" i="40"/>
  <c r="G8" i="40"/>
  <c r="E9" i="40"/>
  <c r="G9" i="40"/>
  <c r="E10" i="40"/>
  <c r="G10" i="40"/>
  <c r="E11" i="40"/>
  <c r="G11" i="40"/>
  <c r="G4" i="40"/>
  <c r="F4" i="40"/>
  <c r="E4" i="40"/>
  <c r="M3" i="39"/>
  <c r="C39" i="13" s="1"/>
  <c r="J6" i="39"/>
  <c r="J5" i="39"/>
  <c r="E5" i="39"/>
  <c r="G5" i="39"/>
  <c r="E6" i="39"/>
  <c r="G6" i="39"/>
  <c r="E7" i="39"/>
  <c r="G7" i="39"/>
  <c r="E8" i="39"/>
  <c r="G8" i="39"/>
  <c r="E9" i="39"/>
  <c r="G9" i="39"/>
  <c r="E10" i="39"/>
  <c r="G10" i="39"/>
  <c r="E11" i="39"/>
  <c r="G11" i="39"/>
  <c r="E12" i="39"/>
  <c r="G12" i="39"/>
  <c r="G4" i="39"/>
  <c r="F4" i="39"/>
  <c r="E4" i="39"/>
  <c r="M3" i="38"/>
  <c r="C38" i="13" s="1"/>
  <c r="J6" i="38"/>
  <c r="J5" i="38"/>
  <c r="E5" i="38"/>
  <c r="G5" i="38"/>
  <c r="E6" i="38"/>
  <c r="G6" i="38"/>
  <c r="E7" i="38"/>
  <c r="G7" i="38"/>
  <c r="E8" i="38"/>
  <c r="G8" i="38"/>
  <c r="E9" i="38"/>
  <c r="G9" i="38"/>
  <c r="E10" i="38"/>
  <c r="G10" i="38"/>
  <c r="E11" i="38"/>
  <c r="G11" i="38"/>
  <c r="E12" i="38"/>
  <c r="G12" i="38"/>
  <c r="E13" i="38"/>
  <c r="G13" i="38"/>
  <c r="E14" i="38"/>
  <c r="G14" i="38"/>
  <c r="E15" i="38"/>
  <c r="G15" i="38"/>
  <c r="E16" i="38"/>
  <c r="G16" i="38"/>
  <c r="G4" i="38"/>
  <c r="F4" i="38"/>
  <c r="E4" i="38"/>
  <c r="M3" i="37"/>
  <c r="C37" i="13" s="1"/>
  <c r="J6" i="37"/>
  <c r="J5" i="37"/>
  <c r="J3" i="37" a="1"/>
  <c r="J3" i="37" s="1"/>
  <c r="D37" i="13" s="1"/>
  <c r="E5" i="37"/>
  <c r="G5" i="37"/>
  <c r="E6" i="37"/>
  <c r="G6" i="37"/>
  <c r="E7" i="37"/>
  <c r="G7" i="37"/>
  <c r="E8" i="37"/>
  <c r="G8" i="37"/>
  <c r="E9" i="37"/>
  <c r="G9" i="37"/>
  <c r="E10" i="37"/>
  <c r="G10" i="37"/>
  <c r="E11" i="37"/>
  <c r="G11" i="37"/>
  <c r="E12" i="37"/>
  <c r="G12" i="37"/>
  <c r="E13" i="37"/>
  <c r="G13" i="37"/>
  <c r="E14" i="37"/>
  <c r="G14" i="37"/>
  <c r="E15" i="37"/>
  <c r="G15" i="37"/>
  <c r="G4" i="37"/>
  <c r="F4" i="37"/>
  <c r="E4" i="37"/>
  <c r="M3" i="35"/>
  <c r="C35" i="13" s="1"/>
  <c r="J6" i="35"/>
  <c r="J5" i="35"/>
  <c r="E5" i="35"/>
  <c r="G5" i="35"/>
  <c r="E6" i="35"/>
  <c r="G6" i="35"/>
  <c r="E7" i="35"/>
  <c r="G7" i="35"/>
  <c r="E8" i="35"/>
  <c r="G8" i="35"/>
  <c r="E9" i="35"/>
  <c r="G9" i="35"/>
  <c r="E10" i="35"/>
  <c r="G10" i="35"/>
  <c r="E11" i="35"/>
  <c r="G11" i="35"/>
  <c r="E12" i="35"/>
  <c r="G12" i="35"/>
  <c r="E13" i="35"/>
  <c r="G13" i="35"/>
  <c r="E14" i="35"/>
  <c r="G14" i="35"/>
  <c r="E15" i="35"/>
  <c r="G15" i="35"/>
  <c r="G4" i="35"/>
  <c r="F4" i="35"/>
  <c r="E4" i="35"/>
  <c r="M3" i="34"/>
  <c r="C34" i="13" s="1"/>
  <c r="J6" i="34"/>
  <c r="J5" i="34"/>
  <c r="E5" i="34"/>
  <c r="G5" i="34"/>
  <c r="E6" i="34"/>
  <c r="G6" i="34"/>
  <c r="E7" i="34"/>
  <c r="G7" i="34"/>
  <c r="E8" i="34"/>
  <c r="G8" i="34"/>
  <c r="E9" i="34"/>
  <c r="G9" i="34"/>
  <c r="E10" i="34"/>
  <c r="G10" i="34"/>
  <c r="E11" i="34"/>
  <c r="G11" i="34"/>
  <c r="E12" i="34"/>
  <c r="G12" i="34"/>
  <c r="E13" i="34"/>
  <c r="G13" i="34"/>
  <c r="E14" i="34"/>
  <c r="G14" i="34"/>
  <c r="E15" i="34"/>
  <c r="G15" i="34"/>
  <c r="G4" i="34"/>
  <c r="F4" i="34"/>
  <c r="E4" i="34"/>
  <c r="B33" i="13"/>
  <c r="B32" i="13"/>
  <c r="B31" i="13"/>
  <c r="B30" i="13"/>
  <c r="B29" i="13"/>
  <c r="B28" i="13"/>
  <c r="B27" i="13"/>
  <c r="B26" i="13"/>
  <c r="B25" i="13"/>
  <c r="B24" i="13"/>
  <c r="M3" i="33"/>
  <c r="C33" i="13" s="1"/>
  <c r="J6" i="33"/>
  <c r="J5" i="33"/>
  <c r="E11" i="33"/>
  <c r="E5" i="33"/>
  <c r="G5" i="33"/>
  <c r="E6" i="33"/>
  <c r="G6" i="33"/>
  <c r="E7" i="33"/>
  <c r="G7" i="33"/>
  <c r="E8" i="33"/>
  <c r="G8" i="33"/>
  <c r="E9" i="33"/>
  <c r="G9" i="33"/>
  <c r="E10" i="33"/>
  <c r="G10" i="33"/>
  <c r="G11" i="33"/>
  <c r="E12" i="33"/>
  <c r="G12" i="33"/>
  <c r="E13" i="33"/>
  <c r="G13" i="33"/>
  <c r="E14" i="33"/>
  <c r="G14" i="33"/>
  <c r="E15" i="33"/>
  <c r="G15" i="33"/>
  <c r="G4" i="33"/>
  <c r="F4" i="33"/>
  <c r="E4" i="33"/>
  <c r="M3" i="32"/>
  <c r="C32" i="13" s="1"/>
  <c r="J6" i="32"/>
  <c r="J5" i="32"/>
  <c r="J3" i="32" a="1"/>
  <c r="J3" i="32" s="1"/>
  <c r="D32" i="13" s="1"/>
  <c r="E5" i="32"/>
  <c r="G5" i="32"/>
  <c r="E6" i="32"/>
  <c r="G6" i="32"/>
  <c r="E7" i="32"/>
  <c r="G7" i="32"/>
  <c r="E8" i="32"/>
  <c r="G8" i="32"/>
  <c r="E9" i="32"/>
  <c r="G9" i="32"/>
  <c r="E10" i="32"/>
  <c r="G10" i="32"/>
  <c r="E11" i="32"/>
  <c r="G11" i="32"/>
  <c r="E12" i="32"/>
  <c r="G12" i="32"/>
  <c r="E13" i="32"/>
  <c r="G13" i="32"/>
  <c r="E14" i="32"/>
  <c r="G14" i="32"/>
  <c r="E15" i="32"/>
  <c r="G15" i="32"/>
  <c r="E16" i="32"/>
  <c r="G16" i="32"/>
  <c r="E17" i="32"/>
  <c r="G17" i="32"/>
  <c r="E18" i="32"/>
  <c r="G18" i="32"/>
  <c r="G19" i="32"/>
  <c r="G4" i="32"/>
  <c r="F4" i="32"/>
  <c r="M3" i="31"/>
  <c r="C31" i="13" s="1"/>
  <c r="J6" i="31"/>
  <c r="J5" i="31"/>
  <c r="E5" i="31"/>
  <c r="G5" i="31"/>
  <c r="E6" i="31"/>
  <c r="G6" i="31"/>
  <c r="E7" i="31"/>
  <c r="G7" i="31"/>
  <c r="E8" i="31"/>
  <c r="G8" i="31"/>
  <c r="E9" i="31"/>
  <c r="G9" i="31"/>
  <c r="E10" i="31"/>
  <c r="G10" i="31"/>
  <c r="E11" i="31"/>
  <c r="G11" i="31"/>
  <c r="E12" i="31"/>
  <c r="G12" i="31"/>
  <c r="E13" i="31"/>
  <c r="G13" i="31"/>
  <c r="E14" i="31"/>
  <c r="G14" i="31"/>
  <c r="E15" i="31"/>
  <c r="G15" i="31"/>
  <c r="E16" i="31"/>
  <c r="G16" i="31"/>
  <c r="E17" i="31"/>
  <c r="G17" i="31"/>
  <c r="E18" i="31"/>
  <c r="G18" i="31"/>
  <c r="E19" i="31"/>
  <c r="G19" i="31"/>
  <c r="G4" i="31"/>
  <c r="F4" i="31"/>
  <c r="E4" i="31"/>
  <c r="M3" i="30"/>
  <c r="C30" i="13" s="1"/>
  <c r="J6" i="30"/>
  <c r="J5" i="30"/>
  <c r="E5" i="30"/>
  <c r="G5" i="30"/>
  <c r="E6" i="30"/>
  <c r="G6" i="30"/>
  <c r="E7" i="30"/>
  <c r="G7" i="30"/>
  <c r="E8" i="30"/>
  <c r="G8" i="30"/>
  <c r="E9" i="30"/>
  <c r="G9" i="30"/>
  <c r="E10" i="30"/>
  <c r="G10" i="30"/>
  <c r="E11" i="30"/>
  <c r="G11" i="30"/>
  <c r="E12" i="30"/>
  <c r="G12" i="30"/>
  <c r="E13" i="30"/>
  <c r="G13" i="30"/>
  <c r="E14" i="30"/>
  <c r="G14" i="30"/>
  <c r="E15" i="30"/>
  <c r="G15" i="30"/>
  <c r="E16" i="30"/>
  <c r="G16" i="30"/>
  <c r="E17" i="30"/>
  <c r="G17" i="30"/>
  <c r="E18" i="30"/>
  <c r="G18" i="30"/>
  <c r="E19" i="30"/>
  <c r="G19" i="30"/>
  <c r="G4" i="30"/>
  <c r="F4" i="30"/>
  <c r="E4" i="30"/>
  <c r="M3" i="29"/>
  <c r="C29" i="13" s="1"/>
  <c r="J6" i="29"/>
  <c r="J5" i="29"/>
  <c r="E5" i="29"/>
  <c r="G5" i="29"/>
  <c r="E6" i="29"/>
  <c r="G6" i="29"/>
  <c r="E7" i="29"/>
  <c r="G7" i="29"/>
  <c r="E8" i="29"/>
  <c r="G8" i="29"/>
  <c r="E9" i="29"/>
  <c r="G9" i="29"/>
  <c r="E10" i="29"/>
  <c r="G10" i="29"/>
  <c r="E11" i="29"/>
  <c r="G11" i="29"/>
  <c r="E12" i="29"/>
  <c r="G12" i="29"/>
  <c r="E13" i="29"/>
  <c r="G13" i="29"/>
  <c r="E14" i="29"/>
  <c r="G14" i="29"/>
  <c r="E15" i="29"/>
  <c r="G15" i="29"/>
  <c r="E16" i="29"/>
  <c r="G16" i="29"/>
  <c r="E17" i="29"/>
  <c r="G17" i="29"/>
  <c r="E18" i="29"/>
  <c r="G18" i="29"/>
  <c r="E19" i="29"/>
  <c r="G19" i="29"/>
  <c r="G4" i="29"/>
  <c r="F4" i="29"/>
  <c r="E4" i="29"/>
  <c r="M3" i="28"/>
  <c r="C28" i="13" s="1"/>
  <c r="J5" i="28"/>
  <c r="E19" i="28"/>
  <c r="E5" i="28"/>
  <c r="G5" i="28"/>
  <c r="E6" i="28"/>
  <c r="G6" i="28"/>
  <c r="E7" i="28"/>
  <c r="G7" i="28"/>
  <c r="E8" i="28"/>
  <c r="G8" i="28"/>
  <c r="E9" i="28"/>
  <c r="G9" i="28"/>
  <c r="E10" i="28"/>
  <c r="G10" i="28"/>
  <c r="E11" i="28"/>
  <c r="G11" i="28"/>
  <c r="E12" i="28"/>
  <c r="G12" i="28"/>
  <c r="E13" i="28"/>
  <c r="G13" i="28"/>
  <c r="E14" i="28"/>
  <c r="G14" i="28"/>
  <c r="E15" i="28"/>
  <c r="G15" i="28"/>
  <c r="E16" i="28"/>
  <c r="G16" i="28"/>
  <c r="E17" i="28"/>
  <c r="G17" i="28"/>
  <c r="E18" i="28"/>
  <c r="G18" i="28"/>
  <c r="G19" i="28"/>
  <c r="G4" i="28"/>
  <c r="F4" i="28"/>
  <c r="E4" i="28"/>
  <c r="M3" i="27"/>
  <c r="C27" i="13" s="1"/>
  <c r="J6" i="27"/>
  <c r="J5" i="27"/>
  <c r="E5" i="27"/>
  <c r="G5" i="27"/>
  <c r="E6" i="27"/>
  <c r="G6" i="27"/>
  <c r="E7" i="27"/>
  <c r="G7" i="27"/>
  <c r="E8" i="27"/>
  <c r="G8" i="27"/>
  <c r="E9" i="27"/>
  <c r="G9" i="27"/>
  <c r="E10" i="27"/>
  <c r="G10" i="27"/>
  <c r="E11" i="27"/>
  <c r="G11" i="27"/>
  <c r="E12" i="27"/>
  <c r="G12" i="27"/>
  <c r="E13" i="27"/>
  <c r="G13" i="27"/>
  <c r="E14" i="27"/>
  <c r="G14" i="27"/>
  <c r="E15" i="27"/>
  <c r="G15" i="27"/>
  <c r="E16" i="27"/>
  <c r="G16" i="27"/>
  <c r="E17" i="27"/>
  <c r="G17" i="27"/>
  <c r="E18" i="27"/>
  <c r="G18" i="27"/>
  <c r="E19" i="27"/>
  <c r="G19" i="27"/>
  <c r="E20" i="27"/>
  <c r="G20" i="27"/>
  <c r="G4" i="27"/>
  <c r="F4" i="27"/>
  <c r="E4" i="27"/>
  <c r="M3" i="26"/>
  <c r="C26" i="13" s="1"/>
  <c r="J6" i="26"/>
  <c r="E15" i="26"/>
  <c r="E5" i="26"/>
  <c r="G5" i="26"/>
  <c r="E6" i="26"/>
  <c r="G6" i="26"/>
  <c r="E7" i="26"/>
  <c r="G7" i="26"/>
  <c r="E8" i="26"/>
  <c r="G8" i="26"/>
  <c r="E9" i="26"/>
  <c r="G9" i="26"/>
  <c r="E10" i="26"/>
  <c r="G10" i="26"/>
  <c r="E11" i="26"/>
  <c r="G11" i="26"/>
  <c r="E12" i="26"/>
  <c r="G12" i="26"/>
  <c r="E13" i="26"/>
  <c r="G13" i="26"/>
  <c r="E14" i="26"/>
  <c r="G14" i="26"/>
  <c r="G15" i="26"/>
  <c r="E16" i="26"/>
  <c r="G16" i="26"/>
  <c r="E17" i="26"/>
  <c r="G17" i="26"/>
  <c r="E18" i="26"/>
  <c r="G18" i="26"/>
  <c r="E19" i="26"/>
  <c r="G19" i="26"/>
  <c r="E20" i="26"/>
  <c r="G20" i="26"/>
  <c r="G4" i="26"/>
  <c r="F4" i="26"/>
  <c r="E4" i="26"/>
  <c r="M3" i="25"/>
  <c r="C25" i="13" s="1"/>
  <c r="J6" i="25"/>
  <c r="J5" i="25"/>
  <c r="E5" i="25"/>
  <c r="G5" i="25"/>
  <c r="E6" i="25"/>
  <c r="G6" i="25"/>
  <c r="E7" i="25"/>
  <c r="G7" i="25"/>
  <c r="E8" i="25"/>
  <c r="G8" i="25"/>
  <c r="E9" i="25"/>
  <c r="G9" i="25"/>
  <c r="E10" i="25"/>
  <c r="G10" i="25"/>
  <c r="E11" i="25"/>
  <c r="G11" i="25"/>
  <c r="E12" i="25"/>
  <c r="G12" i="25"/>
  <c r="E13" i="25"/>
  <c r="G13" i="25"/>
  <c r="E14" i="25"/>
  <c r="G14" i="25"/>
  <c r="E15" i="25"/>
  <c r="G15" i="25"/>
  <c r="E16" i="25"/>
  <c r="G16" i="25"/>
  <c r="E17" i="25"/>
  <c r="G17" i="25"/>
  <c r="E18" i="25"/>
  <c r="G18" i="25"/>
  <c r="E19" i="25"/>
  <c r="G19" i="25"/>
  <c r="E20" i="25"/>
  <c r="G20" i="25"/>
  <c r="E4" i="25"/>
  <c r="G4" i="25"/>
  <c r="F4" i="25"/>
  <c r="J5" i="24"/>
  <c r="E21" i="23"/>
  <c r="G21" i="23"/>
  <c r="E21" i="22"/>
  <c r="G21" i="22"/>
  <c r="J5" i="21"/>
  <c r="E21" i="21"/>
  <c r="G21" i="21"/>
  <c r="E22" i="20"/>
  <c r="G22" i="20"/>
  <c r="E22" i="19"/>
  <c r="G22" i="19"/>
  <c r="E22" i="18"/>
  <c r="G22" i="18"/>
  <c r="J6" i="16"/>
  <c r="E24" i="16"/>
  <c r="G24" i="16"/>
  <c r="E24" i="15"/>
  <c r="G24" i="15"/>
  <c r="E25" i="14"/>
  <c r="G25" i="14"/>
  <c r="E26" i="12"/>
  <c r="G26" i="12"/>
  <c r="E27" i="11"/>
  <c r="G27" i="11"/>
  <c r="E33" i="10"/>
  <c r="G33" i="10"/>
  <c r="E34" i="9"/>
  <c r="G34" i="9"/>
  <c r="E34" i="8"/>
  <c r="G34" i="8"/>
  <c r="E34" i="7"/>
  <c r="G34" i="7"/>
  <c r="E36" i="6"/>
  <c r="G36" i="6"/>
  <c r="E37" i="5"/>
  <c r="G37" i="5"/>
  <c r="E36" i="4"/>
  <c r="G36" i="4"/>
  <c r="E19" i="2"/>
  <c r="G19" i="2"/>
  <c r="M3" i="1"/>
  <c r="C2" i="13" s="1"/>
  <c r="J6" i="1"/>
  <c r="J5" i="1"/>
  <c r="M3" i="24"/>
  <c r="C24" i="13" s="1"/>
  <c r="J6" i="24"/>
  <c r="E5" i="24"/>
  <c r="G5" i="24"/>
  <c r="E6" i="24"/>
  <c r="G6" i="24"/>
  <c r="E7" i="24"/>
  <c r="G7" i="24"/>
  <c r="E8" i="24"/>
  <c r="G8" i="24"/>
  <c r="E9" i="24"/>
  <c r="G9" i="24"/>
  <c r="E10" i="24"/>
  <c r="G10" i="24"/>
  <c r="E11" i="24"/>
  <c r="G11" i="24"/>
  <c r="E12" i="24"/>
  <c r="G12" i="24"/>
  <c r="E13" i="24"/>
  <c r="G13" i="24"/>
  <c r="E14" i="24"/>
  <c r="G14" i="24"/>
  <c r="E15" i="24"/>
  <c r="G15" i="24"/>
  <c r="E16" i="24"/>
  <c r="G16" i="24"/>
  <c r="E17" i="24"/>
  <c r="G17" i="24"/>
  <c r="E18" i="24"/>
  <c r="G18" i="24"/>
  <c r="E19" i="24"/>
  <c r="G19" i="24"/>
  <c r="G4" i="24"/>
  <c r="F4" i="24"/>
  <c r="B23" i="13"/>
  <c r="B22" i="13"/>
  <c r="B21" i="13"/>
  <c r="B20" i="13"/>
  <c r="B19" i="13"/>
  <c r="B17" i="13"/>
  <c r="B18" i="13"/>
  <c r="B16" i="13"/>
  <c r="M3" i="23"/>
  <c r="C23" i="13" s="1"/>
  <c r="J6" i="23"/>
  <c r="J5" i="23"/>
  <c r="J3" i="23" a="1"/>
  <c r="J3" i="23" s="1"/>
  <c r="D23" i="13" s="1"/>
  <c r="M3" i="22"/>
  <c r="C22" i="13" s="1"/>
  <c r="J6" i="22"/>
  <c r="J5" i="22"/>
  <c r="J3" i="22" a="1"/>
  <c r="J3" i="22" s="1"/>
  <c r="D22" i="13" s="1"/>
  <c r="M3" i="21"/>
  <c r="C21" i="13" s="1"/>
  <c r="J6" i="21"/>
  <c r="M3" i="20"/>
  <c r="C20" i="13" s="1"/>
  <c r="J6" i="20"/>
  <c r="J5" i="20"/>
  <c r="M3" i="19"/>
  <c r="C19" i="13" s="1"/>
  <c r="J6" i="19"/>
  <c r="J5" i="19"/>
  <c r="M3" i="18"/>
  <c r="C18" i="13" s="1"/>
  <c r="J6" i="18"/>
  <c r="J5" i="18"/>
  <c r="M3" i="16"/>
  <c r="C16" i="13" s="1"/>
  <c r="J5" i="16"/>
  <c r="E5" i="23"/>
  <c r="G5" i="23"/>
  <c r="E6" i="23"/>
  <c r="G6" i="23"/>
  <c r="E7" i="23"/>
  <c r="G7" i="23"/>
  <c r="E8" i="23"/>
  <c r="G8" i="23"/>
  <c r="E9" i="23"/>
  <c r="G9" i="23"/>
  <c r="E10" i="23"/>
  <c r="G10" i="23"/>
  <c r="E11" i="23"/>
  <c r="G11" i="23"/>
  <c r="E12" i="23"/>
  <c r="G12" i="23"/>
  <c r="E13" i="23"/>
  <c r="G13" i="23"/>
  <c r="E14" i="23"/>
  <c r="G14" i="23"/>
  <c r="E15" i="23"/>
  <c r="G15" i="23"/>
  <c r="E16" i="23"/>
  <c r="G16" i="23"/>
  <c r="E17" i="23"/>
  <c r="G17" i="23"/>
  <c r="E18" i="23"/>
  <c r="G18" i="23"/>
  <c r="E19" i="23"/>
  <c r="G19" i="23"/>
  <c r="E20" i="23"/>
  <c r="G20" i="23"/>
  <c r="G4" i="23"/>
  <c r="F4" i="23"/>
  <c r="E4" i="23"/>
  <c r="E5" i="22"/>
  <c r="G5" i="22"/>
  <c r="E6" i="22"/>
  <c r="G6" i="22"/>
  <c r="E7" i="22"/>
  <c r="G7" i="22"/>
  <c r="E8" i="22"/>
  <c r="G8" i="22"/>
  <c r="E9" i="22"/>
  <c r="G9" i="22"/>
  <c r="E10" i="22"/>
  <c r="G10" i="22"/>
  <c r="E11" i="22"/>
  <c r="G11" i="22"/>
  <c r="E12" i="22"/>
  <c r="G12" i="22"/>
  <c r="E13" i="22"/>
  <c r="G13" i="22"/>
  <c r="E14" i="22"/>
  <c r="G14" i="22"/>
  <c r="E15" i="22"/>
  <c r="G15" i="22"/>
  <c r="E16" i="22"/>
  <c r="G16" i="22"/>
  <c r="E17" i="22"/>
  <c r="G17" i="22"/>
  <c r="E18" i="22"/>
  <c r="G18" i="22"/>
  <c r="E19" i="22"/>
  <c r="G19" i="22"/>
  <c r="E20" i="22"/>
  <c r="G20" i="22"/>
  <c r="G4" i="22"/>
  <c r="F4" i="22"/>
  <c r="E4" i="22"/>
  <c r="E5" i="21"/>
  <c r="G5" i="21"/>
  <c r="E6" i="21"/>
  <c r="G6" i="21"/>
  <c r="E7" i="21"/>
  <c r="G7" i="21"/>
  <c r="E8" i="21"/>
  <c r="G8" i="21"/>
  <c r="E9" i="21"/>
  <c r="G9" i="21"/>
  <c r="E10" i="21"/>
  <c r="G10" i="21"/>
  <c r="E11" i="21"/>
  <c r="G11" i="21"/>
  <c r="E12" i="21"/>
  <c r="G12" i="21"/>
  <c r="E13" i="21"/>
  <c r="G13" i="21"/>
  <c r="E14" i="21"/>
  <c r="G14" i="21"/>
  <c r="E15" i="21"/>
  <c r="G15" i="21"/>
  <c r="E16" i="21"/>
  <c r="G16" i="21"/>
  <c r="E17" i="21"/>
  <c r="G17" i="21"/>
  <c r="E18" i="21"/>
  <c r="G18" i="21"/>
  <c r="E19" i="21"/>
  <c r="G19" i="21"/>
  <c r="E20" i="21"/>
  <c r="G20" i="21"/>
  <c r="G4" i="21"/>
  <c r="F4" i="21"/>
  <c r="E4" i="21"/>
  <c r="E5" i="20"/>
  <c r="G5" i="20"/>
  <c r="E6" i="20"/>
  <c r="G6" i="20"/>
  <c r="E7" i="20"/>
  <c r="G7" i="20"/>
  <c r="E8" i="20"/>
  <c r="G8" i="20"/>
  <c r="E9" i="20"/>
  <c r="G9" i="20"/>
  <c r="E10" i="20"/>
  <c r="G10" i="20"/>
  <c r="E11" i="20"/>
  <c r="G11" i="20"/>
  <c r="E12" i="20"/>
  <c r="G12" i="20"/>
  <c r="E13" i="20"/>
  <c r="G13" i="20"/>
  <c r="E14" i="20"/>
  <c r="G14" i="20"/>
  <c r="E15" i="20"/>
  <c r="G15" i="20"/>
  <c r="E16" i="20"/>
  <c r="G16" i="20"/>
  <c r="E17" i="20"/>
  <c r="G17" i="20"/>
  <c r="E18" i="20"/>
  <c r="G18" i="20"/>
  <c r="E19" i="20"/>
  <c r="G19" i="20"/>
  <c r="E20" i="20"/>
  <c r="G20" i="20"/>
  <c r="E21" i="20"/>
  <c r="G21" i="20"/>
  <c r="G4" i="20"/>
  <c r="F4" i="20"/>
  <c r="E4" i="20"/>
  <c r="E5" i="19"/>
  <c r="G5" i="19"/>
  <c r="E6" i="19"/>
  <c r="G6" i="19"/>
  <c r="E7" i="19"/>
  <c r="G7" i="19"/>
  <c r="E8" i="19"/>
  <c r="G8" i="19"/>
  <c r="E9" i="19"/>
  <c r="G9" i="19"/>
  <c r="E10" i="19"/>
  <c r="G10" i="19"/>
  <c r="E11" i="19"/>
  <c r="G11" i="19"/>
  <c r="E12" i="19"/>
  <c r="G12" i="19"/>
  <c r="E13" i="19"/>
  <c r="G13" i="19"/>
  <c r="E14" i="19"/>
  <c r="G14" i="19"/>
  <c r="E15" i="19"/>
  <c r="G15" i="19"/>
  <c r="E16" i="19"/>
  <c r="G16" i="19"/>
  <c r="E17" i="19"/>
  <c r="G17" i="19"/>
  <c r="E18" i="19"/>
  <c r="G18" i="19"/>
  <c r="E19" i="19"/>
  <c r="G19" i="19"/>
  <c r="E20" i="19"/>
  <c r="G20" i="19"/>
  <c r="E21" i="19"/>
  <c r="G21" i="19"/>
  <c r="G4" i="19"/>
  <c r="F4" i="19"/>
  <c r="E5" i="18"/>
  <c r="F5" i="18"/>
  <c r="G5" i="18"/>
  <c r="E6" i="18"/>
  <c r="F6" i="18"/>
  <c r="G6" i="18"/>
  <c r="E7" i="18"/>
  <c r="F7" i="18"/>
  <c r="G7" i="18"/>
  <c r="E8" i="18"/>
  <c r="F8" i="18"/>
  <c r="G8" i="18"/>
  <c r="E9" i="18"/>
  <c r="F9" i="18"/>
  <c r="G9" i="18"/>
  <c r="E10" i="18"/>
  <c r="F10" i="18"/>
  <c r="G10" i="18"/>
  <c r="E11" i="18"/>
  <c r="F11" i="18"/>
  <c r="G11" i="18"/>
  <c r="E12" i="18"/>
  <c r="F12" i="18"/>
  <c r="G12" i="18"/>
  <c r="E13" i="18"/>
  <c r="F13" i="18"/>
  <c r="G13" i="18"/>
  <c r="E14" i="18"/>
  <c r="F14" i="18"/>
  <c r="G14" i="18"/>
  <c r="E15" i="18"/>
  <c r="F15" i="18"/>
  <c r="G15" i="18"/>
  <c r="E16" i="18"/>
  <c r="F16" i="18"/>
  <c r="G16" i="18"/>
  <c r="E17" i="18"/>
  <c r="F17" i="18"/>
  <c r="G17" i="18"/>
  <c r="E18" i="18"/>
  <c r="F18" i="18"/>
  <c r="G18" i="18"/>
  <c r="E19" i="18"/>
  <c r="F19" i="18"/>
  <c r="G19" i="18"/>
  <c r="E20" i="18"/>
  <c r="F20" i="18"/>
  <c r="G20" i="18"/>
  <c r="E21" i="18"/>
  <c r="G21" i="18"/>
  <c r="E4" i="18"/>
  <c r="F4" i="18"/>
  <c r="G4" i="18"/>
  <c r="E5" i="16"/>
  <c r="F5" i="16"/>
  <c r="G5" i="16"/>
  <c r="E6" i="16"/>
  <c r="F6" i="16"/>
  <c r="G6" i="16"/>
  <c r="E7" i="16"/>
  <c r="F7" i="16"/>
  <c r="G7" i="16"/>
  <c r="E8" i="16"/>
  <c r="F8" i="16"/>
  <c r="G8" i="16"/>
  <c r="E9" i="16"/>
  <c r="F9" i="16"/>
  <c r="G9" i="16"/>
  <c r="E10" i="16"/>
  <c r="F10" i="16"/>
  <c r="G10" i="16"/>
  <c r="E11" i="16"/>
  <c r="F11" i="16"/>
  <c r="G11" i="16"/>
  <c r="E12" i="16"/>
  <c r="F12" i="16"/>
  <c r="G12" i="16"/>
  <c r="E13" i="16"/>
  <c r="F13" i="16"/>
  <c r="G13" i="16"/>
  <c r="E14" i="16"/>
  <c r="F14" i="16"/>
  <c r="G14" i="16"/>
  <c r="E15" i="16"/>
  <c r="F15" i="16"/>
  <c r="G15" i="16"/>
  <c r="E16" i="16"/>
  <c r="F16" i="16"/>
  <c r="G16" i="16"/>
  <c r="E17" i="16"/>
  <c r="F17" i="16"/>
  <c r="G17" i="16"/>
  <c r="E18" i="16"/>
  <c r="F18" i="16"/>
  <c r="G18" i="16"/>
  <c r="E19" i="16"/>
  <c r="F19" i="16"/>
  <c r="G19" i="16"/>
  <c r="E20" i="16"/>
  <c r="F20" i="16"/>
  <c r="G20" i="16"/>
  <c r="E21" i="16"/>
  <c r="F21" i="16"/>
  <c r="G21" i="16"/>
  <c r="E22" i="16"/>
  <c r="F22" i="16"/>
  <c r="G22" i="16"/>
  <c r="E23" i="16"/>
  <c r="G23" i="16"/>
  <c r="C4" i="13"/>
  <c r="G9" i="4"/>
  <c r="E4" i="13"/>
  <c r="B14" i="13"/>
  <c r="B13" i="13"/>
  <c r="G4" i="16"/>
  <c r="F4" i="16"/>
  <c r="E4" i="16"/>
  <c r="M3" i="15"/>
  <c r="C15" i="13" s="1"/>
  <c r="J6" i="15"/>
  <c r="J5" i="15"/>
  <c r="E5" i="15"/>
  <c r="G5" i="15"/>
  <c r="E6" i="15"/>
  <c r="G6" i="15"/>
  <c r="E7" i="15"/>
  <c r="G7" i="15"/>
  <c r="E8" i="15"/>
  <c r="G8" i="15"/>
  <c r="E9" i="15"/>
  <c r="G9" i="15"/>
  <c r="E10" i="15"/>
  <c r="G10" i="15"/>
  <c r="E11" i="15"/>
  <c r="G11" i="15"/>
  <c r="E12" i="15"/>
  <c r="G12" i="15"/>
  <c r="E13" i="15"/>
  <c r="G13" i="15"/>
  <c r="E14" i="15"/>
  <c r="G14" i="15"/>
  <c r="E15" i="15"/>
  <c r="G15" i="15"/>
  <c r="E16" i="15"/>
  <c r="G16" i="15"/>
  <c r="E17" i="15"/>
  <c r="G17" i="15"/>
  <c r="E18" i="15"/>
  <c r="G18" i="15"/>
  <c r="E19" i="15"/>
  <c r="G19" i="15"/>
  <c r="E20" i="15"/>
  <c r="G20" i="15"/>
  <c r="E21" i="15"/>
  <c r="G21" i="15"/>
  <c r="E22" i="15"/>
  <c r="G22" i="15"/>
  <c r="E23" i="15"/>
  <c r="G23" i="15"/>
  <c r="G4" i="15"/>
  <c r="F4" i="15"/>
  <c r="E4" i="15"/>
  <c r="M3" i="14"/>
  <c r="C14" i="13" s="1"/>
  <c r="J5" i="14"/>
  <c r="J6" i="14"/>
  <c r="E5" i="14"/>
  <c r="G5" i="14"/>
  <c r="E6" i="14"/>
  <c r="G6" i="14"/>
  <c r="E7" i="14"/>
  <c r="G7" i="14"/>
  <c r="E8" i="14"/>
  <c r="G8" i="14"/>
  <c r="E9" i="14"/>
  <c r="G9" i="14"/>
  <c r="E10" i="14"/>
  <c r="G10" i="14"/>
  <c r="E11" i="14"/>
  <c r="G11" i="14"/>
  <c r="E12" i="14"/>
  <c r="G12" i="14"/>
  <c r="E13" i="14"/>
  <c r="G13" i="14"/>
  <c r="E14" i="14"/>
  <c r="G14" i="14"/>
  <c r="E15" i="14"/>
  <c r="G15" i="14"/>
  <c r="E16" i="14"/>
  <c r="G16" i="14"/>
  <c r="E17" i="14"/>
  <c r="G17" i="14"/>
  <c r="E18" i="14"/>
  <c r="G18" i="14"/>
  <c r="E19" i="14"/>
  <c r="G19" i="14"/>
  <c r="E20" i="14"/>
  <c r="G20" i="14"/>
  <c r="E21" i="14"/>
  <c r="G21" i="14"/>
  <c r="E22" i="14"/>
  <c r="G22" i="14"/>
  <c r="E23" i="14"/>
  <c r="G23" i="14"/>
  <c r="E24" i="14"/>
  <c r="G24" i="14"/>
  <c r="G4" i="14"/>
  <c r="F4" i="14"/>
  <c r="E4" i="14"/>
  <c r="F4" i="12"/>
  <c r="J6" i="12"/>
  <c r="J5" i="12"/>
  <c r="M3" i="12"/>
  <c r="C13" i="13" s="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4" i="12"/>
  <c r="G4" i="11"/>
  <c r="F4" i="11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4" i="12"/>
  <c r="B12" i="13"/>
  <c r="B11" i="13"/>
  <c r="B10" i="13"/>
  <c r="B9" i="13"/>
  <c r="B8" i="13"/>
  <c r="B7" i="13"/>
  <c r="B6" i="13"/>
  <c r="B5" i="13"/>
  <c r="B4" i="13"/>
  <c r="B3" i="13"/>
  <c r="B2" i="13"/>
  <c r="M3" i="11"/>
  <c r="C12" i="13" s="1"/>
  <c r="M3" i="10"/>
  <c r="C11" i="13" s="1"/>
  <c r="M3" i="9"/>
  <c r="C10" i="13" s="1"/>
  <c r="M3" i="8"/>
  <c r="C9" i="13" s="1"/>
  <c r="M3" i="7"/>
  <c r="C8" i="13" s="1"/>
  <c r="M3" i="6"/>
  <c r="C7" i="13" s="1"/>
  <c r="M3" i="5"/>
  <c r="C6" i="13" s="1"/>
  <c r="M3" i="4"/>
  <c r="C5" i="13" s="1"/>
  <c r="M3" i="2"/>
  <c r="C3" i="13" s="1"/>
  <c r="F4" i="10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4" i="6"/>
  <c r="F6" i="5"/>
  <c r="F23" i="5"/>
  <c r="F35" i="5"/>
  <c r="F34" i="5"/>
  <c r="F33" i="5"/>
  <c r="F32" i="5"/>
  <c r="F31" i="5"/>
  <c r="F30" i="5"/>
  <c r="F29" i="5"/>
  <c r="F28" i="5"/>
  <c r="F27" i="5"/>
  <c r="F26" i="5"/>
  <c r="F25" i="5"/>
  <c r="F24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5" i="5"/>
  <c r="F4" i="5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J6" i="11"/>
  <c r="J5" i="11"/>
  <c r="J6" i="10"/>
  <c r="J5" i="10"/>
  <c r="J6" i="9"/>
  <c r="J5" i="9"/>
  <c r="J6" i="8"/>
  <c r="J5" i="8"/>
  <c r="J6" i="7"/>
  <c r="J5" i="7"/>
  <c r="J6" i="6"/>
  <c r="J5" i="6"/>
  <c r="J6" i="5"/>
  <c r="J5" i="5"/>
  <c r="J6" i="4"/>
  <c r="J5" i="4"/>
  <c r="J6" i="2"/>
  <c r="J5" i="2"/>
  <c r="E5" i="11"/>
  <c r="G5" i="11"/>
  <c r="E6" i="11"/>
  <c r="G6" i="11"/>
  <c r="E7" i="11"/>
  <c r="G7" i="11"/>
  <c r="E8" i="11"/>
  <c r="G8" i="11"/>
  <c r="E9" i="11"/>
  <c r="G9" i="11"/>
  <c r="E10" i="11"/>
  <c r="G10" i="11"/>
  <c r="E11" i="11"/>
  <c r="G11" i="11"/>
  <c r="E12" i="11"/>
  <c r="G12" i="11"/>
  <c r="E13" i="11"/>
  <c r="G13" i="11"/>
  <c r="E14" i="11"/>
  <c r="G14" i="11"/>
  <c r="E15" i="11"/>
  <c r="G15" i="11"/>
  <c r="E16" i="11"/>
  <c r="G16" i="11"/>
  <c r="E17" i="11"/>
  <c r="G17" i="11"/>
  <c r="E18" i="11"/>
  <c r="G18" i="11"/>
  <c r="E19" i="11"/>
  <c r="G19" i="11"/>
  <c r="E20" i="11"/>
  <c r="G20" i="11"/>
  <c r="E21" i="11"/>
  <c r="G21" i="11"/>
  <c r="E22" i="11"/>
  <c r="G22" i="11"/>
  <c r="E23" i="11"/>
  <c r="G23" i="11"/>
  <c r="E24" i="11"/>
  <c r="G24" i="11"/>
  <c r="E25" i="11"/>
  <c r="G25" i="11"/>
  <c r="E26" i="11"/>
  <c r="G26" i="11"/>
  <c r="E4" i="11"/>
  <c r="J3" i="11" s="1" a="1"/>
  <c r="J3" i="11" s="1"/>
  <c r="D12" i="13" s="1"/>
  <c r="E5" i="10"/>
  <c r="G5" i="10"/>
  <c r="E6" i="10"/>
  <c r="G6" i="10"/>
  <c r="E7" i="10"/>
  <c r="G7" i="10"/>
  <c r="E8" i="10"/>
  <c r="G8" i="10"/>
  <c r="E9" i="10"/>
  <c r="G9" i="10"/>
  <c r="E10" i="10"/>
  <c r="G10" i="10"/>
  <c r="E11" i="10"/>
  <c r="G11" i="10"/>
  <c r="E12" i="10"/>
  <c r="G12" i="10"/>
  <c r="E13" i="10"/>
  <c r="G13" i="10"/>
  <c r="E14" i="10"/>
  <c r="G14" i="10"/>
  <c r="E15" i="10"/>
  <c r="G15" i="10"/>
  <c r="E16" i="10"/>
  <c r="G16" i="10"/>
  <c r="E17" i="10"/>
  <c r="G17" i="10"/>
  <c r="E18" i="10"/>
  <c r="G18" i="10"/>
  <c r="E19" i="10"/>
  <c r="G19" i="10"/>
  <c r="E20" i="10"/>
  <c r="G20" i="10"/>
  <c r="E21" i="10"/>
  <c r="G21" i="10"/>
  <c r="E22" i="10"/>
  <c r="G22" i="10"/>
  <c r="E23" i="10"/>
  <c r="G23" i="10"/>
  <c r="E24" i="10"/>
  <c r="G24" i="10"/>
  <c r="E25" i="10"/>
  <c r="G25" i="10"/>
  <c r="E26" i="10"/>
  <c r="G26" i="10"/>
  <c r="E27" i="10"/>
  <c r="G27" i="10"/>
  <c r="E28" i="10"/>
  <c r="G28" i="10"/>
  <c r="E29" i="10"/>
  <c r="G29" i="10"/>
  <c r="E30" i="10"/>
  <c r="G30" i="10"/>
  <c r="E31" i="10"/>
  <c r="G31" i="10"/>
  <c r="E32" i="10"/>
  <c r="G32" i="10"/>
  <c r="G4" i="10"/>
  <c r="E4" i="10"/>
  <c r="E5" i="9"/>
  <c r="J3" i="9" s="1" a="1"/>
  <c r="J3" i="9" s="1"/>
  <c r="D10" i="13" s="1"/>
  <c r="G5" i="9"/>
  <c r="E6" i="9"/>
  <c r="G6" i="9"/>
  <c r="E7" i="9"/>
  <c r="G7" i="9"/>
  <c r="E8" i="9"/>
  <c r="G8" i="9"/>
  <c r="E9" i="9"/>
  <c r="G9" i="9"/>
  <c r="E10" i="9"/>
  <c r="G10" i="9"/>
  <c r="E11" i="9"/>
  <c r="G11" i="9"/>
  <c r="E12" i="9"/>
  <c r="G12" i="9"/>
  <c r="E13" i="9"/>
  <c r="G13" i="9"/>
  <c r="E14" i="9"/>
  <c r="G14" i="9"/>
  <c r="E15" i="9"/>
  <c r="G15" i="9"/>
  <c r="E16" i="9"/>
  <c r="G16" i="9"/>
  <c r="E17" i="9"/>
  <c r="G17" i="9"/>
  <c r="E18" i="9"/>
  <c r="G18" i="9"/>
  <c r="E19" i="9"/>
  <c r="G19" i="9"/>
  <c r="E20" i="9"/>
  <c r="G20" i="9"/>
  <c r="E21" i="9"/>
  <c r="G21" i="9"/>
  <c r="E22" i="9"/>
  <c r="G22" i="9"/>
  <c r="E23" i="9"/>
  <c r="G23" i="9"/>
  <c r="E24" i="9"/>
  <c r="G24" i="9"/>
  <c r="E25" i="9"/>
  <c r="G25" i="9"/>
  <c r="E26" i="9"/>
  <c r="G26" i="9"/>
  <c r="E27" i="9"/>
  <c r="G27" i="9"/>
  <c r="E28" i="9"/>
  <c r="G28" i="9"/>
  <c r="E29" i="9"/>
  <c r="G29" i="9"/>
  <c r="E30" i="9"/>
  <c r="G30" i="9"/>
  <c r="E31" i="9"/>
  <c r="G31" i="9"/>
  <c r="E32" i="9"/>
  <c r="G32" i="9"/>
  <c r="E33" i="9"/>
  <c r="G33" i="9"/>
  <c r="G4" i="9"/>
  <c r="E4" i="9"/>
  <c r="E4" i="8"/>
  <c r="E5" i="8"/>
  <c r="G5" i="8"/>
  <c r="E6" i="8"/>
  <c r="G6" i="8"/>
  <c r="E7" i="8"/>
  <c r="J3" i="8" s="1" a="1"/>
  <c r="J3" i="8" s="1"/>
  <c r="D9" i="13" s="1"/>
  <c r="G7" i="8"/>
  <c r="E8" i="8"/>
  <c r="G8" i="8"/>
  <c r="E9" i="8"/>
  <c r="G9" i="8"/>
  <c r="E10" i="8"/>
  <c r="G10" i="8"/>
  <c r="E11" i="8"/>
  <c r="G11" i="8"/>
  <c r="E12" i="8"/>
  <c r="G12" i="8"/>
  <c r="E13" i="8"/>
  <c r="G13" i="8"/>
  <c r="E14" i="8"/>
  <c r="G14" i="8"/>
  <c r="E15" i="8"/>
  <c r="G15" i="8"/>
  <c r="E16" i="8"/>
  <c r="G16" i="8"/>
  <c r="E17" i="8"/>
  <c r="G17" i="8"/>
  <c r="E18" i="8"/>
  <c r="G18" i="8"/>
  <c r="E19" i="8"/>
  <c r="G19" i="8"/>
  <c r="E20" i="8"/>
  <c r="G20" i="8"/>
  <c r="E21" i="8"/>
  <c r="G21" i="8"/>
  <c r="E22" i="8"/>
  <c r="G22" i="8"/>
  <c r="E23" i="8"/>
  <c r="G23" i="8"/>
  <c r="E24" i="8"/>
  <c r="G24" i="8"/>
  <c r="E25" i="8"/>
  <c r="G25" i="8"/>
  <c r="E26" i="8"/>
  <c r="G26" i="8"/>
  <c r="E27" i="8"/>
  <c r="G27" i="8"/>
  <c r="E28" i="8"/>
  <c r="G28" i="8"/>
  <c r="E29" i="8"/>
  <c r="G29" i="8"/>
  <c r="E30" i="8"/>
  <c r="G30" i="8"/>
  <c r="E31" i="8"/>
  <c r="G31" i="8"/>
  <c r="E32" i="8"/>
  <c r="G32" i="8"/>
  <c r="E33" i="8"/>
  <c r="G33" i="8"/>
  <c r="G4" i="8"/>
  <c r="E5" i="7"/>
  <c r="G5" i="7"/>
  <c r="E6" i="7"/>
  <c r="G6" i="7"/>
  <c r="E7" i="7"/>
  <c r="G7" i="7"/>
  <c r="E8" i="7"/>
  <c r="G8" i="7"/>
  <c r="E9" i="7"/>
  <c r="G9" i="7"/>
  <c r="E10" i="7"/>
  <c r="G10" i="7"/>
  <c r="E11" i="7"/>
  <c r="G11" i="7"/>
  <c r="E12" i="7"/>
  <c r="G12" i="7"/>
  <c r="E13" i="7"/>
  <c r="G13" i="7"/>
  <c r="E14" i="7"/>
  <c r="G14" i="7"/>
  <c r="E15" i="7"/>
  <c r="G15" i="7"/>
  <c r="E16" i="7"/>
  <c r="G16" i="7"/>
  <c r="E17" i="7"/>
  <c r="G17" i="7"/>
  <c r="E18" i="7"/>
  <c r="G18" i="7"/>
  <c r="E19" i="7"/>
  <c r="G19" i="7"/>
  <c r="E20" i="7"/>
  <c r="G20" i="7"/>
  <c r="E21" i="7"/>
  <c r="G21" i="7"/>
  <c r="E22" i="7"/>
  <c r="G22" i="7"/>
  <c r="E23" i="7"/>
  <c r="G23" i="7"/>
  <c r="E24" i="7"/>
  <c r="G24" i="7"/>
  <c r="E25" i="7"/>
  <c r="G25" i="7"/>
  <c r="E26" i="7"/>
  <c r="G26" i="7"/>
  <c r="E27" i="7"/>
  <c r="G27" i="7"/>
  <c r="E28" i="7"/>
  <c r="G28" i="7"/>
  <c r="E29" i="7"/>
  <c r="G29" i="7"/>
  <c r="E30" i="7"/>
  <c r="G30" i="7"/>
  <c r="E31" i="7"/>
  <c r="G31" i="7"/>
  <c r="E32" i="7"/>
  <c r="G32" i="7"/>
  <c r="E33" i="7"/>
  <c r="G33" i="7"/>
  <c r="E4" i="7"/>
  <c r="G4" i="7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8" i="6"/>
  <c r="E29" i="6"/>
  <c r="E30" i="6"/>
  <c r="E31" i="6"/>
  <c r="E32" i="6"/>
  <c r="E33" i="6"/>
  <c r="E34" i="6"/>
  <c r="E35" i="6"/>
  <c r="E4" i="6"/>
  <c r="G6" i="2"/>
  <c r="G5" i="2"/>
  <c r="G7" i="2"/>
  <c r="G8" i="2"/>
  <c r="G9" i="2"/>
  <c r="G10" i="2"/>
  <c r="G11" i="2"/>
  <c r="G12" i="2"/>
  <c r="G13" i="2"/>
  <c r="G14" i="2"/>
  <c r="G15" i="2"/>
  <c r="G16" i="2"/>
  <c r="G17" i="2"/>
  <c r="G18" i="2"/>
  <c r="G4" i="2"/>
  <c r="G6" i="5"/>
  <c r="G7" i="5"/>
  <c r="G8" i="5"/>
  <c r="G9" i="5"/>
  <c r="G10" i="5"/>
  <c r="G11" i="5"/>
  <c r="G12" i="5"/>
  <c r="G5" i="5"/>
  <c r="G5" i="4"/>
  <c r="G6" i="4"/>
  <c r="G7" i="4"/>
  <c r="G8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4" i="4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4" i="4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J8" i="73" l="1"/>
  <c r="J8" i="68"/>
  <c r="J3" i="67" a="1"/>
  <c r="J3" i="67" s="1"/>
  <c r="D67" i="13" s="1"/>
  <c r="J3" i="49" a="1"/>
  <c r="J3" i="49" s="1"/>
  <c r="D49" i="13" s="1"/>
  <c r="J3" i="47" a="1"/>
  <c r="J3" i="47" s="1"/>
  <c r="D47" i="13" s="1"/>
  <c r="J3" i="34" a="1"/>
  <c r="J3" i="34" s="1"/>
  <c r="D34" i="13" s="1"/>
  <c r="J3" i="27" a="1"/>
  <c r="J3" i="27" s="1"/>
  <c r="D27" i="13" s="1"/>
  <c r="J3" i="6" a="1"/>
  <c r="J3" i="6" s="1"/>
  <c r="D7" i="13" s="1"/>
  <c r="J3" i="5" a="1"/>
  <c r="J3" i="5" s="1"/>
  <c r="D6" i="13" s="1"/>
  <c r="J3" i="66" a="1"/>
  <c r="J3" i="66" s="1"/>
  <c r="D66" i="13" s="1"/>
  <c r="J7" i="66"/>
  <c r="E66" i="13" s="1"/>
  <c r="J7" i="55"/>
  <c r="E55" i="13" s="1"/>
  <c r="J3" i="55" a="1"/>
  <c r="J3" i="55" s="1"/>
  <c r="D55" i="13" s="1"/>
  <c r="J3" i="54" a="1"/>
  <c r="J3" i="54" s="1"/>
  <c r="D54" i="13" s="1"/>
  <c r="J7" i="45"/>
  <c r="J8" i="45" s="1"/>
  <c r="F45" i="13" s="1"/>
  <c r="J7" i="42"/>
  <c r="E42" i="13" s="1"/>
  <c r="J3" i="38" a="1"/>
  <c r="J3" i="38" s="1"/>
  <c r="D38" i="13" s="1"/>
  <c r="J7" i="35"/>
  <c r="E35" i="13" s="1"/>
  <c r="J7" i="34"/>
  <c r="J8" i="34" s="1"/>
  <c r="F34" i="13" s="1"/>
  <c r="J3" i="29" a="1"/>
  <c r="J3" i="29" s="1"/>
  <c r="D29" i="13" s="1"/>
  <c r="J3" i="28" a="1"/>
  <c r="J3" i="28" s="1"/>
  <c r="D28" i="13" s="1"/>
  <c r="J3" i="26" a="1"/>
  <c r="J3" i="26" s="1"/>
  <c r="D26" i="13" s="1"/>
  <c r="J7" i="25"/>
  <c r="J8" i="25" s="1"/>
  <c r="F25" i="13" s="1"/>
  <c r="J7" i="18"/>
  <c r="E18" i="13" s="1"/>
  <c r="J7" i="2"/>
  <c r="J8" i="2" s="1"/>
  <c r="F3" i="13" s="1"/>
  <c r="J7" i="67"/>
  <c r="E67" i="13" s="1"/>
  <c r="J8" i="65"/>
  <c r="F65" i="13" s="1"/>
  <c r="E65" i="13"/>
  <c r="J7" i="62"/>
  <c r="J8" i="62" s="1"/>
  <c r="F62" i="13" s="1"/>
  <c r="J3" i="62" a="1"/>
  <c r="J3" i="62" s="1"/>
  <c r="D62" i="13" s="1"/>
  <c r="J3" i="61" a="1"/>
  <c r="J3" i="61" s="1"/>
  <c r="D61" i="13" s="1"/>
  <c r="J7" i="60"/>
  <c r="J8" i="60" s="1"/>
  <c r="F60" i="13" s="1"/>
  <c r="J7" i="53"/>
  <c r="J8" i="53" s="1"/>
  <c r="F53" i="13" s="1"/>
  <c r="J3" i="50" a="1"/>
  <c r="J3" i="50" s="1"/>
  <c r="D50" i="13" s="1"/>
  <c r="J3" i="42" a="1"/>
  <c r="J3" i="42" s="1"/>
  <c r="D42" i="13" s="1"/>
  <c r="J3" i="41" a="1"/>
  <c r="J3" i="41" s="1"/>
  <c r="D41" i="13" s="1"/>
  <c r="J7" i="40"/>
  <c r="E40" i="13" s="1"/>
  <c r="J7" i="39"/>
  <c r="E39" i="13" s="1"/>
  <c r="J3" i="33" a="1"/>
  <c r="J3" i="33" s="1"/>
  <c r="D33" i="13" s="1"/>
  <c r="J3" i="31" a="1"/>
  <c r="J3" i="31" s="1"/>
  <c r="D31" i="13" s="1"/>
  <c r="J7" i="28"/>
  <c r="E28" i="13" s="1"/>
  <c r="J3" i="25" a="1"/>
  <c r="J3" i="25" s="1"/>
  <c r="D25" i="13" s="1"/>
  <c r="J7" i="24"/>
  <c r="E24" i="13" s="1"/>
  <c r="J7" i="19"/>
  <c r="E19" i="13" s="1"/>
  <c r="J3" i="15" a="1"/>
  <c r="J3" i="15" s="1"/>
  <c r="D15" i="13" s="1"/>
  <c r="J3" i="39" a="1"/>
  <c r="J3" i="39" s="1"/>
  <c r="D39" i="13" s="1"/>
  <c r="J7" i="61"/>
  <c r="J8" i="61" s="1"/>
  <c r="F61" i="13" s="1"/>
  <c r="J3" i="60" a="1"/>
  <c r="J3" i="60" s="1"/>
  <c r="D60" i="13" s="1"/>
  <c r="J7" i="58"/>
  <c r="J8" i="58" s="1"/>
  <c r="F58" i="13" s="1"/>
  <c r="J3" i="57" a="1"/>
  <c r="J3" i="57" s="1"/>
  <c r="D57" i="13" s="1"/>
  <c r="J7" i="57"/>
  <c r="J8" i="57" s="1"/>
  <c r="F57" i="13" s="1"/>
  <c r="J3" i="53" a="1"/>
  <c r="J3" i="53" s="1"/>
  <c r="D53" i="13" s="1"/>
  <c r="J7" i="52"/>
  <c r="E52" i="13" s="1"/>
  <c r="J3" i="46" a="1"/>
  <c r="J3" i="46" s="1"/>
  <c r="D46" i="13" s="1"/>
  <c r="J8" i="44"/>
  <c r="F44" i="13" s="1"/>
  <c r="J7" i="32"/>
  <c r="J8" i="32" s="1"/>
  <c r="F32" i="13" s="1"/>
  <c r="J7" i="31"/>
  <c r="E31" i="13" s="1"/>
  <c r="J7" i="30"/>
  <c r="E30" i="13" s="1"/>
  <c r="J7" i="29"/>
  <c r="E29" i="13" s="1"/>
  <c r="J3" i="24" a="1"/>
  <c r="J3" i="24" s="1"/>
  <c r="D24" i="13" s="1"/>
  <c r="L6" i="21"/>
  <c r="J3" i="16" a="1"/>
  <c r="J3" i="16" s="1"/>
  <c r="D16" i="13" s="1"/>
  <c r="J7" i="15"/>
  <c r="E15" i="13" s="1"/>
  <c r="J7" i="14"/>
  <c r="J8" i="14" s="1"/>
  <c r="F14" i="13" s="1"/>
  <c r="J7" i="11"/>
  <c r="E12" i="13" s="1"/>
  <c r="J7" i="10"/>
  <c r="E11" i="13" s="1"/>
  <c r="J7" i="1"/>
  <c r="J8" i="63"/>
  <c r="F63" i="13" s="1"/>
  <c r="E63" i="13"/>
  <c r="C58" i="13"/>
  <c r="E57" i="13"/>
  <c r="J7" i="56"/>
  <c r="J8" i="56" s="1"/>
  <c r="F56" i="13" s="1"/>
  <c r="J7" i="54"/>
  <c r="E54" i="13" s="1"/>
  <c r="J7" i="50"/>
  <c r="J8" i="50" s="1"/>
  <c r="F50" i="13" s="1"/>
  <c r="E50" i="13"/>
  <c r="J8" i="49"/>
  <c r="F49" i="13" s="1"/>
  <c r="J7" i="47"/>
  <c r="E47" i="13" s="1"/>
  <c r="J7" i="46"/>
  <c r="J8" i="46" s="1"/>
  <c r="F46" i="13" s="1"/>
  <c r="E44" i="13"/>
  <c r="J7" i="41"/>
  <c r="E41" i="13" s="1"/>
  <c r="J8" i="38"/>
  <c r="F38" i="13" s="1"/>
  <c r="E38" i="13"/>
  <c r="J8" i="37"/>
  <c r="F37" i="13" s="1"/>
  <c r="E37" i="13"/>
  <c r="J7" i="33"/>
  <c r="J8" i="33" s="1"/>
  <c r="F33" i="13" s="1"/>
  <c r="J7" i="27"/>
  <c r="E27" i="13" s="1"/>
  <c r="J7" i="22"/>
  <c r="J8" i="22" s="1"/>
  <c r="F22" i="13" s="1"/>
  <c r="J7" i="16"/>
  <c r="E16" i="13" s="1"/>
  <c r="J7" i="12"/>
  <c r="J8" i="12" s="1"/>
  <c r="F13" i="13" s="1"/>
  <c r="J3" i="7" a="1"/>
  <c r="J3" i="7" s="1"/>
  <c r="D8" i="13" s="1"/>
  <c r="J7" i="4"/>
  <c r="E5" i="13" s="1"/>
  <c r="J3" i="4" a="1"/>
  <c r="J3" i="4" s="1"/>
  <c r="D5" i="13" s="1"/>
  <c r="J3" i="2" a="1"/>
  <c r="J3" i="2" s="1"/>
  <c r="D3" i="13" s="1"/>
  <c r="J8" i="26"/>
  <c r="F26" i="13" s="1"/>
  <c r="J7" i="23"/>
  <c r="J8" i="23" s="1"/>
  <c r="F23" i="13" s="1"/>
  <c r="J7" i="20"/>
  <c r="E20" i="13" s="1"/>
  <c r="J8" i="21"/>
  <c r="F21" i="13" s="1"/>
  <c r="J8" i="18"/>
  <c r="F18" i="13" s="1"/>
  <c r="J7" i="9"/>
  <c r="J7" i="7"/>
  <c r="E8" i="13" s="1"/>
  <c r="J7" i="6"/>
  <c r="J7" i="5"/>
  <c r="E6" i="13" s="1"/>
  <c r="J7" i="8"/>
  <c r="J8" i="67" l="1"/>
  <c r="F67" i="13" s="1"/>
  <c r="E62" i="13"/>
  <c r="E58" i="13"/>
  <c r="E56" i="13"/>
  <c r="J8" i="55"/>
  <c r="F55" i="13" s="1"/>
  <c r="E53" i="13"/>
  <c r="E46" i="13"/>
  <c r="J8" i="42"/>
  <c r="F42" i="13" s="1"/>
  <c r="E34" i="13"/>
  <c r="E25" i="13"/>
  <c r="E3" i="13"/>
  <c r="J8" i="66"/>
  <c r="F66" i="13" s="1"/>
  <c r="E61" i="13"/>
  <c r="E60" i="13"/>
  <c r="E45" i="13"/>
  <c r="J8" i="40"/>
  <c r="F40" i="13" s="1"/>
  <c r="J8" i="35"/>
  <c r="F35" i="13" s="1"/>
  <c r="J8" i="24"/>
  <c r="F24" i="13" s="1"/>
  <c r="J8" i="19"/>
  <c r="F19" i="13" s="1"/>
  <c r="E13" i="13"/>
  <c r="J8" i="41"/>
  <c r="F41" i="13" s="1"/>
  <c r="J8" i="39"/>
  <c r="F39" i="13" s="1"/>
  <c r="E32" i="13"/>
  <c r="J8" i="31"/>
  <c r="F31" i="13" s="1"/>
  <c r="J8" i="30"/>
  <c r="F30" i="13" s="1"/>
  <c r="J8" i="28"/>
  <c r="F28" i="13" s="1"/>
  <c r="J8" i="15"/>
  <c r="F15" i="13" s="1"/>
  <c r="E14" i="13"/>
  <c r="J8" i="11"/>
  <c r="F12" i="13" s="1"/>
  <c r="J8" i="4"/>
  <c r="F5" i="13" s="1"/>
  <c r="J8" i="54"/>
  <c r="F54" i="13" s="1"/>
  <c r="J8" i="52"/>
  <c r="F52" i="13" s="1"/>
  <c r="J8" i="47"/>
  <c r="F47" i="13" s="1"/>
  <c r="E33" i="13"/>
  <c r="J8" i="29"/>
  <c r="F29" i="13" s="1"/>
  <c r="E22" i="13"/>
  <c r="J8" i="10"/>
  <c r="F11" i="13" s="1"/>
  <c r="J8" i="27"/>
  <c r="F27" i="13" s="1"/>
  <c r="E23" i="13"/>
  <c r="J8" i="20"/>
  <c r="F20" i="13" s="1"/>
  <c r="J8" i="16"/>
  <c r="F16" i="13" s="1"/>
  <c r="J8" i="7"/>
  <c r="F8" i="13" s="1"/>
  <c r="E10" i="13"/>
  <c r="J8" i="9"/>
  <c r="F10" i="13" s="1"/>
  <c r="E9" i="13"/>
  <c r="J8" i="8"/>
  <c r="F9" i="13" s="1"/>
  <c r="J8" i="6"/>
  <c r="F7" i="13" s="1"/>
  <c r="E7" i="13"/>
  <c r="J8" i="5"/>
  <c r="F6" i="13" s="1"/>
  <c r="E2" i="13"/>
  <c r="J8" i="1"/>
  <c r="F2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<sst xmlns="http://schemas.openxmlformats.org/spreadsheetml/2006/main" count="1203" uniqueCount="171">
  <si>
    <t>MARIA LIZETTE HERNANDEZ LEDESMA</t>
  </si>
  <si>
    <t>Meta</t>
  </si>
  <si>
    <t>YADIRA PEDRAZA MENDOZA</t>
  </si>
  <si>
    <t>ALFREDO MARTINEZ ZAMORA</t>
  </si>
  <si>
    <t>RUTH LOPEZ ROSALES</t>
  </si>
  <si>
    <t xml:space="preserve"> </t>
  </si>
  <si>
    <t>N/A</t>
  </si>
  <si>
    <t>BEATRIZ ADRIANA GOMEZ MATA</t>
  </si>
  <si>
    <t>Didiferencia Absoluta</t>
  </si>
  <si>
    <t>Cumplimiento de Meta %</t>
  </si>
  <si>
    <t>Diferencia Absoluta</t>
  </si>
  <si>
    <t>ANA LAURA AVILA OLIVA</t>
  </si>
  <si>
    <t>ANGELA GAONA DELGADO</t>
  </si>
  <si>
    <t>NORMA YAZMIN RIOS ESPARZA</t>
  </si>
  <si>
    <t>DANIELA ESCOBEDO ALBA</t>
  </si>
  <si>
    <t>NOEMI ELIZABETH LOPEZ JIMENEZ</t>
  </si>
  <si>
    <t>Pagos eliminados y no Identificados</t>
  </si>
  <si>
    <t>MARIA DEL REFUGIO GOMEZ LEDESMA</t>
  </si>
  <si>
    <t>Fecha</t>
  </si>
  <si>
    <t>Semana</t>
  </si>
  <si>
    <t>Cobranza</t>
  </si>
  <si>
    <t>Suma Meta</t>
  </si>
  <si>
    <t>Suma Cobranza</t>
  </si>
  <si>
    <t>Suma Diferencia Absoluta</t>
  </si>
  <si>
    <t>Procentaje de Endeudamiento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</si>
  <si>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</si>
  <si>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</si>
  <si>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</si>
  <si>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</si>
  <si>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</si>
  <si>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</si>
  <si>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</si>
  <si>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</si>
  <si>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</si>
  <si>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</si>
  <si>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</si>
  <si>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</si>
  <si>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Cumplimiento</t>
  </si>
  <si>
    <t>Balance de Cobranza</t>
  </si>
  <si>
    <t>Calificación de Cumplimiento</t>
  </si>
  <si>
    <t>% de Deuda</t>
  </si>
  <si>
    <t>Antigüedad (meses)</t>
  </si>
  <si>
    <t>Nombre</t>
  </si>
  <si>
    <t>YULI VIRGINIA HERNANDEZ AGUIÑAGA</t>
  </si>
  <si>
    <t>P13</t>
  </si>
  <si>
    <t>P14</t>
  </si>
  <si>
    <t>P15</t>
  </si>
  <si>
    <t>P17</t>
  </si>
  <si>
    <t>DIANA EVELYN VILLALPANDO AGUILERA</t>
  </si>
  <si>
    <t>MARIA PLUVIA JIMENEZ ARAIZA</t>
  </si>
  <si>
    <t>LORENA LIZBETH BARAJAS SANTILLAN</t>
  </si>
  <si>
    <t>P16</t>
  </si>
  <si>
    <t>% de Endeudamiento</t>
  </si>
  <si>
    <t>ALEJANDRA GUADALUPE ESPERZA OCHOA</t>
  </si>
  <si>
    <t>JUANA MARIA HERNANDEZ</t>
  </si>
  <si>
    <t>P18</t>
  </si>
  <si>
    <t>P19</t>
  </si>
  <si>
    <t>P20</t>
  </si>
  <si>
    <t>P21</t>
  </si>
  <si>
    <t>DULCE MARIA HERNANDEZ TELLES</t>
  </si>
  <si>
    <t>JUDITH ELENA DAVILA PONCE</t>
  </si>
  <si>
    <t>FABIOLA ZAVALA PEREZ</t>
  </si>
  <si>
    <t>MARIA PASCUALA ORTIZ CHAVEZ</t>
  </si>
  <si>
    <t>P22</t>
  </si>
  <si>
    <t>MARIA BERTHA BALDERAS SALAZAR</t>
  </si>
  <si>
    <t>P23</t>
  </si>
  <si>
    <t>P24</t>
  </si>
  <si>
    <t>P25</t>
  </si>
  <si>
    <t>ANA LILIA ESCAMILLA VICENTE</t>
  </si>
  <si>
    <t>Pagos eliminados y no identificados</t>
  </si>
  <si>
    <t>SILVIA MANDUJANO CARDENAS</t>
  </si>
  <si>
    <t>MARIA DE LA LUZ DAVILA PALOMARES</t>
  </si>
  <si>
    <t>P26</t>
  </si>
  <si>
    <t>P27</t>
  </si>
  <si>
    <t>P28</t>
  </si>
  <si>
    <t>P29</t>
  </si>
  <si>
    <t>P30</t>
  </si>
  <si>
    <t>P31</t>
  </si>
  <si>
    <t>P32</t>
  </si>
  <si>
    <t>JUANA MARIA PIÑA MARTINEZ</t>
  </si>
  <si>
    <t>ROSA ISELA MARES BUENO</t>
  </si>
  <si>
    <t>MARIA DEL CARMEN ROCHA SANCHEZ</t>
  </si>
  <si>
    <t>MARIA ISABEL MARTINEZ VILLAGRANA</t>
  </si>
  <si>
    <t>BLANCA ESTHELA CASTILLO URIBE</t>
  </si>
  <si>
    <t>ATHSIRI BERENICE ACEVEDO HERNANDEZ</t>
  </si>
  <si>
    <t>ANA KAREN HERNANDEZ GUZMAN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</si>
  <si>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</si>
  <si>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</si>
  <si>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</si>
  <si>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</si>
  <si>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</si>
  <si>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</si>
  <si>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</si>
  <si>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</si>
  <si>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</si>
  <si>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</si>
  <si>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</si>
  <si>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</si>
  <si>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</si>
  <si>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BRIAN YAHIR ORTIZ CERVANTES</t>
  </si>
  <si>
    <t>MARTINA CONTRERAS RANGEL</t>
  </si>
  <si>
    <t>MARIANA NATALIA MEDINA BAUTISTA</t>
  </si>
  <si>
    <t>LETICIA MACIAS ESPINOSA</t>
  </si>
  <si>
    <t>SANDRA ELIZETTE HERNANDEZ HERNANDEZ</t>
  </si>
  <si>
    <t>NATALIA ESTEFANIA RIVERA RAMIREZ</t>
  </si>
  <si>
    <t>ESTHER MENDEZ MENDOZA</t>
  </si>
  <si>
    <t>JUANA VANESSA SALAZAR YEBRA</t>
  </si>
  <si>
    <t>ERENDIRA JAZMIN ROMO CASTILLO</t>
  </si>
  <si>
    <t>MIRIAM JOSEFINA LUNA MACIAS</t>
  </si>
  <si>
    <t>OLGA ESTHER DE LA ROSA ROMO</t>
  </si>
  <si>
    <t>CARLA BRENDA MENDEZ GARCIA</t>
  </si>
  <si>
    <t>ANA SARAHI MARTINEZ GUTIERREZ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</si>
  <si>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</si>
  <si>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</si>
  <si>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</si>
  <si>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</si>
  <si>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</si>
  <si>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</si>
  <si>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</si>
  <si>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</si>
  <si>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</si>
  <si>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</si>
  <si>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SAMANTA MONSERRAT MAYO JIMENEZ</t>
  </si>
  <si>
    <t>MARCELA MARTINEZ MARTINEZ</t>
  </si>
  <si>
    <t>MARIA ISABEL REYES SANCHEZ</t>
  </si>
  <si>
    <t>MIRIAM DEL CARMEN HERNANDEZ AYALA</t>
  </si>
  <si>
    <t>MARIA DEL PILAR VALDIVIA MURILLO</t>
  </si>
  <si>
    <t>MATILDE VERDIN CERVERA</t>
  </si>
  <si>
    <t>MARISELA HERNANDEZ REYES</t>
  </si>
  <si>
    <t>JOSE DE JESUS MEDINA SUSTAITA</t>
  </si>
  <si>
    <t>FATIMA DE JESUS SANCHEZ MATA</t>
  </si>
  <si>
    <t>P56</t>
  </si>
  <si>
    <t>P57</t>
  </si>
  <si>
    <t>P58</t>
  </si>
  <si>
    <t>P59</t>
  </si>
  <si>
    <t>P60</t>
  </si>
  <si>
    <t>P61</t>
  </si>
  <si>
    <t>ROSA YESSICA GALARZA PALACIOS</t>
  </si>
  <si>
    <t>JUAN CARLOS MARTINEZ ESPINOZA</t>
  </si>
  <si>
    <t>ALEJANDRO HERNANDEZ RAMIREZ</t>
  </si>
  <si>
    <t>RICARDO GUERRA AGUAYO</t>
  </si>
  <si>
    <t>P62</t>
  </si>
  <si>
    <t>P71</t>
  </si>
  <si>
    <t>P70</t>
  </si>
  <si>
    <t>P69</t>
  </si>
  <si>
    <t>P68</t>
  </si>
  <si>
    <t>P67</t>
  </si>
  <si>
    <t>P66</t>
  </si>
  <si>
    <t>P65</t>
  </si>
  <si>
    <t>P64</t>
  </si>
  <si>
    <t>P63</t>
  </si>
  <si>
    <t>DAFNE ARELY GONZALEZ AZPEITIA</t>
  </si>
  <si>
    <t>GEOVANNA MICHELLE GUEL ALANIS</t>
  </si>
  <si>
    <t>MA GUADALUPE URENDA GOMEZ</t>
  </si>
  <si>
    <t>BERENICE BERRIOZABAL SANCHEZ</t>
  </si>
  <si>
    <t>CECILIA GABRIELA RAMIREZ VAZQUEZ</t>
  </si>
  <si>
    <t>N</t>
  </si>
  <si>
    <t>BRENDA MARIA DEL CARMEN HERNANDEZ</t>
  </si>
  <si>
    <t>MA DEL CARMEN MARTINEZ NACHE</t>
  </si>
  <si>
    <t>ELVIA FLORES JIMENEZ</t>
  </si>
  <si>
    <t>CECILIA GARBIELA RAMIREZ VAZQUEZ</t>
  </si>
  <si>
    <t>RAUL AGUSTIN AVENDAÑO REYNA</t>
  </si>
  <si>
    <t>NEFTALI GUADALUPE SANCHEZ CAMARILLO</t>
  </si>
  <si>
    <t>GRICELDA LEONOR BARRIENTOS GUTIERREZ</t>
  </si>
  <si>
    <t>SOFIA ALEJANDRA ALMONACY LOPEZ</t>
  </si>
  <si>
    <t>DALIA GUADALUPE GONZALEZ AHUMADA</t>
  </si>
  <si>
    <t>P72</t>
  </si>
  <si>
    <t>P73</t>
  </si>
  <si>
    <t>P74</t>
  </si>
  <si>
    <t>MARIA AMAYA ORTIZ</t>
  </si>
  <si>
    <t>LAURA EDITH PADRON VILLELA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</si>
</sst>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5" formatCode="0.0"/>
  </numFmts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20"/>
      <color theme="1"/>
      <name val="Aptos Narrow"/>
      <scheme val="minor"/>
    </font>
    <font>
      <b/>
      <sz val="20"/>
      <color theme="1"/>
      <name val="Aptos Narrow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6">
    <xf numFmtId="0" fontId="0" fillId="0" borderId="0" xfId="0"/>
    <xf numFmtId="14" fontId="0" fillId="0" borderId="0" xfId="0" applyNumberFormat="1"/>
    <xf numFmtId="0" fontId="2" fillId="0" borderId="0" xfId="0" applyFont="1"/>
    <xf numFmtId="6" fontId="0" fillId="0" borderId="0" xfId="0" applyNumberFormat="1"/>
    <xf numFmtId="44" fontId="0" fillId="0" borderId="0" xfId="1" applyFont="1"/>
    <xf numFmtId="9" fontId="0" fillId="0" borderId="0" xfId="2" applyFont="1"/>
    <xf numFmtId="44" fontId="0" fillId="0" borderId="0" xfId="0" applyNumberFormat="1"/>
    <xf numFmtId="164" fontId="0" fillId="0" borderId="0" xfId="2" applyNumberFormat="1" applyFont="1"/>
    <xf numFmtId="2" fontId="0" fillId="0" borderId="0" xfId="0" applyNumberFormat="1"/>
    <xf numFmtId="9" fontId="2" fillId="0" borderId="0" xfId="0" applyNumberFormat="1" applyFont="1"/>
    <xf numFmtId="2" fontId="2" fillId="0" borderId="0" xfId="0" applyNumberFormat="1" applyFont="1"/>
    <xf numFmtId="44" fontId="0" fillId="0" borderId="0" xfId="1" applyFont="1" applyFill="1"/>
    <xf numFmtId="14" fontId="0" fillId="2" borderId="0" xfId="0" applyNumberFormat="1" applyFill="1"/>
    <xf numFmtId="0" fontId="0" fillId="2" borderId="0" xfId="0" applyFill="1"/>
    <xf numFmtId="44" fontId="2" fillId="0" borderId="0" xfId="1" applyFont="1"/>
    <xf numFmtId="0" fontId="4" fillId="0" borderId="0" xfId="0" applyFont="1" applyAlignment="1">
      <alignment horizontal="center" vertical="center"/>
    </xf>
    <xf numFmtId="10" fontId="0" fillId="0" borderId="0" xfId="2" applyNumberFormat="1" applyFont="1"/>
    <xf numFmtId="10" fontId="0" fillId="0" borderId="0" xfId="0" applyNumberFormat="1"/>
    <xf numFmtId="165" fontId="0" fillId="0" borderId="0" xfId="0" applyNumberFormat="1"/>
    <xf numFmtId="2" fontId="8" fillId="0" borderId="0" xfId="0" applyNumberFormat="1" applyFont="1"/>
    <xf numFmtId="14" fontId="0" fillId="0" borderId="1" xfId="0" applyNumberFormat="1" applyBorder="1"/>
    <xf numFmtId="9" fontId="0" fillId="0" borderId="1" xfId="2" applyFont="1" applyFill="1" applyBorder="1"/>
    <xf numFmtId="10" fontId="0" fillId="0" borderId="1" xfId="2" applyNumberFormat="1" applyFont="1" applyFill="1" applyBorder="1"/>
    <xf numFmtId="44" fontId="0" fillId="0" borderId="1" xfId="0" applyNumberFormat="1" applyBorder="1"/>
    <xf numFmtId="0" fontId="3" fillId="3" borderId="3" xfId="0" applyFont="1" applyFill="1" applyBorder="1"/>
    <xf numFmtId="0" fontId="3" fillId="3" borderId="2" xfId="0" applyFont="1" applyFill="1" applyBorder="1"/>
    <xf numFmtId="0" fontId="0" fillId="4" borderId="0" xfId="0" applyFill="1"/>
    <xf numFmtId="2" fontId="0" fillId="4" borderId="0" xfId="0" applyNumberFormat="1" applyFill="1"/>
    <xf numFmtId="165" fontId="0" fillId="4" borderId="0" xfId="0" applyNumberFormat="1" applyFill="1"/>
    <xf numFmtId="10" fontId="0" fillId="4" borderId="0" xfId="0" applyNumberFormat="1" applyFill="1"/>
    <xf numFmtId="44" fontId="0" fillId="4" borderId="0" xfId="0" applyNumberFormat="1" applyFill="1"/>
    <xf numFmtId="0" fontId="3" fillId="3" borderId="4" xfId="0" applyFont="1" applyFill="1" applyBorder="1"/>
    <xf numFmtId="0" fontId="0" fillId="5" borderId="0" xfId="0" applyFill="1"/>
    <xf numFmtId="2" fontId="0" fillId="5" borderId="0" xfId="0" applyNumberFormat="1" applyFill="1"/>
    <xf numFmtId="165" fontId="0" fillId="5" borderId="0" xfId="0" applyNumberFormat="1" applyFill="1"/>
    <xf numFmtId="10" fontId="0" fillId="5" borderId="0" xfId="0" applyNumberFormat="1" applyFill="1"/>
    <xf numFmtId="44" fontId="0" fillId="5" borderId="0" xfId="0" applyNumberFormat="1" applyFill="1"/>
    <xf numFmtId="14" fontId="0" fillId="6" borderId="1" xfId="0" applyNumberFormat="1" applyFill="1" applyBorder="1"/>
    <xf numFmtId="14" fontId="0" fillId="7" borderId="1" xfId="0" applyNumberFormat="1" applyFill="1" applyBorder="1"/>
    <xf numFmtId="9" fontId="0" fillId="6" borderId="1" xfId="2" applyFont="1" applyFill="1" applyBorder="1"/>
    <xf numFmtId="10" fontId="0" fillId="6" borderId="1" xfId="2" applyNumberFormat="1" applyFont="1" applyFill="1" applyBorder="1"/>
    <xf numFmtId="44" fontId="0" fillId="6" borderId="6" xfId="0" applyNumberFormat="1" applyFill="1" applyBorder="1"/>
    <xf numFmtId="44" fontId="0" fillId="0" borderId="6" xfId="0" applyNumberFormat="1" applyBorder="1"/>
    <xf numFmtId="0" fontId="0" fillId="0" borderId="5" xfId="0" applyBorder="1"/>
    <xf numFmtId="0" fontId="0" fillId="0" borderId="1" xfId="0" applyBorder="1"/>
    <xf numFmtId="9" fontId="0" fillId="0" borderId="1" xfId="2" applyFont="1" applyBorder="1"/>
    <xf numFmtId="10" fontId="0" fillId="0" borderId="1" xfId="2" applyNumberFormat="1" applyFont="1" applyBorder="1"/>
    <xf numFmtId="0" fontId="0" fillId="0" borderId="7" xfId="0" applyBorder="1"/>
    <xf numFmtId="14" fontId="0" fillId="0" borderId="8" xfId="0" applyNumberFormat="1" applyBorder="1"/>
    <xf numFmtId="44" fontId="0" fillId="0" borderId="8" xfId="1" applyFont="1" applyFill="1" applyBorder="1"/>
    <xf numFmtId="9" fontId="0" fillId="0" borderId="8" xfId="2" applyFont="1" applyFill="1" applyBorder="1"/>
    <xf numFmtId="44" fontId="0" fillId="0" borderId="9" xfId="0" applyNumberFormat="1" applyBorder="1"/>
    <xf numFmtId="44" fontId="0" fillId="0" borderId="1" xfId="1" applyFont="1" applyFill="1" applyBorder="1"/>
    <xf numFmtId="44" fontId="0" fillId="0" borderId="1" xfId="1" applyFont="1" applyBorder="1"/>
    <xf numFmtId="10" fontId="0" fillId="0" borderId="8" xfId="2" applyNumberFormat="1" applyFont="1" applyFill="1" applyBorder="1"/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7" borderId="0" xfId="0" applyFill="1" applyAlignment="1">
      <alignment horizontal="center"/>
    </xf>
    <xf numFmtId="9" fontId="0" fillId="0" borderId="0" xfId="2" applyNumberFormat="1" applyFont="1"/>
    <xf numFmtId="44" fontId="0" fillId="0" borderId="0" xfId="2" applyNumberFormat="1" applyFont="1"/>
    <xf numFmtId="9" fontId="0" fillId="0" borderId="1" xfId="2" applyNumberFormat="1" applyFont="1" applyFill="1" applyBorder="1"/>
    <xf numFmtId="44" fontId="0" fillId="0" borderId="1" xfId="0" applyNumberFormat="1" applyFont="1" applyBorder="1"/>
    <xf numFmtId="44" fontId="0" fillId="0" borderId="1" xfId="0" applyNumberFormat="1" applyFont="1" applyFill="1" applyBorder="1"/>
    <xf numFmtId="9" fontId="0" fillId="6" borderId="1" xfId="2" applyNumberFormat="1" applyFont="1" applyFill="1" applyBorder="1"/>
    <xf numFmtId="44" fontId="0" fillId="6" borderId="6" xfId="0" applyNumberFormat="1" applyFont="1" applyFill="1" applyBorder="1"/>
    <xf numFmtId="44" fontId="0" fillId="0" borderId="6" xfId="0" applyNumberFormat="1" applyFont="1" applyFill="1" applyBorder="1"/>
    <xf numFmtId="9" fontId="0" fillId="0" borderId="1" xfId="2" applyNumberFormat="1" applyFont="1" applyBorder="1"/>
    <xf numFmtId="44" fontId="0" fillId="0" borderId="6" xfId="0" applyNumberFormat="1" applyFont="1" applyBorder="1"/>
    <xf numFmtId="44" fontId="0" fillId="0" borderId="8" xfId="1" applyNumberFormat="1" applyFont="1" applyFill="1" applyBorder="1"/>
    <xf numFmtId="9" fontId="0" fillId="0" borderId="8" xfId="2" applyNumberFormat="1" applyFont="1" applyFill="1" applyBorder="1"/>
    <xf numFmtId="44" fontId="0" fillId="0" borderId="9" xfId="0" applyNumberFormat="1" applyFont="1" applyFill="1" applyBorder="1"/>
    <xf numFmtId="0" fontId="0" fillId="0" borderId="1" xfId="0" applyFont="1" applyBorder="1"/>
    <xf numFmtId="44" fontId="0" fillId="0" borderId="0" xfId="1" applyFont="1" applyBorder="1"/>
    <xf numFmtId="0" fontId="0" fillId="0" borderId="0" xfId="0" applyBorder="1"/>
    <xf numFmtId="44" fontId="0" fillId="0" borderId="0" xfId="0" applyNumberFormat="1" applyBorder="1"/>
    <xf numFmtId="44" fontId="0" fillId="0" borderId="1" xfId="1" applyNumberFormat="1" applyFont="1" applyBorder="1"/>
    <xf numFmtId="9" fontId="0" fillId="0" borderId="0" xfId="2" applyFont="1" applyFill="1" applyBorder="1"/>
    <xf numFmtId="14" fontId="0" fillId="0" borderId="8" xfId="0" applyNumberFormat="1" applyFont="1" applyFill="1" applyBorder="1"/>
    <xf numFmtId="9" fontId="0" fillId="0" borderId="8" xfId="2" applyNumberFormat="1" applyFont="1" applyBorder="1"/>
    <xf numFmtId="44" fontId="0" fillId="0" borderId="9" xfId="0" applyNumberFormat="1" applyFont="1" applyBorder="1"/>
    <xf numFmtId="0" fontId="0" fillId="0" borderId="7" xfId="0" applyFont="1" applyFill="1" applyBorder="1"/>
    <xf numFmtId="44" fontId="0" fillId="0" borderId="8" xfId="1" applyFont="1" applyBorder="1"/>
  </cellXfs>
  <cellStyles count="3">
    <cellStyle name="Currency" xfId="1" builtinId="4"/>
    <cellStyle name="Normal" xfId="0" builtinId="0"/>
    <cellStyle name="Percent" xfId="2" builtinId="5"/>
  </cellStyles>
  <dxfs count="5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34" formatCode="_(&quot;$&quot;* #,##0.00_);_(&quot;$&quot;* \(#,##0.00\);_(&quot;$&quot;* &quot;-&quot;??_);_(@_)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34" formatCode="_(&quot;$&quot;* #,##0.00_);_(&quot;$&quot;* \(#,##0.00\);_(&quot;$&quot;* &quot;-&quot;??_);_(@_)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19" formatCode="m/d/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right style="thin">
          <color theme="4" tint="0.39997558519241921"/>
        </righ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34" formatCode="_(&quot;$&quot;* #,##0.00_);_(&quot;$&quot;* \(#,##0.00\);_(&quot;$&quot;* &quot;-&quot;??_);_(@_)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19" formatCode="m/d/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right style="thin">
          <color theme="4" tint="0.39997558519241921"/>
        </righ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34" formatCode="_(&quot;$&quot;* #,##0.00_);_(&quot;$&quot;* \(#,##0.00\);_(&quot;$&quot;* &quot;-&quot;??_);_(@_)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19" formatCode="m/d/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right style="thin">
          <color theme="4" tint="0.39997558519241921"/>
        </righ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34" formatCode="_(&quot;$&quot;* #,##0.00_);_(&quot;$&quot;* \(#,##0.00\);_(&quot;$&quot;* &quot;-&quot;??_);_(@_)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19" formatCode="m/d/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right style="thin">
          <color theme="4" tint="0.39997558519241921"/>
        </righ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34" formatCode="_(&quot;$&quot;* #,##0.00_);_(&quot;$&quot;* \(#,##0.00\);_(&quot;$&quot;* &quot;-&quot;??_);_(@_)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19" formatCode="m/d/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right style="thin">
          <color theme="4" tint="0.39997558519241921"/>
        </righ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34" formatCode="_(&quot;$&quot;* #,##0.00_);_(&quot;$&quot;* \(#,##0.00\);_(&quot;$&quot;* &quot;-&quot;??_);_(@_)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19" formatCode="m/d/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right style="thin">
          <color theme="4" tint="0.39997558519241921"/>
        </righ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34" formatCode="_(&quot;$&quot;* #,##0.00_);_(&quot;$&quot;* \(#,##0.00\);_(&quot;$&quot;* &quot;-&quot;??_);_(@_)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19" formatCode="m/d/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right style="thin">
          <color theme="4" tint="0.39997558519241921"/>
        </righ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right style="thin">
          <color theme="4" tint="0.39997558519241921"/>
        </righ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right style="thin">
          <color theme="4" tint="0.39997558519241921"/>
        </righ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right style="thin">
          <color theme="4" tint="0.39997558519241921"/>
        </righ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19" formatCode="m/d/yy"/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19" formatCode="m/d/yy"/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19" formatCode="m/d/yy"/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19" formatCode="m/d/yy"/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19" formatCode="m/d/yy"/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19" formatCode="m/d/yy"/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19" formatCode="m/d/yy"/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19" formatCode="m/d/yy"/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19" formatCode="m/d/yy"/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19" formatCode="m/d/yy"/>
    </dxf>
  </dxfs>
  <tableStyles count="0" defaultTableStyle="TableStyleMedium2" defaultPivotStyle="PivotStyleLight16"/>
  <colors>
    <mruColors>
      <color rgb="FFF869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eetMetadata" Target="metadata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65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66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67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_rels/chart68.xml.rels><?xml version="1.0" encoding="UTF-8" standalone="yes"?>
<Relationships xmlns="http://schemas.openxmlformats.org/package/2006/relationships"><Relationship Id="rId2" Type="http://schemas.microsoft.com/office/2011/relationships/chartColorStyle" Target="colors68.xml"/><Relationship Id="rId1" Type="http://schemas.microsoft.com/office/2011/relationships/chartStyle" Target="style68.xml"/></Relationships>
</file>

<file path=xl/charts/_rels/chart69.xml.rels><?xml version="1.0" encoding="UTF-8" standalone="yes"?>
<Relationships xmlns="http://schemas.openxmlformats.org/package/2006/relationships"><Relationship Id="rId2" Type="http://schemas.microsoft.com/office/2011/relationships/chartColorStyle" Target="colors69.xml"/><Relationship Id="rId1" Type="http://schemas.microsoft.com/office/2011/relationships/chartStyle" Target="style69.xml"/></Relationships>
</file>

<file path=xl/charts/_rels/chart70.xml.rels><?xml version="1.0" encoding="UTF-8" standalone="yes"?>
<Relationships xmlns="http://schemas.openxmlformats.org/package/2006/relationships"><Relationship Id="rId2" Type="http://schemas.microsoft.com/office/2011/relationships/chartColorStyle" Target="colors70.xml"/><Relationship Id="rId1" Type="http://schemas.microsoft.com/office/2011/relationships/chartStyle" Target="style70.xml"/></Relationships>
</file>

<file path=xl/charts/_rels/chart71.xml.rels><?xml version="1.0" encoding="UTF-8" standalone="yes"?>
<Relationships xmlns="http://schemas.openxmlformats.org/package/2006/relationships"><Relationship Id="rId2" Type="http://schemas.microsoft.com/office/2011/relationships/chartColorStyle" Target="colors71.xml"/><Relationship Id="rId1" Type="http://schemas.microsoft.com/office/2011/relationships/chartStyle" Target="style71.xml"/></Relationships>
</file>

<file path=xl/charts/_rels/chart72.xml.rels><?xml version="1.0" encoding="UTF-8" standalone="yes"?>
<Relationships xmlns="http://schemas.openxmlformats.org/package/2006/relationships"><Relationship Id="rId2" Type="http://schemas.microsoft.com/office/2011/relationships/chartColorStyle" Target="colors72.xml"/><Relationship Id="rId1" Type="http://schemas.microsoft.com/office/2011/relationships/chartStyle" Target="style72.xml"/></Relationships>
</file>

<file path=xl/charts/_rels/chart73.xml.rels><?xml version="1.0" encoding="UTF-8" standalone="yes"?>
<Relationships xmlns="http://schemas.openxmlformats.org/package/2006/relationships"><Relationship Id="rId2" Type="http://schemas.microsoft.com/office/2011/relationships/chartColorStyle" Target="colors73.xml"/><Relationship Id="rId1" Type="http://schemas.microsoft.com/office/2011/relationships/chartStyle" Target="style73.xml"/></Relationships>
</file>

<file path=xl/charts/_rels/chart74.xml.rels><?xml version="1.0" encoding="UTF-8" standalone="yes"?>
<Relationships xmlns="http://schemas.openxmlformats.org/package/2006/relationships"><Relationship Id="rId2" Type="http://schemas.microsoft.com/office/2011/relationships/chartColorStyle" Target="colors74.xml"/><Relationship Id="rId1" Type="http://schemas.microsoft.com/office/2011/relationships/chartStyle" Target="style74.xml"/></Relationships>
</file>

<file path=xl/charts/_rels/chart75.xml.rels><?xml version="1.0" encoding="UTF-8" standalone="yes"?>
<Relationships xmlns="http://schemas.openxmlformats.org/package/2006/relationships"><Relationship Id="rId2" Type="http://schemas.microsoft.com/office/2011/relationships/chartColorStyle" Target="colors75.xml"/><Relationship Id="rId1" Type="http://schemas.microsoft.com/office/2011/relationships/chartStyle" Target="style75.xml"/></Relationships>
</file>

<file path=xl/charts/_rels/chart76.xml.rels><?xml version="1.0" encoding="UTF-8" standalone="yes"?>
<Relationships xmlns="http://schemas.openxmlformats.org/package/2006/relationships"><Relationship Id="rId2" Type="http://schemas.microsoft.com/office/2011/relationships/chartColorStyle" Target="colors76.xml"/><Relationship Id="rId1" Type="http://schemas.microsoft.com/office/2011/relationships/chartStyle" Target="style76.xml"/></Relationships>
</file>

<file path=xl/charts/_rels/chart77.xml.rels><?xml version="1.0" encoding="UTF-8" standalone="yes"?>
<Relationships xmlns="http://schemas.openxmlformats.org/package/2006/relationships"><Relationship Id="rId2" Type="http://schemas.microsoft.com/office/2011/relationships/chartColorStyle" Target="colors77.xml"/><Relationship Id="rId1" Type="http://schemas.microsoft.com/office/2011/relationships/chartStyle" Target="style77.xml"/></Relationships>
</file>

<file path=xl/charts/_rels/chart78.xml.rels><?xml version="1.0" encoding="UTF-8" standalone="yes"?>
<Relationships xmlns="http://schemas.openxmlformats.org/package/2006/relationships"><Relationship Id="rId2" Type="http://schemas.microsoft.com/office/2011/relationships/chartColorStyle" Target="colors78.xml"/><Relationship Id="rId1" Type="http://schemas.microsoft.com/office/2011/relationships/chartStyle" Target="style78.xml"/></Relationships>
</file>

<file path=xl/charts/_rels/chart79.xml.rels><?xml version="1.0" encoding="UTF-8" standalone="yes"?>
<Relationships xmlns="http://schemas.openxmlformats.org/package/2006/relationships"><Relationship Id="rId2" Type="http://schemas.microsoft.com/office/2011/relationships/chartColorStyle" Target="colors79.xml"/><Relationship Id="rId1" Type="http://schemas.microsoft.com/office/2011/relationships/chartStyle" Target="style79.xml"/></Relationships>
</file>

<file path=xl/charts/_rels/chart80.xml.rels><?xml version="1.0" encoding="UTF-8" standalone="yes"?>
<Relationships xmlns="http://schemas.openxmlformats.org/package/2006/relationships"><Relationship Id="rId2" Type="http://schemas.microsoft.com/office/2011/relationships/chartColorStyle" Target="colors80.xml"/><Relationship Id="rId1" Type="http://schemas.microsoft.com/office/2011/relationships/chartStyle" Target="style80.xml"/></Relationships>
</file>

<file path=xl/charts/_rels/chart81.xml.rels><?xml version="1.0" encoding="UTF-8" standalone="yes"?>
<Relationships xmlns="http://schemas.openxmlformats.org/package/2006/relationships"><Relationship Id="rId2" Type="http://schemas.microsoft.com/office/2011/relationships/chartColorStyle" Target="colors81.xml"/><Relationship Id="rId1" Type="http://schemas.microsoft.com/office/2011/relationships/chartStyle" Target="style81.xml"/></Relationships>
</file>

<file path=xl/charts/_rels/chart82.xml.rels><?xml version="1.0" encoding="UTF-8" standalone="yes"?>
<Relationships xmlns="http://schemas.openxmlformats.org/package/2006/relationships"><Relationship Id="rId2" Type="http://schemas.microsoft.com/office/2011/relationships/chartColorStyle" Target="colors82.xml"/><Relationship Id="rId1" Type="http://schemas.microsoft.com/office/2011/relationships/chartStyle" Target="style82.xml"/></Relationships>
</file>

<file path=xl/charts/_rels/chart83.xml.rels><?xml version="1.0" encoding="UTF-8" standalone="yes"?>
<Relationships xmlns="http://schemas.openxmlformats.org/package/2006/relationships"><Relationship Id="rId2" Type="http://schemas.microsoft.com/office/2011/relationships/chartColorStyle" Target="colors83.xml"/><Relationship Id="rId1" Type="http://schemas.microsoft.com/office/2011/relationships/chartStyle" Target="style83.xml"/></Relationships>
</file>

<file path=xl/charts/_rels/chart84.xml.rels><?xml version="1.0" encoding="UTF-8" standalone="yes"?>
<Relationships xmlns="http://schemas.openxmlformats.org/package/2006/relationships"><Relationship Id="rId2" Type="http://schemas.microsoft.com/office/2011/relationships/chartColorStyle" Target="colors84.xml"/><Relationship Id="rId1" Type="http://schemas.microsoft.com/office/2011/relationships/chartStyle" Target="style84.xml"/></Relationships>
</file>

<file path=xl/charts/_rels/chart85.xml.rels><?xml version="1.0" encoding="UTF-8" standalone="yes"?>
<Relationships xmlns="http://schemas.openxmlformats.org/package/2006/relationships"><Relationship Id="rId2" Type="http://schemas.microsoft.com/office/2011/relationships/chartColorStyle" Target="colors85.xml"/><Relationship Id="rId1" Type="http://schemas.microsoft.com/office/2011/relationships/chartStyle" Target="style85.xml"/></Relationships>
</file>

<file path=xl/charts/_rels/chart86.xml.rels><?xml version="1.0" encoding="UTF-8" standalone="yes"?>
<Relationships xmlns="http://schemas.openxmlformats.org/package/2006/relationships"><Relationship Id="rId2" Type="http://schemas.microsoft.com/office/2011/relationships/chartColorStyle" Target="colors86.xml"/><Relationship Id="rId1" Type="http://schemas.microsoft.com/office/2011/relationships/chartStyle" Target="style86.xml"/></Relationships>
</file>

<file path=xl/charts/_rels/chart87.xml.rels><?xml version="1.0" encoding="UTF-8" standalone="yes"?>
<Relationships xmlns="http://schemas.openxmlformats.org/package/2006/relationships"><Relationship Id="rId2" Type="http://schemas.microsoft.com/office/2011/relationships/chartColorStyle" Target="colors87.xml"/><Relationship Id="rId1" Type="http://schemas.microsoft.com/office/2011/relationships/chartStyle" Target="style87.xml"/></Relationships>
</file>

<file path=xl/charts/_rels/chart88.xml.rels><?xml version="1.0" encoding="UTF-8" standalone="yes"?>
<Relationships xmlns="http://schemas.openxmlformats.org/package/2006/relationships"><Relationship Id="rId2" Type="http://schemas.microsoft.com/office/2011/relationships/chartColorStyle" Target="colors88.xml"/><Relationship Id="rId1" Type="http://schemas.microsoft.com/office/2011/relationships/chartStyle" Target="style88.xml"/></Relationships>
</file>

<file path=xl/charts/_rels/chart89.xml.rels><?xml version="1.0" encoding="UTF-8" standalone="yes"?>
<Relationships xmlns="http://schemas.openxmlformats.org/package/2006/relationships"><Relationship Id="rId2" Type="http://schemas.microsoft.com/office/2011/relationships/chartColorStyle" Target="colors89.xml"/><Relationship Id="rId1" Type="http://schemas.microsoft.com/office/2011/relationships/chartStyle" Target="style89.xml"/></Relationships>
</file>

<file path=xl/charts/_rels/chart90.xml.rels><?xml version="1.0" encoding="UTF-8" standalone="yes"?>
<Relationships xmlns="http://schemas.openxmlformats.org/package/2006/relationships"><Relationship Id="rId2" Type="http://schemas.microsoft.com/office/2011/relationships/chartColorStyle" Target="colors90.xml"/><Relationship Id="rId1" Type="http://schemas.microsoft.com/office/2011/relationships/chartStyle" Target="style90.xml"/></Relationships>
</file>

<file path=xl/charts/_rels/chart91.xml.rels><?xml version="1.0" encoding="UTF-8" standalone="yes"?>
<Relationships xmlns="http://schemas.openxmlformats.org/package/2006/relationships"><Relationship Id="rId2" Type="http://schemas.microsoft.com/office/2011/relationships/chartColorStyle" Target="colors91.xml"/><Relationship Id="rId1" Type="http://schemas.microsoft.com/office/2011/relationships/chartStyle" Target="style91.xml"/></Relationships>
</file>

<file path=xl/charts/_rels/chart92.xml.rels><?xml version="1.0" encoding="UTF-8" standalone="yes"?>
<Relationships xmlns="http://schemas.openxmlformats.org/package/2006/relationships"><Relationship Id="rId2" Type="http://schemas.microsoft.com/office/2011/relationships/chartColorStyle" Target="colors92.xml"/><Relationship Id="rId1" Type="http://schemas.microsoft.com/office/2011/relationships/chartStyle" Target="style92.xml"/></Relationships>
</file>

<file path=xl/charts/_rels/chart93.xml.rels><?xml version="1.0" encoding="UTF-8" standalone="yes"?>
<Relationships xmlns="http://schemas.openxmlformats.org/package/2006/relationships"><Relationship Id="rId2" Type="http://schemas.microsoft.com/office/2011/relationships/chartColorStyle" Target="colors93.xml"/><Relationship Id="rId1" Type="http://schemas.microsoft.com/office/2011/relationships/chartStyle" Target="style93.xml"/></Relationships>
</file>

<file path=xl/charts/_rels/chart94.xml.rels><?xml version="1.0" encoding="UTF-8" standalone="yes"?>
<Relationships xmlns="http://schemas.openxmlformats.org/package/2006/relationships"><Relationship Id="rId2" Type="http://schemas.microsoft.com/office/2011/relationships/chartColorStyle" Target="colors94.xml"/><Relationship Id="rId1" Type="http://schemas.microsoft.com/office/2011/relationships/chartStyle" Target="style94.xml"/></Relationships>
</file>

<file path=xl/charts/_rels/chart95.xml.rels><?xml version="1.0" encoding="UTF-8" standalone="yes"?>
<Relationships xmlns="http://schemas.openxmlformats.org/package/2006/relationships"><Relationship Id="rId2" Type="http://schemas.microsoft.com/office/2011/relationships/chartColorStyle" Target="colors95.xml"/><Relationship Id="rId1" Type="http://schemas.microsoft.com/office/2011/relationships/chartStyle" Target="style95.xml"/></Relationships>
</file>

<file path=xl/charts/_rels/chart96.xml.rels><?xml version="1.0" encoding="UTF-8" standalone="yes"?>
<Relationships xmlns="http://schemas.openxmlformats.org/package/2006/relationships"><Relationship Id="rId2" Type="http://schemas.microsoft.com/office/2011/relationships/chartColorStyle" Target="colors96.xml"/><Relationship Id="rId1" Type="http://schemas.microsoft.com/office/2011/relationships/chartStyle" Target="style96.xml"/></Relationships>
</file>

<file path=xl/charts/_rels/chart97.xml.rels><?xml version="1.0" encoding="UTF-8" standalone="yes"?>
<Relationships xmlns="http://schemas.openxmlformats.org/package/2006/relationships"><Relationship Id="rId2" Type="http://schemas.microsoft.com/office/2011/relationships/chartColorStyle" Target="colors97.xml"/><Relationship Id="rId1" Type="http://schemas.microsoft.com/office/2011/relationships/chartStyle" Target="style97.xml"/></Relationships>
</file>

<file path=xl/charts/_rels/chart98.xml.rels><?xml version="1.0" encoding="UTF-8" standalone="yes"?>
<Relationships xmlns="http://schemas.openxmlformats.org/package/2006/relationships"><Relationship Id="rId2" Type="http://schemas.microsoft.com/office/2011/relationships/chartColorStyle" Target="colors98.xml"/><Relationship Id="rId1" Type="http://schemas.microsoft.com/office/2011/relationships/chartStyle" Target="style98.xml"/></Relationships>
</file>

<file path=xl/charts/_rels/chart99.xml.rels><?xml version="1.0" encoding="UTF-8" standalone="yes"?>
<Relationships xmlns="http://schemas.openxmlformats.org/package/2006/relationships"><Relationship Id="rId2" Type="http://schemas.microsoft.com/office/2011/relationships/chartColorStyle" Target="colors99.xml"/><Relationship Id="rId1" Type="http://schemas.microsoft.com/office/2011/relationships/chartStyle" Target="style99.xml"/></Relationships>
</file>

<file path=xl/charts/_rels/chart100.xml.rels><?xml version="1.0" encoding="UTF-8" standalone="yes"?>
<Relationships xmlns="http://schemas.openxmlformats.org/package/2006/relationships"><Relationship Id="rId2" Type="http://schemas.microsoft.com/office/2011/relationships/chartColorStyle" Target="colors100.xml"/><Relationship Id="rId1" Type="http://schemas.microsoft.com/office/2011/relationships/chartStyle" Target="style100.xml"/></Relationships>
</file>

<file path=xl/charts/_rels/chart101.xml.rels><?xml version="1.0" encoding="UTF-8" standalone="yes"?>
<Relationships xmlns="http://schemas.openxmlformats.org/package/2006/relationships"><Relationship Id="rId2" Type="http://schemas.microsoft.com/office/2011/relationships/chartColorStyle" Target="colors101.xml"/><Relationship Id="rId1" Type="http://schemas.microsoft.com/office/2011/relationships/chartStyle" Target="style101.xml"/></Relationships>
</file>

<file path=xl/charts/_rels/chart102.xml.rels><?xml version="1.0" encoding="UTF-8" standalone="yes"?>
<Relationships xmlns="http://schemas.openxmlformats.org/package/2006/relationships"><Relationship Id="rId2" Type="http://schemas.microsoft.com/office/2011/relationships/chartColorStyle" Target="colors102.xml"/><Relationship Id="rId1" Type="http://schemas.microsoft.com/office/2011/relationships/chartStyle" Target="style102.xml"/></Relationships>
</file>

<file path=xl/charts/_rels/chart103.xml.rels><?xml version="1.0" encoding="UTF-8" standalone="yes"?>
<Relationships xmlns="http://schemas.openxmlformats.org/package/2006/relationships"><Relationship Id="rId2" Type="http://schemas.microsoft.com/office/2011/relationships/chartColorStyle" Target="colors103.xml"/><Relationship Id="rId1" Type="http://schemas.microsoft.com/office/2011/relationships/chartStyle" Target="style103.xml"/></Relationships>
</file>

<file path=xl/charts/_rels/chart104.xml.rels><?xml version="1.0" encoding="UTF-8" standalone="yes"?>
<Relationships xmlns="http://schemas.openxmlformats.org/package/2006/relationships"><Relationship Id="rId2" Type="http://schemas.microsoft.com/office/2011/relationships/chartColorStyle" Target="colors104.xml"/><Relationship Id="rId1" Type="http://schemas.microsoft.com/office/2011/relationships/chartStyle" Target="style104.xml"/></Relationships>
</file>

<file path=xl/charts/_rels/chart105.xml.rels><?xml version="1.0" encoding="UTF-8" standalone="yes"?>
<Relationships xmlns="http://schemas.openxmlformats.org/package/2006/relationships"><Relationship Id="rId2" Type="http://schemas.microsoft.com/office/2011/relationships/chartColorStyle" Target="colors105.xml"/><Relationship Id="rId1" Type="http://schemas.microsoft.com/office/2011/relationships/chartStyle" Target="style105.xml"/></Relationships>
</file>

<file path=xl/charts/_rels/chart106.xml.rels><?xml version="1.0" encoding="UTF-8" standalone="yes"?>
<Relationships xmlns="http://schemas.openxmlformats.org/package/2006/relationships"><Relationship Id="rId2" Type="http://schemas.microsoft.com/office/2011/relationships/chartColorStyle" Target="colors106.xml"/><Relationship Id="rId1" Type="http://schemas.microsoft.com/office/2011/relationships/chartStyle" Target="style106.xml"/></Relationships>
</file>

<file path=xl/charts/_rels/chart107.xml.rels><?xml version="1.0" encoding="UTF-8" standalone="yes"?>
<Relationships xmlns="http://schemas.openxmlformats.org/package/2006/relationships"><Relationship Id="rId2" Type="http://schemas.microsoft.com/office/2011/relationships/chartColorStyle" Target="colors107.xml"/><Relationship Id="rId1" Type="http://schemas.microsoft.com/office/2011/relationships/chartStyle" Target="style107.xml"/></Relationships>
</file>

<file path=xl/charts/_rels/chart108.xml.rels><?xml version="1.0" encoding="UTF-8" standalone="yes"?>
<Relationships xmlns="http://schemas.openxmlformats.org/package/2006/relationships"><Relationship Id="rId2" Type="http://schemas.microsoft.com/office/2011/relationships/chartColorStyle" Target="colors108.xml"/><Relationship Id="rId1" Type="http://schemas.microsoft.com/office/2011/relationships/chartStyle" Target="style108.xml"/></Relationships>
</file>

<file path=xl/charts/_rels/chart109.xml.rels><?xml version="1.0" encoding="UTF-8" standalone="yes"?>
<Relationships xmlns="http://schemas.openxmlformats.org/package/2006/relationships"><Relationship Id="rId2" Type="http://schemas.microsoft.com/office/2011/relationships/chartColorStyle" Target="colors109.xml"/><Relationship Id="rId1" Type="http://schemas.microsoft.com/office/2011/relationships/chartStyle" Target="style109.xml"/></Relationships>
</file>

<file path=xl/charts/_rels/chart110.xml.rels><?xml version="1.0" encoding="UTF-8" standalone="yes"?>
<Relationships xmlns="http://schemas.openxmlformats.org/package/2006/relationships"><Relationship Id="rId2" Type="http://schemas.microsoft.com/office/2011/relationships/chartColorStyle" Target="colors110.xml"/><Relationship Id="rId1" Type="http://schemas.microsoft.com/office/2011/relationships/chartStyle" Target="style1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</a:t>
            </a:r>
            <a:r>
              <a:rPr lang="en-US" baseline="0"/>
              <a:t> Vs Cobranza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'P1'!$C$3</c:f>
              <c:strCache>
                <c:ptCount val="1"/>
                <c:pt idx="0">
                  <c:v>Meta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'P1'!$B$4:$B$31</c:f>
              <c:numCache>
                <c:formatCode>m/d/yy</c:formatCode>
                <c:ptCount val="28"/>
                <c:pt idx="0">
                  <c:v>45544</c:v>
                </c:pt>
                <c:pt idx="1">
                  <c:v>45551</c:v>
                </c:pt>
                <c:pt idx="2">
                  <c:v>45558</c:v>
                </c:pt>
                <c:pt idx="3">
                  <c:v>45565</c:v>
                </c:pt>
                <c:pt idx="4">
                  <c:v>45572</c:v>
                </c:pt>
                <c:pt idx="5">
                  <c:v>45579</c:v>
                </c:pt>
                <c:pt idx="6">
                  <c:v>45586</c:v>
                </c:pt>
                <c:pt idx="7">
                  <c:v>45593</c:v>
                </c:pt>
                <c:pt idx="8">
                  <c:v>45600</c:v>
                </c:pt>
                <c:pt idx="9">
                  <c:v>45607</c:v>
                </c:pt>
                <c:pt idx="10">
                  <c:v>45614</c:v>
                </c:pt>
                <c:pt idx="11">
                  <c:v>45621</c:v>
                </c:pt>
                <c:pt idx="12">
                  <c:v>45628</c:v>
                </c:pt>
                <c:pt idx="13">
                  <c:v>45635</c:v>
                </c:pt>
                <c:pt idx="14">
                  <c:v>45642</c:v>
                </c:pt>
                <c:pt idx="15">
                  <c:v>45649</c:v>
                </c:pt>
                <c:pt idx="16">
                  <c:v>45656</c:v>
                </c:pt>
                <c:pt idx="17">
                  <c:v>45663</c:v>
                </c:pt>
                <c:pt idx="18">
                  <c:v>45670</c:v>
                </c:pt>
                <c:pt idx="19">
                  <c:v>45677</c:v>
                </c:pt>
                <c:pt idx="20">
                  <c:v>45684</c:v>
                </c:pt>
                <c:pt idx="21">
                  <c:v>45691</c:v>
                </c:pt>
                <c:pt idx="22">
                  <c:v>45698</c:v>
                </c:pt>
                <c:pt idx="23">
                  <c:v>45705</c:v>
                </c:pt>
                <c:pt idx="24">
                  <c:v>45712</c:v>
                </c:pt>
                <c:pt idx="25">
                  <c:v>45719</c:v>
                </c:pt>
                <c:pt idx="26">
                  <c:v>45726</c:v>
                </c:pt>
                <c:pt idx="27">
                  <c:v>45733</c:v>
                </c:pt>
              </c:numCache>
            </c:numRef>
          </c:cat>
          <c:val>
            <c:numRef>
              <c:f>'P1'!$C$4:$C$31</c:f>
              <c:numCache>
                <c:formatCode>"$"#,##0_);[Red]\("$"#,##0\)</c:formatCode>
                <c:ptCount val="28"/>
                <c:pt idx="0">
                  <c:v>300</c:v>
                </c:pt>
                <c:pt idx="1">
                  <c:v>1800</c:v>
                </c:pt>
                <c:pt idx="2" formatCode="_(&quot;$&quot;* #,##0.00_);_(&quot;$&quot;* \(#,##0.00\);_(&quot;$&quot;* &quot;-&quot;??_);_(@_)">
                  <c:v>2100</c:v>
                </c:pt>
                <c:pt idx="3" formatCode="_(&quot;$&quot;* #,##0.00_);_(&quot;$&quot;* \(#,##0.00\);_(&quot;$&quot;* &quot;-&quot;??_);_(@_)">
                  <c:v>3300</c:v>
                </c:pt>
                <c:pt idx="4" formatCode="_(&quot;$&quot;* #,##0.00_);_(&quot;$&quot;* \(#,##0.00\);_(&quot;$&quot;* &quot;-&quot;??_);_(@_)">
                  <c:v>3300</c:v>
                </c:pt>
                <c:pt idx="5" formatCode="_(&quot;$&quot;* #,##0.00_);_(&quot;$&quot;* \(#,##0.00\);_(&quot;$&quot;* &quot;-&quot;??_);_(@_)">
                  <c:v>3600</c:v>
                </c:pt>
                <c:pt idx="6" formatCode="_(&quot;$&quot;* #,##0.00_);_(&quot;$&quot;* \(#,##0.00\);_(&quot;$&quot;* &quot;-&quot;??_);_(@_)">
                  <c:v>3600</c:v>
                </c:pt>
                <c:pt idx="7" formatCode="_(&quot;$&quot;* #,##0.00_);_(&quot;$&quot;* \(#,##0.00\);_(&quot;$&quot;* &quot;-&quot;??_);_(@_)">
                  <c:v>4200</c:v>
                </c:pt>
                <c:pt idx="8" formatCode="_(&quot;$&quot;* #,##0.00_);_(&quot;$&quot;* \(#,##0.00\);_(&quot;$&quot;* &quot;-&quot;??_);_(@_)">
                  <c:v>4500</c:v>
                </c:pt>
                <c:pt idx="9" formatCode="_(&quot;$&quot;* #,##0.00_);_(&quot;$&quot;* \(#,##0.00\);_(&quot;$&quot;* &quot;-&quot;??_);_(@_)">
                  <c:v>4500</c:v>
                </c:pt>
                <c:pt idx="10" formatCode="_(&quot;$&quot;* #,##0.00_);_(&quot;$&quot;* \(#,##0.00\);_(&quot;$&quot;* &quot;-&quot;??_);_(@_)">
                  <c:v>4500</c:v>
                </c:pt>
                <c:pt idx="11" formatCode="_(&quot;$&quot;* #,##0.00_);_(&quot;$&quot;* \(#,##0.00\);_(&quot;$&quot;* &quot;-&quot;??_);_(@_)">
                  <c:v>4500</c:v>
                </c:pt>
                <c:pt idx="12" formatCode="_(&quot;$&quot;* #,##0.00_);_(&quot;$&quot;* \(#,##0.00\);_(&quot;$&quot;* &quot;-&quot;??_);_(@_)">
                  <c:v>4500</c:v>
                </c:pt>
                <c:pt idx="13" formatCode="_(&quot;$&quot;* #,##0.00_);_(&quot;$&quot;* \(#,##0.00\);_(&quot;$&quot;* &quot;-&quot;??_);_(@_)">
                  <c:v>4200</c:v>
                </c:pt>
                <c:pt idx="14" formatCode="_(&quot;$&quot;* #,##0.00_);_(&quot;$&quot;* \(#,##0.00\);_(&quot;$&quot;* &quot;-&quot;??_);_(@_)">
                  <c:v>3900</c:v>
                </c:pt>
                <c:pt idx="15" formatCode="_(&quot;$&quot;* #,##0.00_);_(&quot;$&quot;* \(#,##0.00\);_(&quot;$&quot;* &quot;-&quot;??_);_(@_)">
                  <c:v>3050</c:v>
                </c:pt>
                <c:pt idx="16" formatCode="_(&quot;$&quot;* #,##0.00_);_(&quot;$&quot;* \(#,##0.00\);_(&quot;$&quot;* &quot;-&quot;??_);_(@_)">
                  <c:v>2550</c:v>
                </c:pt>
                <c:pt idx="17" formatCode="_(&quot;$&quot;* #,##0.00_);_(&quot;$&quot;* \(#,##0.00\);_(&quot;$&quot;* &quot;-&quot;??_);_(@_)">
                  <c:v>1350</c:v>
                </c:pt>
                <c:pt idx="18" formatCode="_(&quot;$&quot;* #,##0.00_);_(&quot;$&quot;* \(#,##0.00\);_(&quot;$&quot;* &quot;-&quot;??_);_(@_)">
                  <c:v>1350</c:v>
                </c:pt>
                <c:pt idx="19" formatCode="_(&quot;$&quot;* #,##0.00_);_(&quot;$&quot;* \(#,##0.00\);_(&quot;$&quot;* &quot;-&quot;??_);_(@_)">
                  <c:v>1250</c:v>
                </c:pt>
                <c:pt idx="20" formatCode="_(&quot;$&quot;* #,##0.00_);_(&quot;$&quot;* \(#,##0.00\);_(&quot;$&quot;* &quot;-&quot;??_);_(@_)">
                  <c:v>1250</c:v>
                </c:pt>
                <c:pt idx="21" formatCode="_(&quot;$&quot;* #,##0.00_);_(&quot;$&quot;* \(#,##0.00\);_(&quot;$&quot;* &quot;-&quot;??_);_(@_)">
                  <c:v>350</c:v>
                </c:pt>
                <c:pt idx="22" formatCode="_(&quot;$&quot;* #,##0.00_);_(&quot;$&quot;* \(#,##0.00\);_(&quot;$&quot;* &quot;-&quot;??_);_(@_)">
                  <c:v>350</c:v>
                </c:pt>
                <c:pt idx="23" formatCode="_(&quot;$&quot;* #,##0.00_);_(&quot;$&quot;* \(#,##0.00\);_(&quot;$&quot;* &quot;-&quot;??_);_(@_)">
                  <c:v>1050</c:v>
                </c:pt>
                <c:pt idx="24" formatCode="_(&quot;$&quot;* #,##0.00_);_(&quot;$&quot;* \(#,##0.00\);_(&quot;$&quot;* &quot;-&quot;??_);_(@_)">
                  <c:v>1050</c:v>
                </c:pt>
                <c:pt idx="25" formatCode="_(&quot;$&quot;* #,##0.00_);_(&quot;$&quot;* \(#,##0.00\);_(&quot;$&quot;* &quot;-&quot;??_);_(@_)">
                  <c:v>1050</c:v>
                </c:pt>
                <c:pt idx="26" formatCode="_(&quot;$&quot;* #,##0.00_);_(&quot;$&quot;* \(#,##0.00\);_(&quot;$&quot;* &quot;-&quot;??_);_(@_)">
                  <c:v>1750</c:v>
                </c:pt>
                <c:pt idx="27" formatCode="_(&quot;$&quot;* #,##0.00_);_(&quot;$&quot;* \(#,##0.00\);_(&quot;$&quot;* &quot;-&quot;??_);_(@_)">
                  <c:v>2050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BA-C44A-A08B-AE082C7C8A26}"/>
            </c:ext>
          </c:extLst>
        </c:ser>
        <c:ser>
          <c:idx val="1"/>
          <c:order val="1"/>
          <c:tx>
            <c:strRef>
              <c:f>'P1'!$D$3</c:f>
              <c:strCache>
                <c:ptCount val="1"/>
                <c:pt idx="0">
                  <c:v> Cobranza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'P1'!$B$4:$B$31</c:f>
              <c:numCache>
                <c:formatCode>m/d/yy</c:formatCode>
                <c:ptCount val="28"/>
                <c:pt idx="0">
                  <c:v>45544</c:v>
                </c:pt>
                <c:pt idx="1">
                  <c:v>45551</c:v>
                </c:pt>
                <c:pt idx="2">
                  <c:v>45558</c:v>
                </c:pt>
                <c:pt idx="3">
                  <c:v>45565</c:v>
                </c:pt>
                <c:pt idx="4">
                  <c:v>45572</c:v>
                </c:pt>
                <c:pt idx="5">
                  <c:v>45579</c:v>
                </c:pt>
                <c:pt idx="6">
                  <c:v>45586</c:v>
                </c:pt>
                <c:pt idx="7">
                  <c:v>45593</c:v>
                </c:pt>
                <c:pt idx="8">
                  <c:v>45600</c:v>
                </c:pt>
                <c:pt idx="9">
                  <c:v>45607</c:v>
                </c:pt>
                <c:pt idx="10">
                  <c:v>45614</c:v>
                </c:pt>
                <c:pt idx="11">
                  <c:v>45621</c:v>
                </c:pt>
                <c:pt idx="12">
                  <c:v>45628</c:v>
                </c:pt>
                <c:pt idx="13">
                  <c:v>45635</c:v>
                </c:pt>
                <c:pt idx="14">
                  <c:v>45642</c:v>
                </c:pt>
                <c:pt idx="15">
                  <c:v>45649</c:v>
                </c:pt>
                <c:pt idx="16">
                  <c:v>45656</c:v>
                </c:pt>
                <c:pt idx="17">
                  <c:v>45663</c:v>
                </c:pt>
                <c:pt idx="18">
                  <c:v>45670</c:v>
                </c:pt>
                <c:pt idx="19">
                  <c:v>45677</c:v>
                </c:pt>
                <c:pt idx="20">
                  <c:v>45684</c:v>
                </c:pt>
                <c:pt idx="21">
                  <c:v>45691</c:v>
                </c:pt>
                <c:pt idx="22">
                  <c:v>45698</c:v>
                </c:pt>
                <c:pt idx="23">
                  <c:v>45705</c:v>
                </c:pt>
                <c:pt idx="24">
                  <c:v>45712</c:v>
                </c:pt>
                <c:pt idx="25">
                  <c:v>45719</c:v>
                </c:pt>
                <c:pt idx="26">
                  <c:v>45726</c:v>
                </c:pt>
                <c:pt idx="27">
                  <c:v>45733</c:v>
                </c:pt>
              </c:numCache>
            </c:numRef>
          </c:cat>
          <c:val>
            <c:numRef>
              <c:f>'P1'!$D$4:$D$31</c:f>
              <c:numCache>
                <c:formatCode>_("$"* #,##0.00_);_("$"* \(#,##0.00\);_("$"* "-"??_);_(@_)</c:formatCode>
                <c:ptCount val="28"/>
                <c:pt idx="0" formatCode="&quot;$&quot;#,##0_);[Red]\(&quot;$&quot;#,##0\)">
                  <c:v>300</c:v>
                </c:pt>
                <c:pt idx="1">
                  <c:v>1800</c:v>
                </c:pt>
                <c:pt idx="2">
                  <c:v>2100</c:v>
                </c:pt>
                <c:pt idx="3">
                  <c:v>3300</c:v>
                </c:pt>
                <c:pt idx="4">
                  <c:v>2700</c:v>
                </c:pt>
                <c:pt idx="5">
                  <c:v>4200</c:v>
                </c:pt>
                <c:pt idx="6">
                  <c:v>2700</c:v>
                </c:pt>
                <c:pt idx="7">
                  <c:v>2700</c:v>
                </c:pt>
                <c:pt idx="8">
                  <c:v>5200</c:v>
                </c:pt>
                <c:pt idx="9">
                  <c:v>3800</c:v>
                </c:pt>
                <c:pt idx="10">
                  <c:v>4200</c:v>
                </c:pt>
                <c:pt idx="11">
                  <c:v>3400</c:v>
                </c:pt>
                <c:pt idx="12">
                  <c:v>3400</c:v>
                </c:pt>
                <c:pt idx="13">
                  <c:v>5000</c:v>
                </c:pt>
                <c:pt idx="14">
                  <c:v>3650</c:v>
                </c:pt>
                <c:pt idx="15">
                  <c:v>2150</c:v>
                </c:pt>
                <c:pt idx="16">
                  <c:v>2950</c:v>
                </c:pt>
                <c:pt idx="17">
                  <c:v>900</c:v>
                </c:pt>
                <c:pt idx="18">
                  <c:v>2100</c:v>
                </c:pt>
                <c:pt idx="19">
                  <c:v>2850</c:v>
                </c:pt>
                <c:pt idx="20">
                  <c:v>1550</c:v>
                </c:pt>
                <c:pt idx="21">
                  <c:v>950</c:v>
                </c:pt>
                <c:pt idx="22">
                  <c:v>700</c:v>
                </c:pt>
                <c:pt idx="23">
                  <c:v>1050</c:v>
                </c:pt>
                <c:pt idx="24">
                  <c:v>1050</c:v>
                </c:pt>
                <c:pt idx="25">
                  <c:v>1050</c:v>
                </c:pt>
                <c:pt idx="26">
                  <c:v>1400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BA-C44A-A08B-AE082C7C8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7059759"/>
        <c:axId val="716498687"/>
      </c:lineChart>
      <c:dateAx>
        <c:axId val="717059759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498687"/>
        <c:crosses val="autoZero"/>
        <c:auto val="1"/>
        <c:lblOffset val="100"/>
        <c:baseTimeUnit val="days"/>
      </c:dateAx>
      <c:valAx>
        <c:axId val="71649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059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'P1'!$F$3</c:f>
              <c:strCache>
                <c:ptCount val="1"/>
                <c:pt idx="0">
                  <c:v>% de Deuda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'P1'!$B$4:$B$31</c:f>
              <c:numCache>
                <c:formatCode>m/d/yy</c:formatCode>
                <c:ptCount val="28"/>
                <c:pt idx="0">
                  <c:v>45544</c:v>
                </c:pt>
                <c:pt idx="1">
                  <c:v>45551</c:v>
                </c:pt>
                <c:pt idx="2">
                  <c:v>45558</c:v>
                </c:pt>
                <c:pt idx="3">
                  <c:v>45565</c:v>
                </c:pt>
                <c:pt idx="4">
                  <c:v>45572</c:v>
                </c:pt>
                <c:pt idx="5">
                  <c:v>45579</c:v>
                </c:pt>
                <c:pt idx="6">
                  <c:v>45586</c:v>
                </c:pt>
                <c:pt idx="7">
                  <c:v>45593</c:v>
                </c:pt>
                <c:pt idx="8">
                  <c:v>45600</c:v>
                </c:pt>
                <c:pt idx="9">
                  <c:v>45607</c:v>
                </c:pt>
                <c:pt idx="10">
                  <c:v>45614</c:v>
                </c:pt>
                <c:pt idx="11">
                  <c:v>45621</c:v>
                </c:pt>
                <c:pt idx="12">
                  <c:v>45628</c:v>
                </c:pt>
                <c:pt idx="13">
                  <c:v>45635</c:v>
                </c:pt>
                <c:pt idx="14">
                  <c:v>45642</c:v>
                </c:pt>
                <c:pt idx="15">
                  <c:v>45649</c:v>
                </c:pt>
                <c:pt idx="16">
                  <c:v>45656</c:v>
                </c:pt>
                <c:pt idx="17">
                  <c:v>45663</c:v>
                </c:pt>
                <c:pt idx="18">
                  <c:v>45670</c:v>
                </c:pt>
                <c:pt idx="19">
                  <c:v>45677</c:v>
                </c:pt>
                <c:pt idx="20">
                  <c:v>45684</c:v>
                </c:pt>
                <c:pt idx="21">
                  <c:v>45691</c:v>
                </c:pt>
                <c:pt idx="22">
                  <c:v>45698</c:v>
                </c:pt>
                <c:pt idx="23">
                  <c:v>45705</c:v>
                </c:pt>
                <c:pt idx="24">
                  <c:v>45712</c:v>
                </c:pt>
                <c:pt idx="25">
                  <c:v>45719</c:v>
                </c:pt>
                <c:pt idx="26">
                  <c:v>45726</c:v>
                </c:pt>
                <c:pt idx="27">
                  <c:v>45733</c:v>
                </c:pt>
              </c:numCache>
            </c:numRef>
          </c:cat>
          <c:val>
            <c:numRef>
              <c:f>'P1'!$F$4:$F$31</c:f>
              <c:numCache>
                <c:formatCode>0.00%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5.5555555555555552E-2</c:v>
                </c:pt>
                <c:pt idx="5">
                  <c:v>0</c:v>
                </c:pt>
                <c:pt idx="6">
                  <c:v>0.05</c:v>
                </c:pt>
                <c:pt idx="7">
                  <c:v>0.10810810810810811</c:v>
                </c:pt>
                <c:pt idx="8">
                  <c:v>6.3670411985018729E-2</c:v>
                </c:pt>
                <c:pt idx="9">
                  <c:v>7.6923076923076927E-2</c:v>
                </c:pt>
                <c:pt idx="10">
                  <c:v>7.5630252100840331E-2</c:v>
                </c:pt>
                <c:pt idx="11">
                  <c:v>9.4527363184079602E-2</c:v>
                </c:pt>
                <c:pt idx="12">
                  <c:v>0.10961968680089486</c:v>
                </c:pt>
                <c:pt idx="13">
                  <c:v>8.3844580777096112E-2</c:v>
                </c:pt>
                <c:pt idx="14">
                  <c:v>8.2386363636363633E-2</c:v>
                </c:pt>
                <c:pt idx="15">
                  <c:v>9.4001790510295433E-2</c:v>
                </c:pt>
                <c:pt idx="16">
                  <c:v>8.3047945205479451E-2</c:v>
                </c:pt>
                <c:pt idx="17">
                  <c:v>8.8702928870292894E-2</c:v>
                </c:pt>
                <c:pt idx="18">
                  <c:v>7.4468085106382975E-2</c:v>
                </c:pt>
                <c:pt idx="19">
                  <c:v>4.7313552526062549E-2</c:v>
                </c:pt>
                <c:pt idx="20">
                  <c:v>4.1666666666666664E-2</c:v>
                </c:pt>
                <c:pt idx="21">
                  <c:v>3.2056293979671621E-2</c:v>
                </c:pt>
                <c:pt idx="22">
                  <c:v>2.6438569206842923E-2</c:v>
                </c:pt>
                <c:pt idx="23">
                  <c:v>2.6013771996939557E-2</c:v>
                </c:pt>
                <c:pt idx="24">
                  <c:v>2.5602409638554216E-2</c:v>
                </c:pt>
                <c:pt idx="25">
                  <c:v>2.5203854707190512E-2</c:v>
                </c:pt>
                <c:pt idx="26">
                  <c:v>5.7543859649122807E-2</c:v>
                </c:pt>
                <c:pt idx="27">
                  <c:v>5.7543859649122807E-2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20-3F45-A9A2-7DFD83A26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944288"/>
        <c:axId val="1869815472"/>
      </c:lineChart>
      <c:dateAx>
        <c:axId val="18509442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15472"/>
        <c:crosses val="autoZero"/>
        <c:auto val="1"/>
        <c:lblOffset val="100"/>
        <c:baseTimeUnit val="days"/>
      </c:dateAx>
      <c:valAx>
        <c:axId val="18698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4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</a:t>
            </a:r>
            <a:r>
              <a:rPr lang="en-US" baseline="0"/>
              <a:t> Vs Cobranza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'P2'!$C$3</c:f>
              <c:strCache>
                <c:ptCount val="1"/>
                <c:pt idx="0">
                  <c:v>Meta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'P2'!$B$4:$B$25</c:f>
              <c:numCache>
                <c:formatCode>m/d/yy</c:formatCode>
                <c:ptCount val="22"/>
                <c:pt idx="0">
                  <c:v>45586</c:v>
                </c:pt>
                <c:pt idx="1">
                  <c:v>45593</c:v>
                </c:pt>
                <c:pt idx="2">
                  <c:v>45600</c:v>
                </c:pt>
                <c:pt idx="3">
                  <c:v>45607</c:v>
                </c:pt>
                <c:pt idx="4">
                  <c:v>45614</c:v>
                </c:pt>
                <c:pt idx="5">
                  <c:v>45621</c:v>
                </c:pt>
                <c:pt idx="6">
                  <c:v>45628</c:v>
                </c:pt>
                <c:pt idx="7">
                  <c:v>45635</c:v>
                </c:pt>
                <c:pt idx="8">
                  <c:v>45642</c:v>
                </c:pt>
                <c:pt idx="9">
                  <c:v>45649</c:v>
                </c:pt>
                <c:pt idx="10">
                  <c:v>45656</c:v>
                </c:pt>
                <c:pt idx="11">
                  <c:v>45663</c:v>
                </c:pt>
                <c:pt idx="12">
                  <c:v>45670</c:v>
                </c:pt>
                <c:pt idx="13">
                  <c:v>45677</c:v>
                </c:pt>
                <c:pt idx="14">
                  <c:v>45684</c:v>
                </c:pt>
                <c:pt idx="15">
                  <c:v>45691</c:v>
                </c:pt>
                <c:pt idx="16">
                  <c:v>45698</c:v>
                </c:pt>
                <c:pt idx="17">
                  <c:v>45705</c:v>
                </c:pt>
                <c:pt idx="18">
                  <c:v>45712</c:v>
                </c:pt>
                <c:pt idx="19">
                  <c:v>45719</c:v>
                </c:pt>
                <c:pt idx="20">
                  <c:v>45726</c:v>
                </c:pt>
                <c:pt idx="21">
                  <c:v>45733</c:v>
                </c:pt>
              </c:numCache>
            </c:numRef>
          </c:cat>
          <c:val>
            <c:numRef>
              <c:f>'P2'!$C$4:$C$25</c:f>
              <c:numCache>
                <c:formatCode>_("$"* #,##0.00_);_("$"* \(#,##0.00\);_("$"* "-"??_);_(@_)</c:formatCode>
                <c:ptCount val="22"/>
                <c:pt idx="0">
                  <c:v>600</c:v>
                </c:pt>
                <c:pt idx="1">
                  <c:v>1800</c:v>
                </c:pt>
                <c:pt idx="2">
                  <c:v>2400</c:v>
                </c:pt>
                <c:pt idx="3">
                  <c:v>3000</c:v>
                </c:pt>
                <c:pt idx="4">
                  <c:v>3900</c:v>
                </c:pt>
                <c:pt idx="5">
                  <c:v>3900</c:v>
                </c:pt>
                <c:pt idx="6">
                  <c:v>5400</c:v>
                </c:pt>
                <c:pt idx="7">
                  <c:v>6300</c:v>
                </c:pt>
                <c:pt idx="8">
                  <c:v>7800</c:v>
                </c:pt>
                <c:pt idx="9">
                  <c:v>8700</c:v>
                </c:pt>
                <c:pt idx="10">
                  <c:v>8750</c:v>
                </c:pt>
                <c:pt idx="11">
                  <c:v>8900</c:v>
                </c:pt>
                <c:pt idx="12">
                  <c:v>8900</c:v>
                </c:pt>
                <c:pt idx="13">
                  <c:v>8900</c:v>
                </c:pt>
                <c:pt idx="14">
                  <c:v>8900</c:v>
                </c:pt>
                <c:pt idx="15">
                  <c:v>8000</c:v>
                </c:pt>
                <c:pt idx="16">
                  <c:v>7700</c:v>
                </c:pt>
                <c:pt idx="17">
                  <c:v>7100</c:v>
                </c:pt>
                <c:pt idx="18">
                  <c:v>6200</c:v>
                </c:pt>
                <c:pt idx="19">
                  <c:v>6200</c:v>
                </c:pt>
                <c:pt idx="20">
                  <c:v>4700</c:v>
                </c:pt>
                <c:pt idx="21">
                  <c:v>3800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5E-C847-8C19-9B70DEBE6D6D}"/>
            </c:ext>
          </c:extLst>
        </c:ser>
        <c:ser>
          <c:idx val="1"/>
          <c:order val="1"/>
          <c:tx>
            <c:strRef>
              <c:f>'P2'!$D$3</c:f>
              <c:strCache>
                <c:ptCount val="1"/>
                <c:pt idx="0">
                  <c:v>Cobranza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'P2'!$B$4:$B$25</c:f>
              <c:numCache>
                <c:formatCode>m/d/yy</c:formatCode>
                <c:ptCount val="22"/>
                <c:pt idx="0">
                  <c:v>45586</c:v>
                </c:pt>
                <c:pt idx="1">
                  <c:v>45593</c:v>
                </c:pt>
                <c:pt idx="2">
                  <c:v>45600</c:v>
                </c:pt>
                <c:pt idx="3">
                  <c:v>45607</c:v>
                </c:pt>
                <c:pt idx="4">
                  <c:v>45614</c:v>
                </c:pt>
                <c:pt idx="5">
                  <c:v>45621</c:v>
                </c:pt>
                <c:pt idx="6">
                  <c:v>45628</c:v>
                </c:pt>
                <c:pt idx="7">
                  <c:v>45635</c:v>
                </c:pt>
                <c:pt idx="8">
                  <c:v>45642</c:v>
                </c:pt>
                <c:pt idx="9">
                  <c:v>45649</c:v>
                </c:pt>
                <c:pt idx="10">
                  <c:v>45656</c:v>
                </c:pt>
                <c:pt idx="11">
                  <c:v>45663</c:v>
                </c:pt>
                <c:pt idx="12">
                  <c:v>45670</c:v>
                </c:pt>
                <c:pt idx="13">
                  <c:v>45677</c:v>
                </c:pt>
                <c:pt idx="14">
                  <c:v>45684</c:v>
                </c:pt>
                <c:pt idx="15">
                  <c:v>45691</c:v>
                </c:pt>
                <c:pt idx="16">
                  <c:v>45698</c:v>
                </c:pt>
                <c:pt idx="17">
                  <c:v>45705</c:v>
                </c:pt>
                <c:pt idx="18">
                  <c:v>45712</c:v>
                </c:pt>
                <c:pt idx="19">
                  <c:v>45719</c:v>
                </c:pt>
                <c:pt idx="20">
                  <c:v>45726</c:v>
                </c:pt>
                <c:pt idx="21">
                  <c:v>45733</c:v>
                </c:pt>
              </c:numCache>
            </c:numRef>
          </c:cat>
          <c:val>
            <c:numRef>
              <c:f>'P2'!$D$4:$D$25</c:f>
              <c:numCache>
                <c:formatCode>_("$"* #,##0.00_);_("$"* \(#,##0.00\);_("$"* "-"??_);_(@_)</c:formatCode>
                <c:ptCount val="22"/>
                <c:pt idx="0">
                  <c:v>600</c:v>
                </c:pt>
                <c:pt idx="1">
                  <c:v>1800</c:v>
                </c:pt>
                <c:pt idx="2">
                  <c:v>2700</c:v>
                </c:pt>
                <c:pt idx="3">
                  <c:v>2700</c:v>
                </c:pt>
                <c:pt idx="4">
                  <c:v>4200</c:v>
                </c:pt>
                <c:pt idx="5">
                  <c:v>3600</c:v>
                </c:pt>
                <c:pt idx="6">
                  <c:v>5400</c:v>
                </c:pt>
                <c:pt idx="7">
                  <c:v>6300</c:v>
                </c:pt>
                <c:pt idx="8">
                  <c:v>7800</c:v>
                </c:pt>
                <c:pt idx="9">
                  <c:v>6900</c:v>
                </c:pt>
                <c:pt idx="10">
                  <c:v>10550</c:v>
                </c:pt>
                <c:pt idx="11">
                  <c:v>5800</c:v>
                </c:pt>
                <c:pt idx="12">
                  <c:v>2100</c:v>
                </c:pt>
                <c:pt idx="13">
                  <c:v>8950</c:v>
                </c:pt>
                <c:pt idx="14">
                  <c:v>4900</c:v>
                </c:pt>
                <c:pt idx="15">
                  <c:v>3000</c:v>
                </c:pt>
                <c:pt idx="16">
                  <c:v>0</c:v>
                </c:pt>
                <c:pt idx="17">
                  <c:v>6950</c:v>
                </c:pt>
                <c:pt idx="18">
                  <c:v>1500</c:v>
                </c:pt>
                <c:pt idx="19">
                  <c:v>0</c:v>
                </c:pt>
                <c:pt idx="20">
                  <c:v>1500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5E-C847-8C19-9B70DEBE6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0440095"/>
        <c:axId val="260824831"/>
      </c:lineChart>
      <c:dateAx>
        <c:axId val="71044009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824831"/>
        <c:crosses val="autoZero"/>
        <c:auto val="1"/>
        <c:lblOffset val="100"/>
        <c:baseTimeUnit val="days"/>
      </c:dateAx>
      <c:valAx>
        <c:axId val="260824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44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'P2'!$F$3</c:f>
              <c:strCache>
                <c:ptCount val="1"/>
                <c:pt idx="0">
                  <c:v>% de Deuda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'P2'!$B$4:$B$25</c:f>
              <c:numCache>
                <c:formatCode>m/d/yy</c:formatCode>
                <c:ptCount val="22"/>
                <c:pt idx="0">
                  <c:v>45586</c:v>
                </c:pt>
                <c:pt idx="1">
                  <c:v>45593</c:v>
                </c:pt>
                <c:pt idx="2">
                  <c:v>45600</c:v>
                </c:pt>
                <c:pt idx="3">
                  <c:v>45607</c:v>
                </c:pt>
                <c:pt idx="4">
                  <c:v>45614</c:v>
                </c:pt>
                <c:pt idx="5">
                  <c:v>45621</c:v>
                </c:pt>
                <c:pt idx="6">
                  <c:v>45628</c:v>
                </c:pt>
                <c:pt idx="7">
                  <c:v>45635</c:v>
                </c:pt>
                <c:pt idx="8">
                  <c:v>45642</c:v>
                </c:pt>
                <c:pt idx="9">
                  <c:v>45649</c:v>
                </c:pt>
                <c:pt idx="10">
                  <c:v>45656</c:v>
                </c:pt>
                <c:pt idx="11">
                  <c:v>45663</c:v>
                </c:pt>
                <c:pt idx="12">
                  <c:v>45670</c:v>
                </c:pt>
                <c:pt idx="13">
                  <c:v>45677</c:v>
                </c:pt>
                <c:pt idx="14">
                  <c:v>45684</c:v>
                </c:pt>
                <c:pt idx="15">
                  <c:v>45691</c:v>
                </c:pt>
                <c:pt idx="16">
                  <c:v>45698</c:v>
                </c:pt>
                <c:pt idx="17">
                  <c:v>45705</c:v>
                </c:pt>
                <c:pt idx="18">
                  <c:v>45712</c:v>
                </c:pt>
                <c:pt idx="19">
                  <c:v>45719</c:v>
                </c:pt>
                <c:pt idx="20">
                  <c:v>45726</c:v>
                </c:pt>
                <c:pt idx="21">
                  <c:v>45733</c:v>
                </c:pt>
              </c:numCache>
            </c:numRef>
          </c:cat>
          <c:val>
            <c:numRef>
              <c:f>'P2'!$F$4:$F$25</c:f>
              <c:numCache>
                <c:formatCode>0.0%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4.1095890410958902E-2</c:v>
                </c:pt>
                <c:pt idx="9">
                  <c:v>0</c:v>
                </c:pt>
                <c:pt idx="10">
                  <c:v>5.0447518307567128E-2</c:v>
                </c:pt>
                <c:pt idx="11">
                  <c:v>0.14072494669509594</c:v>
                </c:pt>
                <c:pt idx="12">
                  <c:v>0.12429022082018927</c:v>
                </c:pt>
                <c:pt idx="13">
                  <c:v>0.15711854792966534</c:v>
                </c:pt>
                <c:pt idx="14">
                  <c:v>0.19604784191367655</c:v>
                </c:pt>
                <c:pt idx="15">
                  <c:v>0.25565719788155994</c:v>
                </c:pt>
                <c:pt idx="16">
                  <c:v>0.24064894096439837</c:v>
                </c:pt>
                <c:pt idx="17">
                  <c:v>0.26803243704652158</c:v>
                </c:pt>
                <c:pt idx="18">
                  <c:v>0.33826317785362153</c:v>
                </c:pt>
                <c:pt idx="19">
                  <c:v>0.33826317785362153</c:v>
                </c:pt>
                <c:pt idx="20">
                  <c:v>0.33826317785362153</c:v>
                </c:pt>
                <c:pt idx="21">
                  <c:v>0.33826317785362153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49-624D-B575-35056DA65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944288"/>
        <c:axId val="1869815472"/>
      </c:lineChart>
      <c:dateAx>
        <c:axId val="18509442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15472"/>
        <c:crosses val="autoZero"/>
        <c:auto val="1"/>
        <c:lblOffset val="100"/>
        <c:baseTimeUnit val="days"/>
      </c:dateAx>
      <c:valAx>
        <c:axId val="18698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4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</a:t>
            </a:r>
            <a:r>
              <a:rPr lang="en-US" baseline="0"/>
              <a:t> Vs Cobranza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'P4'!$C$3</c:f>
              <c:strCache>
                <c:ptCount val="1"/>
                <c:pt idx="0">
                  <c:v>Meta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'P4'!$B$4:$B$42</c:f>
              <c:numCache>
                <c:formatCode>m/d/yy</c:formatCode>
                <c:ptCount val="39"/>
                <c:pt idx="0">
                  <c:v>45467</c:v>
                </c:pt>
                <c:pt idx="1">
                  <c:v>45474</c:v>
                </c:pt>
                <c:pt idx="2">
                  <c:v>45481</c:v>
                </c:pt>
                <c:pt idx="3">
                  <c:v>45488</c:v>
                </c:pt>
                <c:pt idx="4">
                  <c:v>45495</c:v>
                </c:pt>
                <c:pt idx="5">
                  <c:v>45502</c:v>
                </c:pt>
                <c:pt idx="6">
                  <c:v>45509</c:v>
                </c:pt>
                <c:pt idx="7">
                  <c:v>45516</c:v>
                </c:pt>
                <c:pt idx="8">
                  <c:v>45523</c:v>
                </c:pt>
                <c:pt idx="9">
                  <c:v>45530</c:v>
                </c:pt>
                <c:pt idx="10">
                  <c:v>45537</c:v>
                </c:pt>
                <c:pt idx="11">
                  <c:v>45544</c:v>
                </c:pt>
                <c:pt idx="12">
                  <c:v>45551</c:v>
                </c:pt>
                <c:pt idx="13">
                  <c:v>45558</c:v>
                </c:pt>
                <c:pt idx="14">
                  <c:v>45565</c:v>
                </c:pt>
                <c:pt idx="15">
                  <c:v>45572</c:v>
                </c:pt>
                <c:pt idx="16">
                  <c:v>45579</c:v>
                </c:pt>
                <c:pt idx="17">
                  <c:v>45586</c:v>
                </c:pt>
                <c:pt idx="18">
                  <c:v>45593</c:v>
                </c:pt>
                <c:pt idx="19">
                  <c:v>45600</c:v>
                </c:pt>
                <c:pt idx="20">
                  <c:v>45607</c:v>
                </c:pt>
                <c:pt idx="21">
                  <c:v>45614</c:v>
                </c:pt>
                <c:pt idx="22">
                  <c:v>45621</c:v>
                </c:pt>
                <c:pt idx="23">
                  <c:v>45628</c:v>
                </c:pt>
                <c:pt idx="24">
                  <c:v>45635</c:v>
                </c:pt>
                <c:pt idx="25">
                  <c:v>45642</c:v>
                </c:pt>
                <c:pt idx="26">
                  <c:v>45649</c:v>
                </c:pt>
                <c:pt idx="27">
                  <c:v>45656</c:v>
                </c:pt>
                <c:pt idx="28">
                  <c:v>45663</c:v>
                </c:pt>
                <c:pt idx="29">
                  <c:v>45670</c:v>
                </c:pt>
                <c:pt idx="30">
                  <c:v>45677</c:v>
                </c:pt>
                <c:pt idx="31">
                  <c:v>45684</c:v>
                </c:pt>
                <c:pt idx="32">
                  <c:v>45691</c:v>
                </c:pt>
                <c:pt idx="33">
                  <c:v>45698</c:v>
                </c:pt>
                <c:pt idx="34">
                  <c:v>45705</c:v>
                </c:pt>
                <c:pt idx="35">
                  <c:v>45712</c:v>
                </c:pt>
                <c:pt idx="36">
                  <c:v>45719</c:v>
                </c:pt>
                <c:pt idx="37">
                  <c:v>45726</c:v>
                </c:pt>
                <c:pt idx="38">
                  <c:v>45733</c:v>
                </c:pt>
              </c:numCache>
            </c:numRef>
          </c:cat>
          <c:val>
            <c:numRef>
              <c:f>'P4'!$C$4:$C$42</c:f>
              <c:numCache>
                <c:formatCode>_("$"* #,##0.00_);_("$"* \(#,##0.00\);_("$"* "-"??_);_(@_)</c:formatCode>
                <c:ptCount val="39"/>
                <c:pt idx="0">
                  <c:v>500</c:v>
                </c:pt>
                <c:pt idx="1">
                  <c:v>1000</c:v>
                </c:pt>
                <c:pt idx="2">
                  <c:v>1000</c:v>
                </c:pt>
                <c:pt idx="3">
                  <c:v>1250</c:v>
                </c:pt>
                <c:pt idx="4">
                  <c:v>1750</c:v>
                </c:pt>
                <c:pt idx="5">
                  <c:v>2000</c:v>
                </c:pt>
                <c:pt idx="6">
                  <c:v>2500</c:v>
                </c:pt>
                <c:pt idx="7">
                  <c:v>2750</c:v>
                </c:pt>
                <c:pt idx="8">
                  <c:v>2750</c:v>
                </c:pt>
                <c:pt idx="9">
                  <c:v>2750</c:v>
                </c:pt>
                <c:pt idx="10">
                  <c:v>2750</c:v>
                </c:pt>
                <c:pt idx="11">
                  <c:v>3050</c:v>
                </c:pt>
                <c:pt idx="12">
                  <c:v>3350</c:v>
                </c:pt>
                <c:pt idx="13">
                  <c:v>3400</c:v>
                </c:pt>
                <c:pt idx="14">
                  <c:v>3450</c:v>
                </c:pt>
                <c:pt idx="15">
                  <c:v>3250</c:v>
                </c:pt>
                <c:pt idx="16">
                  <c:v>3100</c:v>
                </c:pt>
                <c:pt idx="17">
                  <c:v>2950</c:v>
                </c:pt>
                <c:pt idx="18">
                  <c:v>2700</c:v>
                </c:pt>
                <c:pt idx="19">
                  <c:v>2700</c:v>
                </c:pt>
                <c:pt idx="20">
                  <c:v>3000</c:v>
                </c:pt>
                <c:pt idx="21">
                  <c:v>3000</c:v>
                </c:pt>
                <c:pt idx="22">
                  <c:v>3600</c:v>
                </c:pt>
                <c:pt idx="23">
                  <c:v>3900</c:v>
                </c:pt>
                <c:pt idx="24">
                  <c:v>3900</c:v>
                </c:pt>
                <c:pt idx="25">
                  <c:v>2750</c:v>
                </c:pt>
                <c:pt idx="26">
                  <c:v>3850</c:v>
                </c:pt>
                <c:pt idx="27">
                  <c:v>4450</c:v>
                </c:pt>
                <c:pt idx="28">
                  <c:v>4150</c:v>
                </c:pt>
                <c:pt idx="29">
                  <c:v>4500</c:v>
                </c:pt>
                <c:pt idx="30">
                  <c:v>4450</c:v>
                </c:pt>
                <c:pt idx="31">
                  <c:v>4550</c:v>
                </c:pt>
                <c:pt idx="32">
                  <c:v>5000</c:v>
                </c:pt>
                <c:pt idx="33">
                  <c:v>5100</c:v>
                </c:pt>
                <c:pt idx="34">
                  <c:v>5350</c:v>
                </c:pt>
                <c:pt idx="35">
                  <c:v>5000</c:v>
                </c:pt>
                <c:pt idx="36">
                  <c:v>5300</c:v>
                </c:pt>
                <c:pt idx="37">
                  <c:v>5300</c:v>
                </c:pt>
                <c:pt idx="38">
                  <c:v>5350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99-D045-A91C-9C62B4C5DCCE}"/>
            </c:ext>
          </c:extLst>
        </c:ser>
        <c:ser>
          <c:idx val="1"/>
          <c:order val="1"/>
          <c:tx>
            <c:strRef>
              <c:f>'P4'!$D$3</c:f>
              <c:strCache>
                <c:ptCount val="1"/>
                <c:pt idx="0">
                  <c:v>Cobranza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'P4'!$B$4:$B$42</c:f>
              <c:numCache>
                <c:formatCode>m/d/yy</c:formatCode>
                <c:ptCount val="39"/>
                <c:pt idx="0">
                  <c:v>45467</c:v>
                </c:pt>
                <c:pt idx="1">
                  <c:v>45474</c:v>
                </c:pt>
                <c:pt idx="2">
                  <c:v>45481</c:v>
                </c:pt>
                <c:pt idx="3">
                  <c:v>45488</c:v>
                </c:pt>
                <c:pt idx="4">
                  <c:v>45495</c:v>
                </c:pt>
                <c:pt idx="5">
                  <c:v>45502</c:v>
                </c:pt>
                <c:pt idx="6">
                  <c:v>45509</c:v>
                </c:pt>
                <c:pt idx="7">
                  <c:v>45516</c:v>
                </c:pt>
                <c:pt idx="8">
                  <c:v>45523</c:v>
                </c:pt>
                <c:pt idx="9">
                  <c:v>45530</c:v>
                </c:pt>
                <c:pt idx="10">
                  <c:v>45537</c:v>
                </c:pt>
                <c:pt idx="11">
                  <c:v>45544</c:v>
                </c:pt>
                <c:pt idx="12">
                  <c:v>45551</c:v>
                </c:pt>
                <c:pt idx="13">
                  <c:v>45558</c:v>
                </c:pt>
                <c:pt idx="14">
                  <c:v>45565</c:v>
                </c:pt>
                <c:pt idx="15">
                  <c:v>45572</c:v>
                </c:pt>
                <c:pt idx="16">
                  <c:v>45579</c:v>
                </c:pt>
                <c:pt idx="17">
                  <c:v>45586</c:v>
                </c:pt>
                <c:pt idx="18">
                  <c:v>45593</c:v>
                </c:pt>
                <c:pt idx="19">
                  <c:v>45600</c:v>
                </c:pt>
                <c:pt idx="20">
                  <c:v>45607</c:v>
                </c:pt>
                <c:pt idx="21">
                  <c:v>45614</c:v>
                </c:pt>
                <c:pt idx="22">
                  <c:v>45621</c:v>
                </c:pt>
                <c:pt idx="23">
                  <c:v>45628</c:v>
                </c:pt>
                <c:pt idx="24">
                  <c:v>45635</c:v>
                </c:pt>
                <c:pt idx="25">
                  <c:v>45642</c:v>
                </c:pt>
                <c:pt idx="26">
                  <c:v>45649</c:v>
                </c:pt>
                <c:pt idx="27">
                  <c:v>45656</c:v>
                </c:pt>
                <c:pt idx="28">
                  <c:v>45663</c:v>
                </c:pt>
                <c:pt idx="29">
                  <c:v>45670</c:v>
                </c:pt>
                <c:pt idx="30">
                  <c:v>45677</c:v>
                </c:pt>
                <c:pt idx="31">
                  <c:v>45684</c:v>
                </c:pt>
                <c:pt idx="32">
                  <c:v>45691</c:v>
                </c:pt>
                <c:pt idx="33">
                  <c:v>45698</c:v>
                </c:pt>
                <c:pt idx="34">
                  <c:v>45705</c:v>
                </c:pt>
                <c:pt idx="35">
                  <c:v>45712</c:v>
                </c:pt>
                <c:pt idx="36">
                  <c:v>45719</c:v>
                </c:pt>
                <c:pt idx="37">
                  <c:v>45726</c:v>
                </c:pt>
                <c:pt idx="38">
                  <c:v>45733</c:v>
                </c:pt>
              </c:numCache>
            </c:numRef>
          </c:cat>
          <c:val>
            <c:numRef>
              <c:f>'P4'!$D$4:$D$42</c:f>
              <c:numCache>
                <c:formatCode>_("$"* #,##0.00_);_("$"* \(#,##0.00\);_("$"* "-"??_);_(@_)</c:formatCode>
                <c:ptCount val="39"/>
                <c:pt idx="0">
                  <c:v>500</c:v>
                </c:pt>
                <c:pt idx="1">
                  <c:v>1000</c:v>
                </c:pt>
                <c:pt idx="2">
                  <c:v>1000</c:v>
                </c:pt>
                <c:pt idx="3">
                  <c:v>1250</c:v>
                </c:pt>
                <c:pt idx="4">
                  <c:v>1750</c:v>
                </c:pt>
                <c:pt idx="5">
                  <c:v>2250</c:v>
                </c:pt>
                <c:pt idx="6">
                  <c:v>2250</c:v>
                </c:pt>
                <c:pt idx="7">
                  <c:v>2750</c:v>
                </c:pt>
                <c:pt idx="8">
                  <c:v>2750</c:v>
                </c:pt>
                <c:pt idx="9">
                  <c:v>2750</c:v>
                </c:pt>
                <c:pt idx="10">
                  <c:v>2750</c:v>
                </c:pt>
                <c:pt idx="11">
                  <c:v>2800</c:v>
                </c:pt>
                <c:pt idx="12">
                  <c:v>2850</c:v>
                </c:pt>
                <c:pt idx="13">
                  <c:v>2900</c:v>
                </c:pt>
                <c:pt idx="14">
                  <c:v>4950</c:v>
                </c:pt>
                <c:pt idx="15">
                  <c:v>3000</c:v>
                </c:pt>
                <c:pt idx="16">
                  <c:v>4600</c:v>
                </c:pt>
                <c:pt idx="17">
                  <c:v>3950</c:v>
                </c:pt>
                <c:pt idx="18">
                  <c:v>2700</c:v>
                </c:pt>
                <c:pt idx="19">
                  <c:v>3000</c:v>
                </c:pt>
                <c:pt idx="20">
                  <c:v>3000</c:v>
                </c:pt>
                <c:pt idx="21">
                  <c:v>3000</c:v>
                </c:pt>
                <c:pt idx="22">
                  <c:v>3600</c:v>
                </c:pt>
                <c:pt idx="23">
                  <c:v>3900</c:v>
                </c:pt>
                <c:pt idx="24">
                  <c:v>3900</c:v>
                </c:pt>
                <c:pt idx="25">
                  <c:v>3950</c:v>
                </c:pt>
                <c:pt idx="26">
                  <c:v>4150</c:v>
                </c:pt>
                <c:pt idx="27">
                  <c:v>4100</c:v>
                </c:pt>
                <c:pt idx="28">
                  <c:v>4800</c:v>
                </c:pt>
                <c:pt idx="29">
                  <c:v>4500</c:v>
                </c:pt>
                <c:pt idx="30">
                  <c:v>4800</c:v>
                </c:pt>
                <c:pt idx="31">
                  <c:v>4900</c:v>
                </c:pt>
                <c:pt idx="32">
                  <c:v>5000</c:v>
                </c:pt>
                <c:pt idx="33">
                  <c:v>5350</c:v>
                </c:pt>
                <c:pt idx="34">
                  <c:v>5350</c:v>
                </c:pt>
                <c:pt idx="35">
                  <c:v>6400</c:v>
                </c:pt>
                <c:pt idx="36">
                  <c:v>5300</c:v>
                </c:pt>
                <c:pt idx="37">
                  <c:v>5300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99-D045-A91C-9C62B4C5D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5171887"/>
        <c:axId val="2141025504"/>
      </c:lineChart>
      <c:dateAx>
        <c:axId val="71517188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1025504"/>
        <c:crosses val="autoZero"/>
        <c:auto val="1"/>
        <c:lblOffset val="100"/>
        <c:baseTimeUnit val="days"/>
      </c:dateAx>
      <c:valAx>
        <c:axId val="214102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171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'P4'!$F$3</c:f>
              <c:strCache>
                <c:ptCount val="1"/>
                <c:pt idx="0">
                  <c:v>% de Deuda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'P4'!$B$4:$B$42</c:f>
              <c:numCache>
                <c:formatCode>m/d/yy</c:formatCode>
                <c:ptCount val="39"/>
                <c:pt idx="0">
                  <c:v>45467</c:v>
                </c:pt>
                <c:pt idx="1">
                  <c:v>45474</c:v>
                </c:pt>
                <c:pt idx="2">
                  <c:v>45481</c:v>
                </c:pt>
                <c:pt idx="3">
                  <c:v>45488</c:v>
                </c:pt>
                <c:pt idx="4">
                  <c:v>45495</c:v>
                </c:pt>
                <c:pt idx="5">
                  <c:v>45502</c:v>
                </c:pt>
                <c:pt idx="6">
                  <c:v>45509</c:v>
                </c:pt>
                <c:pt idx="7">
                  <c:v>45516</c:v>
                </c:pt>
                <c:pt idx="8">
                  <c:v>45523</c:v>
                </c:pt>
                <c:pt idx="9">
                  <c:v>45530</c:v>
                </c:pt>
                <c:pt idx="10">
                  <c:v>45537</c:v>
                </c:pt>
                <c:pt idx="11">
                  <c:v>45544</c:v>
                </c:pt>
                <c:pt idx="12">
                  <c:v>45551</c:v>
                </c:pt>
                <c:pt idx="13">
                  <c:v>45558</c:v>
                </c:pt>
                <c:pt idx="14">
                  <c:v>45565</c:v>
                </c:pt>
                <c:pt idx="15">
                  <c:v>45572</c:v>
                </c:pt>
                <c:pt idx="16">
                  <c:v>45579</c:v>
                </c:pt>
                <c:pt idx="17">
                  <c:v>45586</c:v>
                </c:pt>
                <c:pt idx="18">
                  <c:v>45593</c:v>
                </c:pt>
                <c:pt idx="19">
                  <c:v>45600</c:v>
                </c:pt>
                <c:pt idx="20">
                  <c:v>45607</c:v>
                </c:pt>
                <c:pt idx="21">
                  <c:v>45614</c:v>
                </c:pt>
                <c:pt idx="22">
                  <c:v>45621</c:v>
                </c:pt>
                <c:pt idx="23">
                  <c:v>45628</c:v>
                </c:pt>
                <c:pt idx="24">
                  <c:v>45635</c:v>
                </c:pt>
                <c:pt idx="25">
                  <c:v>45642</c:v>
                </c:pt>
                <c:pt idx="26">
                  <c:v>45649</c:v>
                </c:pt>
                <c:pt idx="27">
                  <c:v>45656</c:v>
                </c:pt>
                <c:pt idx="28">
                  <c:v>45663</c:v>
                </c:pt>
                <c:pt idx="29">
                  <c:v>45670</c:v>
                </c:pt>
                <c:pt idx="30">
                  <c:v>45677</c:v>
                </c:pt>
                <c:pt idx="31">
                  <c:v>45684</c:v>
                </c:pt>
                <c:pt idx="32">
                  <c:v>45691</c:v>
                </c:pt>
                <c:pt idx="33">
                  <c:v>45698</c:v>
                </c:pt>
                <c:pt idx="34">
                  <c:v>45705</c:v>
                </c:pt>
                <c:pt idx="35">
                  <c:v>45712</c:v>
                </c:pt>
                <c:pt idx="36">
                  <c:v>45719</c:v>
                </c:pt>
                <c:pt idx="37">
                  <c:v>45726</c:v>
                </c:pt>
                <c:pt idx="38">
                  <c:v>45733</c:v>
                </c:pt>
              </c:numCache>
            </c:numRef>
          </c:cat>
          <c:val>
            <c:numRef>
              <c:f>'P4'!$F$4:$F$42</c:f>
              <c:numCache>
                <c:formatCode>0.00%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1.0395010395010396E-2</c:v>
                </c:pt>
                <c:pt idx="12">
                  <c:v>2.7372262773722629E-2</c:v>
                </c:pt>
                <c:pt idx="13">
                  <c:v>4.0584415584415584E-2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C6-0545-B3C6-61EEB3E78D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944288"/>
        <c:axId val="1869815472"/>
      </c:lineChart>
      <c:dateAx>
        <c:axId val="18509442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15472"/>
        <c:crosses val="autoZero"/>
        <c:auto val="1"/>
        <c:lblOffset val="100"/>
        <c:baseTimeUnit val="days"/>
      </c:dateAx>
      <c:valAx>
        <c:axId val="18698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4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</a:t>
            </a:r>
            <a:r>
              <a:rPr lang="en-US" baseline="0"/>
              <a:t> Vs Cobranza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'P5'!$C$3</c:f>
              <c:strCache>
                <c:ptCount val="1"/>
                <c:pt idx="0">
                  <c:v>Meta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'P5'!$B$4:$B$43</c:f>
              <c:numCache>
                <c:formatCode>m/d/yy</c:formatCode>
                <c:ptCount val="40"/>
                <c:pt idx="0">
                  <c:v>45460</c:v>
                </c:pt>
                <c:pt idx="1">
                  <c:v>45467</c:v>
                </c:pt>
                <c:pt idx="2">
                  <c:v>45474</c:v>
                </c:pt>
                <c:pt idx="3">
                  <c:v>45481</c:v>
                </c:pt>
                <c:pt idx="4">
                  <c:v>45488</c:v>
                </c:pt>
                <c:pt idx="5">
                  <c:v>45495</c:v>
                </c:pt>
                <c:pt idx="6">
                  <c:v>45502</c:v>
                </c:pt>
                <c:pt idx="7">
                  <c:v>45509</c:v>
                </c:pt>
                <c:pt idx="8">
                  <c:v>45516</c:v>
                </c:pt>
                <c:pt idx="9">
                  <c:v>45523</c:v>
                </c:pt>
                <c:pt idx="10">
                  <c:v>45530</c:v>
                </c:pt>
                <c:pt idx="11">
                  <c:v>45537</c:v>
                </c:pt>
                <c:pt idx="12">
                  <c:v>45544</c:v>
                </c:pt>
                <c:pt idx="13">
                  <c:v>45551</c:v>
                </c:pt>
                <c:pt idx="14">
                  <c:v>45558</c:v>
                </c:pt>
                <c:pt idx="15">
                  <c:v>45565</c:v>
                </c:pt>
                <c:pt idx="16">
                  <c:v>45572</c:v>
                </c:pt>
                <c:pt idx="17">
                  <c:v>45579</c:v>
                </c:pt>
                <c:pt idx="18">
                  <c:v>45586</c:v>
                </c:pt>
                <c:pt idx="19">
                  <c:v>45593</c:v>
                </c:pt>
                <c:pt idx="20">
                  <c:v>45600</c:v>
                </c:pt>
                <c:pt idx="21">
                  <c:v>45607</c:v>
                </c:pt>
                <c:pt idx="22">
                  <c:v>45614</c:v>
                </c:pt>
                <c:pt idx="23">
                  <c:v>45621</c:v>
                </c:pt>
                <c:pt idx="24">
                  <c:v>45628</c:v>
                </c:pt>
                <c:pt idx="25">
                  <c:v>45635</c:v>
                </c:pt>
                <c:pt idx="26">
                  <c:v>45642</c:v>
                </c:pt>
                <c:pt idx="27">
                  <c:v>45649</c:v>
                </c:pt>
                <c:pt idx="28">
                  <c:v>45656</c:v>
                </c:pt>
                <c:pt idx="29">
                  <c:v>45663</c:v>
                </c:pt>
                <c:pt idx="30">
                  <c:v>45670</c:v>
                </c:pt>
                <c:pt idx="31">
                  <c:v>45677</c:v>
                </c:pt>
                <c:pt idx="32">
                  <c:v>45684</c:v>
                </c:pt>
                <c:pt idx="33">
                  <c:v>45691</c:v>
                </c:pt>
                <c:pt idx="34">
                  <c:v>45698</c:v>
                </c:pt>
                <c:pt idx="35">
                  <c:v>45705</c:v>
                </c:pt>
                <c:pt idx="36">
                  <c:v>45712</c:v>
                </c:pt>
                <c:pt idx="37">
                  <c:v>45719</c:v>
                </c:pt>
                <c:pt idx="38">
                  <c:v>45726</c:v>
                </c:pt>
                <c:pt idx="39">
                  <c:v>45733</c:v>
                </c:pt>
              </c:numCache>
            </c:numRef>
          </c:cat>
          <c:val>
            <c:numRef>
              <c:f>'P5'!$C$4:$C$43</c:f>
              <c:numCache>
                <c:formatCode>_("$"* #,##0.00_);_("$"* \(#,##0.00\);_("$"* "-"??_);_(@_)</c:formatCode>
                <c:ptCount val="40"/>
                <c:pt idx="0">
                  <c:v>0</c:v>
                </c:pt>
                <c:pt idx="1">
                  <c:v>450</c:v>
                </c:pt>
                <c:pt idx="2">
                  <c:v>450</c:v>
                </c:pt>
                <c:pt idx="3">
                  <c:v>450</c:v>
                </c:pt>
                <c:pt idx="4">
                  <c:v>600</c:v>
                </c:pt>
                <c:pt idx="5">
                  <c:v>600</c:v>
                </c:pt>
                <c:pt idx="6">
                  <c:v>600</c:v>
                </c:pt>
                <c:pt idx="7">
                  <c:v>850</c:v>
                </c:pt>
                <c:pt idx="8">
                  <c:v>850</c:v>
                </c:pt>
                <c:pt idx="9">
                  <c:v>850</c:v>
                </c:pt>
                <c:pt idx="10">
                  <c:v>850</c:v>
                </c:pt>
                <c:pt idx="11">
                  <c:v>850</c:v>
                </c:pt>
                <c:pt idx="12">
                  <c:v>850</c:v>
                </c:pt>
                <c:pt idx="13">
                  <c:v>850</c:v>
                </c:pt>
                <c:pt idx="14">
                  <c:v>400</c:v>
                </c:pt>
                <c:pt idx="15">
                  <c:v>400</c:v>
                </c:pt>
                <c:pt idx="16">
                  <c:v>400</c:v>
                </c:pt>
                <c:pt idx="17">
                  <c:v>250</c:v>
                </c:pt>
                <c:pt idx="18">
                  <c:v>750</c:v>
                </c:pt>
                <c:pt idx="19">
                  <c:v>750</c:v>
                </c:pt>
                <c:pt idx="20">
                  <c:v>500</c:v>
                </c:pt>
                <c:pt idx="21">
                  <c:v>500</c:v>
                </c:pt>
                <c:pt idx="22">
                  <c:v>500</c:v>
                </c:pt>
                <c:pt idx="23">
                  <c:v>500</c:v>
                </c:pt>
                <c:pt idx="24">
                  <c:v>500</c:v>
                </c:pt>
                <c:pt idx="25">
                  <c:v>500</c:v>
                </c:pt>
                <c:pt idx="26">
                  <c:v>500</c:v>
                </c:pt>
                <c:pt idx="27">
                  <c:v>500</c:v>
                </c:pt>
                <c:pt idx="28">
                  <c:v>500</c:v>
                </c:pt>
                <c:pt idx="29">
                  <c:v>300</c:v>
                </c:pt>
                <c:pt idx="30">
                  <c:v>850</c:v>
                </c:pt>
                <c:pt idx="31">
                  <c:v>550</c:v>
                </c:pt>
                <c:pt idx="32">
                  <c:v>850</c:v>
                </c:pt>
                <c:pt idx="33">
                  <c:v>850</c:v>
                </c:pt>
                <c:pt idx="34">
                  <c:v>850</c:v>
                </c:pt>
                <c:pt idx="35">
                  <c:v>850</c:v>
                </c:pt>
                <c:pt idx="36">
                  <c:v>850</c:v>
                </c:pt>
                <c:pt idx="37">
                  <c:v>850</c:v>
                </c:pt>
                <c:pt idx="38">
                  <c:v>1150</c:v>
                </c:pt>
                <c:pt idx="39">
                  <c:v>1150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A3-D147-B052-BA8B298EF2C1}"/>
            </c:ext>
          </c:extLst>
        </c:ser>
        <c:ser>
          <c:idx val="1"/>
          <c:order val="1"/>
          <c:tx>
            <c:strRef>
              <c:f>'P5'!$D$3</c:f>
              <c:strCache>
                <c:ptCount val="1"/>
                <c:pt idx="0">
                  <c:v>Cobranza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'P5'!$B$4:$B$43</c:f>
              <c:numCache>
                <c:formatCode>m/d/yy</c:formatCode>
                <c:ptCount val="40"/>
                <c:pt idx="0">
                  <c:v>45460</c:v>
                </c:pt>
                <c:pt idx="1">
                  <c:v>45467</c:v>
                </c:pt>
                <c:pt idx="2">
                  <c:v>45474</c:v>
                </c:pt>
                <c:pt idx="3">
                  <c:v>45481</c:v>
                </c:pt>
                <c:pt idx="4">
                  <c:v>45488</c:v>
                </c:pt>
                <c:pt idx="5">
                  <c:v>45495</c:v>
                </c:pt>
                <c:pt idx="6">
                  <c:v>45502</c:v>
                </c:pt>
                <c:pt idx="7">
                  <c:v>45509</c:v>
                </c:pt>
                <c:pt idx="8">
                  <c:v>45516</c:v>
                </c:pt>
                <c:pt idx="9">
                  <c:v>45523</c:v>
                </c:pt>
                <c:pt idx="10">
                  <c:v>45530</c:v>
                </c:pt>
                <c:pt idx="11">
                  <c:v>45537</c:v>
                </c:pt>
                <c:pt idx="12">
                  <c:v>45544</c:v>
                </c:pt>
                <c:pt idx="13">
                  <c:v>45551</c:v>
                </c:pt>
                <c:pt idx="14">
                  <c:v>45558</c:v>
                </c:pt>
                <c:pt idx="15">
                  <c:v>45565</c:v>
                </c:pt>
                <c:pt idx="16">
                  <c:v>45572</c:v>
                </c:pt>
                <c:pt idx="17">
                  <c:v>45579</c:v>
                </c:pt>
                <c:pt idx="18">
                  <c:v>45586</c:v>
                </c:pt>
                <c:pt idx="19">
                  <c:v>45593</c:v>
                </c:pt>
                <c:pt idx="20">
                  <c:v>45600</c:v>
                </c:pt>
                <c:pt idx="21">
                  <c:v>45607</c:v>
                </c:pt>
                <c:pt idx="22">
                  <c:v>45614</c:v>
                </c:pt>
                <c:pt idx="23">
                  <c:v>45621</c:v>
                </c:pt>
                <c:pt idx="24">
                  <c:v>45628</c:v>
                </c:pt>
                <c:pt idx="25">
                  <c:v>45635</c:v>
                </c:pt>
                <c:pt idx="26">
                  <c:v>45642</c:v>
                </c:pt>
                <c:pt idx="27">
                  <c:v>45649</c:v>
                </c:pt>
                <c:pt idx="28">
                  <c:v>45656</c:v>
                </c:pt>
                <c:pt idx="29">
                  <c:v>45663</c:v>
                </c:pt>
                <c:pt idx="30">
                  <c:v>45670</c:v>
                </c:pt>
                <c:pt idx="31">
                  <c:v>45677</c:v>
                </c:pt>
                <c:pt idx="32">
                  <c:v>45684</c:v>
                </c:pt>
                <c:pt idx="33">
                  <c:v>45691</c:v>
                </c:pt>
                <c:pt idx="34">
                  <c:v>45698</c:v>
                </c:pt>
                <c:pt idx="35">
                  <c:v>45705</c:v>
                </c:pt>
                <c:pt idx="36">
                  <c:v>45712</c:v>
                </c:pt>
                <c:pt idx="37">
                  <c:v>45719</c:v>
                </c:pt>
                <c:pt idx="38">
                  <c:v>45726</c:v>
                </c:pt>
                <c:pt idx="39">
                  <c:v>45733</c:v>
                </c:pt>
              </c:numCache>
            </c:numRef>
          </c:cat>
          <c:val>
            <c:numRef>
              <c:f>'P5'!$D$4:$D$43</c:f>
              <c:numCache>
                <c:formatCode>_("$"* #,##0.00_);_("$"* \(#,##0.00\);_("$"* "-"??_);_(@_)</c:formatCode>
                <c:ptCount val="40"/>
                <c:pt idx="0">
                  <c:v>0</c:v>
                </c:pt>
                <c:pt idx="1">
                  <c:v>450</c:v>
                </c:pt>
                <c:pt idx="2">
                  <c:v>450</c:v>
                </c:pt>
                <c:pt idx="3">
                  <c:v>450</c:v>
                </c:pt>
                <c:pt idx="4">
                  <c:v>600</c:v>
                </c:pt>
                <c:pt idx="5">
                  <c:v>600</c:v>
                </c:pt>
                <c:pt idx="6">
                  <c:v>600</c:v>
                </c:pt>
                <c:pt idx="7">
                  <c:v>850</c:v>
                </c:pt>
                <c:pt idx="8">
                  <c:v>850</c:v>
                </c:pt>
                <c:pt idx="9">
                  <c:v>850</c:v>
                </c:pt>
                <c:pt idx="10">
                  <c:v>850</c:v>
                </c:pt>
                <c:pt idx="11">
                  <c:v>850</c:v>
                </c:pt>
                <c:pt idx="12">
                  <c:v>850</c:v>
                </c:pt>
                <c:pt idx="13">
                  <c:v>850</c:v>
                </c:pt>
                <c:pt idx="14">
                  <c:v>850</c:v>
                </c:pt>
                <c:pt idx="15">
                  <c:v>400</c:v>
                </c:pt>
                <c:pt idx="16">
                  <c:v>400</c:v>
                </c:pt>
                <c:pt idx="17">
                  <c:v>400</c:v>
                </c:pt>
                <c:pt idx="18">
                  <c:v>750</c:v>
                </c:pt>
                <c:pt idx="19">
                  <c:v>750</c:v>
                </c:pt>
                <c:pt idx="20">
                  <c:v>750</c:v>
                </c:pt>
                <c:pt idx="21">
                  <c:v>500</c:v>
                </c:pt>
                <c:pt idx="22">
                  <c:v>500</c:v>
                </c:pt>
                <c:pt idx="23">
                  <c:v>500</c:v>
                </c:pt>
                <c:pt idx="24">
                  <c:v>500</c:v>
                </c:pt>
                <c:pt idx="25">
                  <c:v>500</c:v>
                </c:pt>
                <c:pt idx="26">
                  <c:v>500</c:v>
                </c:pt>
                <c:pt idx="27">
                  <c:v>500</c:v>
                </c:pt>
                <c:pt idx="28">
                  <c:v>500</c:v>
                </c:pt>
                <c:pt idx="29">
                  <c:v>800</c:v>
                </c:pt>
                <c:pt idx="30">
                  <c:v>550</c:v>
                </c:pt>
                <c:pt idx="31">
                  <c:v>850</c:v>
                </c:pt>
                <c:pt idx="32">
                  <c:v>850</c:v>
                </c:pt>
                <c:pt idx="33">
                  <c:v>850</c:v>
                </c:pt>
                <c:pt idx="34">
                  <c:v>850</c:v>
                </c:pt>
                <c:pt idx="35">
                  <c:v>850</c:v>
                </c:pt>
                <c:pt idx="36">
                  <c:v>850</c:v>
                </c:pt>
                <c:pt idx="37">
                  <c:v>850</c:v>
                </c:pt>
                <c:pt idx="38">
                  <c:v>1150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A3-D147-B052-BA8B298EF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8666624"/>
        <c:axId val="1872723408"/>
      </c:lineChart>
      <c:dateAx>
        <c:axId val="187866662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723408"/>
        <c:crosses val="autoZero"/>
        <c:auto val="1"/>
        <c:lblOffset val="100"/>
        <c:baseTimeUnit val="days"/>
      </c:dateAx>
      <c:valAx>
        <c:axId val="187272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666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'P5'!$F$3</c:f>
              <c:strCache>
                <c:ptCount val="1"/>
                <c:pt idx="0">
                  <c:v>% de Deuda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'P5'!$B$4:$B$43</c:f>
              <c:numCache>
                <c:formatCode>m/d/yy</c:formatCode>
                <c:ptCount val="40"/>
                <c:pt idx="0">
                  <c:v>45460</c:v>
                </c:pt>
                <c:pt idx="1">
                  <c:v>45467</c:v>
                </c:pt>
                <c:pt idx="2">
                  <c:v>45474</c:v>
                </c:pt>
                <c:pt idx="3">
                  <c:v>45481</c:v>
                </c:pt>
                <c:pt idx="4">
                  <c:v>45488</c:v>
                </c:pt>
                <c:pt idx="5">
                  <c:v>45495</c:v>
                </c:pt>
                <c:pt idx="6">
                  <c:v>45502</c:v>
                </c:pt>
                <c:pt idx="7">
                  <c:v>45509</c:v>
                </c:pt>
                <c:pt idx="8">
                  <c:v>45516</c:v>
                </c:pt>
                <c:pt idx="9">
                  <c:v>45523</c:v>
                </c:pt>
                <c:pt idx="10">
                  <c:v>45530</c:v>
                </c:pt>
                <c:pt idx="11">
                  <c:v>45537</c:v>
                </c:pt>
                <c:pt idx="12">
                  <c:v>45544</c:v>
                </c:pt>
                <c:pt idx="13">
                  <c:v>45551</c:v>
                </c:pt>
                <c:pt idx="14">
                  <c:v>45558</c:v>
                </c:pt>
                <c:pt idx="15">
                  <c:v>45565</c:v>
                </c:pt>
                <c:pt idx="16">
                  <c:v>45572</c:v>
                </c:pt>
                <c:pt idx="17">
                  <c:v>45579</c:v>
                </c:pt>
                <c:pt idx="18">
                  <c:v>45586</c:v>
                </c:pt>
                <c:pt idx="19">
                  <c:v>45593</c:v>
                </c:pt>
                <c:pt idx="20">
                  <c:v>45600</c:v>
                </c:pt>
                <c:pt idx="21">
                  <c:v>45607</c:v>
                </c:pt>
                <c:pt idx="22">
                  <c:v>45614</c:v>
                </c:pt>
                <c:pt idx="23">
                  <c:v>45621</c:v>
                </c:pt>
                <c:pt idx="24">
                  <c:v>45628</c:v>
                </c:pt>
                <c:pt idx="25">
                  <c:v>45635</c:v>
                </c:pt>
                <c:pt idx="26">
                  <c:v>45642</c:v>
                </c:pt>
                <c:pt idx="27">
                  <c:v>45649</c:v>
                </c:pt>
                <c:pt idx="28">
                  <c:v>45656</c:v>
                </c:pt>
                <c:pt idx="29">
                  <c:v>45663</c:v>
                </c:pt>
                <c:pt idx="30">
                  <c:v>45670</c:v>
                </c:pt>
                <c:pt idx="31">
                  <c:v>45677</c:v>
                </c:pt>
                <c:pt idx="32">
                  <c:v>45684</c:v>
                </c:pt>
                <c:pt idx="33">
                  <c:v>45691</c:v>
                </c:pt>
                <c:pt idx="34">
                  <c:v>45698</c:v>
                </c:pt>
                <c:pt idx="35">
                  <c:v>45705</c:v>
                </c:pt>
                <c:pt idx="36">
                  <c:v>45712</c:v>
                </c:pt>
                <c:pt idx="37">
                  <c:v>45719</c:v>
                </c:pt>
                <c:pt idx="38">
                  <c:v>45726</c:v>
                </c:pt>
                <c:pt idx="39">
                  <c:v>45733</c:v>
                </c:pt>
              </c:numCache>
            </c:numRef>
          </c:cat>
          <c:val>
            <c:numRef>
              <c:f>'P5'!$F$4:$F$43</c:f>
              <c:numCache>
                <c:formatCode>0.00%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46-3B43-8BA1-F13933998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944288"/>
        <c:axId val="1869815472"/>
      </c:lineChart>
      <c:dateAx>
        <c:axId val="18509442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15472"/>
        <c:crosses val="autoZero"/>
        <c:auto val="1"/>
        <c:lblOffset val="100"/>
        <c:baseTimeUnit val="days"/>
      </c:dateAx>
      <c:valAx>
        <c:axId val="18698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4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</a:t>
            </a:r>
            <a:r>
              <a:rPr lang="en-US" baseline="0"/>
              <a:t> Vs Cobranza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'P6'!$C$3</c:f>
              <c:strCache>
                <c:ptCount val="1"/>
                <c:pt idx="0">
                  <c:v>Meta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'P6'!$B$4:$B$42</c:f>
              <c:numCache>
                <c:formatCode>m/d/yy</c:formatCode>
                <c:ptCount val="39"/>
                <c:pt idx="0">
                  <c:v>45467</c:v>
                </c:pt>
                <c:pt idx="1">
                  <c:v>45474</c:v>
                </c:pt>
                <c:pt idx="2">
                  <c:v>45481</c:v>
                </c:pt>
                <c:pt idx="3">
                  <c:v>45488</c:v>
                </c:pt>
                <c:pt idx="4">
                  <c:v>45495</c:v>
                </c:pt>
                <c:pt idx="5">
                  <c:v>45502</c:v>
                </c:pt>
                <c:pt idx="6">
                  <c:v>45509</c:v>
                </c:pt>
                <c:pt idx="7">
                  <c:v>45516</c:v>
                </c:pt>
                <c:pt idx="8">
                  <c:v>45523</c:v>
                </c:pt>
                <c:pt idx="9">
                  <c:v>45530</c:v>
                </c:pt>
                <c:pt idx="10">
                  <c:v>45537</c:v>
                </c:pt>
                <c:pt idx="11">
                  <c:v>45544</c:v>
                </c:pt>
                <c:pt idx="12">
                  <c:v>45551</c:v>
                </c:pt>
                <c:pt idx="13">
                  <c:v>45558</c:v>
                </c:pt>
                <c:pt idx="14">
                  <c:v>45565</c:v>
                </c:pt>
                <c:pt idx="15">
                  <c:v>45572</c:v>
                </c:pt>
                <c:pt idx="16">
                  <c:v>45579</c:v>
                </c:pt>
                <c:pt idx="17">
                  <c:v>45586</c:v>
                </c:pt>
                <c:pt idx="18">
                  <c:v>45593</c:v>
                </c:pt>
                <c:pt idx="19">
                  <c:v>45600</c:v>
                </c:pt>
                <c:pt idx="20">
                  <c:v>45607</c:v>
                </c:pt>
                <c:pt idx="21">
                  <c:v>45614</c:v>
                </c:pt>
                <c:pt idx="22">
                  <c:v>45621</c:v>
                </c:pt>
                <c:pt idx="23">
                  <c:v>45628</c:v>
                </c:pt>
                <c:pt idx="24">
                  <c:v>45635</c:v>
                </c:pt>
                <c:pt idx="25">
                  <c:v>45642</c:v>
                </c:pt>
                <c:pt idx="26">
                  <c:v>45649</c:v>
                </c:pt>
                <c:pt idx="27">
                  <c:v>45656</c:v>
                </c:pt>
                <c:pt idx="28">
                  <c:v>45663</c:v>
                </c:pt>
                <c:pt idx="29">
                  <c:v>45670</c:v>
                </c:pt>
                <c:pt idx="30">
                  <c:v>45677</c:v>
                </c:pt>
                <c:pt idx="31">
                  <c:v>45684</c:v>
                </c:pt>
                <c:pt idx="32">
                  <c:v>45691</c:v>
                </c:pt>
                <c:pt idx="33">
                  <c:v>45698</c:v>
                </c:pt>
                <c:pt idx="34">
                  <c:v>45705</c:v>
                </c:pt>
                <c:pt idx="35">
                  <c:v>45712</c:v>
                </c:pt>
                <c:pt idx="36">
                  <c:v>45719</c:v>
                </c:pt>
                <c:pt idx="37">
                  <c:v>45726</c:v>
                </c:pt>
                <c:pt idx="38">
                  <c:v>45733</c:v>
                </c:pt>
              </c:numCache>
            </c:numRef>
          </c:cat>
          <c:val>
            <c:numRef>
              <c:f>'P6'!$C$4:$C$42</c:f>
              <c:numCache>
                <c:formatCode>_("$"* #,##0.00_);_("$"* \(#,##0.00\);_("$"* "-"??_);_(@_)</c:formatCode>
                <c:ptCount val="39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  <c:pt idx="4">
                  <c:v>250</c:v>
                </c:pt>
                <c:pt idx="5">
                  <c:v>250</c:v>
                </c:pt>
                <c:pt idx="6">
                  <c:v>250</c:v>
                </c:pt>
                <c:pt idx="7">
                  <c:v>250</c:v>
                </c:pt>
                <c:pt idx="8">
                  <c:v>250</c:v>
                </c:pt>
                <c:pt idx="9">
                  <c:v>250</c:v>
                </c:pt>
                <c:pt idx="10">
                  <c:v>250</c:v>
                </c:pt>
                <c:pt idx="11">
                  <c:v>250</c:v>
                </c:pt>
                <c:pt idx="12">
                  <c:v>250</c:v>
                </c:pt>
                <c:pt idx="13">
                  <c:v>550</c:v>
                </c:pt>
                <c:pt idx="14">
                  <c:v>300</c:v>
                </c:pt>
                <c:pt idx="15">
                  <c:v>300</c:v>
                </c:pt>
                <c:pt idx="16">
                  <c:v>300</c:v>
                </c:pt>
                <c:pt idx="17">
                  <c:v>300</c:v>
                </c:pt>
                <c:pt idx="18">
                  <c:v>300</c:v>
                </c:pt>
                <c:pt idx="19">
                  <c:v>300</c:v>
                </c:pt>
                <c:pt idx="20">
                  <c:v>300</c:v>
                </c:pt>
                <c:pt idx="21">
                  <c:v>300</c:v>
                </c:pt>
                <c:pt idx="22">
                  <c:v>300</c:v>
                </c:pt>
                <c:pt idx="23">
                  <c:v>0</c:v>
                </c:pt>
                <c:pt idx="24">
                  <c:v>350</c:v>
                </c:pt>
                <c:pt idx="25">
                  <c:v>350</c:v>
                </c:pt>
                <c:pt idx="26">
                  <c:v>350</c:v>
                </c:pt>
                <c:pt idx="27">
                  <c:v>350</c:v>
                </c:pt>
                <c:pt idx="28">
                  <c:v>350</c:v>
                </c:pt>
                <c:pt idx="29">
                  <c:v>350</c:v>
                </c:pt>
                <c:pt idx="30">
                  <c:v>350</c:v>
                </c:pt>
                <c:pt idx="31">
                  <c:v>950</c:v>
                </c:pt>
                <c:pt idx="32">
                  <c:v>950</c:v>
                </c:pt>
                <c:pt idx="33">
                  <c:v>950</c:v>
                </c:pt>
                <c:pt idx="34">
                  <c:v>950</c:v>
                </c:pt>
                <c:pt idx="35">
                  <c:v>1000</c:v>
                </c:pt>
                <c:pt idx="36">
                  <c:v>1000</c:v>
                </c:pt>
                <c:pt idx="37">
                  <c:v>1000</c:v>
                </c:pt>
                <c:pt idx="38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48-CB46-AD4A-1A4855F4019E}"/>
            </c:ext>
          </c:extLst>
        </c:ser>
        <c:ser>
          <c:idx val="1"/>
          <c:order val="1"/>
          <c:tx>
            <c:strRef>
              <c:f>'P6'!$D$3</c:f>
              <c:strCache>
                <c:ptCount val="1"/>
                <c:pt idx="0">
                  <c:v>Cobranza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'P6'!$B$4:$B$42</c:f>
              <c:numCache>
                <c:formatCode>m/d/yy</c:formatCode>
                <c:ptCount val="39"/>
                <c:pt idx="0">
                  <c:v>45467</c:v>
                </c:pt>
                <c:pt idx="1">
                  <c:v>45474</c:v>
                </c:pt>
                <c:pt idx="2">
                  <c:v>45481</c:v>
                </c:pt>
                <c:pt idx="3">
                  <c:v>45488</c:v>
                </c:pt>
                <c:pt idx="4">
                  <c:v>45495</c:v>
                </c:pt>
                <c:pt idx="5">
                  <c:v>45502</c:v>
                </c:pt>
                <c:pt idx="6">
                  <c:v>45509</c:v>
                </c:pt>
                <c:pt idx="7">
                  <c:v>45516</c:v>
                </c:pt>
                <c:pt idx="8">
                  <c:v>45523</c:v>
                </c:pt>
                <c:pt idx="9">
                  <c:v>45530</c:v>
                </c:pt>
                <c:pt idx="10">
                  <c:v>45537</c:v>
                </c:pt>
                <c:pt idx="11">
                  <c:v>45544</c:v>
                </c:pt>
                <c:pt idx="12">
                  <c:v>45551</c:v>
                </c:pt>
                <c:pt idx="13">
                  <c:v>45558</c:v>
                </c:pt>
                <c:pt idx="14">
                  <c:v>45565</c:v>
                </c:pt>
                <c:pt idx="15">
                  <c:v>45572</c:v>
                </c:pt>
                <c:pt idx="16">
                  <c:v>45579</c:v>
                </c:pt>
                <c:pt idx="17">
                  <c:v>45586</c:v>
                </c:pt>
                <c:pt idx="18">
                  <c:v>45593</c:v>
                </c:pt>
                <c:pt idx="19">
                  <c:v>45600</c:v>
                </c:pt>
                <c:pt idx="20">
                  <c:v>45607</c:v>
                </c:pt>
                <c:pt idx="21">
                  <c:v>45614</c:v>
                </c:pt>
                <c:pt idx="22">
                  <c:v>45621</c:v>
                </c:pt>
                <c:pt idx="23">
                  <c:v>45628</c:v>
                </c:pt>
                <c:pt idx="24">
                  <c:v>45635</c:v>
                </c:pt>
                <c:pt idx="25">
                  <c:v>45642</c:v>
                </c:pt>
                <c:pt idx="26">
                  <c:v>45649</c:v>
                </c:pt>
                <c:pt idx="27">
                  <c:v>45656</c:v>
                </c:pt>
                <c:pt idx="28">
                  <c:v>45663</c:v>
                </c:pt>
                <c:pt idx="29">
                  <c:v>45670</c:v>
                </c:pt>
                <c:pt idx="30">
                  <c:v>45677</c:v>
                </c:pt>
                <c:pt idx="31">
                  <c:v>45684</c:v>
                </c:pt>
                <c:pt idx="32">
                  <c:v>45691</c:v>
                </c:pt>
                <c:pt idx="33">
                  <c:v>45698</c:v>
                </c:pt>
                <c:pt idx="34">
                  <c:v>45705</c:v>
                </c:pt>
                <c:pt idx="35">
                  <c:v>45712</c:v>
                </c:pt>
                <c:pt idx="36">
                  <c:v>45719</c:v>
                </c:pt>
                <c:pt idx="37">
                  <c:v>45726</c:v>
                </c:pt>
                <c:pt idx="38">
                  <c:v>45733</c:v>
                </c:pt>
              </c:numCache>
            </c:numRef>
          </c:cat>
          <c:val>
            <c:numRef>
              <c:f>'P6'!$D$4:$D$42</c:f>
              <c:numCache>
                <c:formatCode>_("$"* #,##0.00_);_("$"* \(#,##0.00\);_("$"* "-"??_);_(@_)</c:formatCode>
                <c:ptCount val="39"/>
                <c:pt idx="0">
                  <c:v>250</c:v>
                </c:pt>
                <c:pt idx="1">
                  <c:v>250</c:v>
                </c:pt>
                <c:pt idx="2">
                  <c:v>0</c:v>
                </c:pt>
                <c:pt idx="3">
                  <c:v>500</c:v>
                </c:pt>
                <c:pt idx="4">
                  <c:v>250</c:v>
                </c:pt>
                <c:pt idx="5">
                  <c:v>250</c:v>
                </c:pt>
                <c:pt idx="6">
                  <c:v>250</c:v>
                </c:pt>
                <c:pt idx="7">
                  <c:v>250</c:v>
                </c:pt>
                <c:pt idx="8">
                  <c:v>250</c:v>
                </c:pt>
                <c:pt idx="9">
                  <c:v>500</c:v>
                </c:pt>
                <c:pt idx="10">
                  <c:v>0</c:v>
                </c:pt>
                <c:pt idx="11">
                  <c:v>500</c:v>
                </c:pt>
                <c:pt idx="12">
                  <c:v>0</c:v>
                </c:pt>
                <c:pt idx="13">
                  <c:v>600</c:v>
                </c:pt>
                <c:pt idx="14">
                  <c:v>250</c:v>
                </c:pt>
                <c:pt idx="15">
                  <c:v>600</c:v>
                </c:pt>
                <c:pt idx="16">
                  <c:v>300</c:v>
                </c:pt>
                <c:pt idx="17">
                  <c:v>0</c:v>
                </c:pt>
                <c:pt idx="18">
                  <c:v>600</c:v>
                </c:pt>
                <c:pt idx="19">
                  <c:v>0</c:v>
                </c:pt>
                <c:pt idx="20">
                  <c:v>300</c:v>
                </c:pt>
                <c:pt idx="21">
                  <c:v>600</c:v>
                </c:pt>
                <c:pt idx="22">
                  <c:v>300</c:v>
                </c:pt>
                <c:pt idx="23">
                  <c:v>350</c:v>
                </c:pt>
                <c:pt idx="24">
                  <c:v>350</c:v>
                </c:pt>
                <c:pt idx="25">
                  <c:v>0</c:v>
                </c:pt>
                <c:pt idx="26">
                  <c:v>700</c:v>
                </c:pt>
                <c:pt idx="27">
                  <c:v>0</c:v>
                </c:pt>
                <c:pt idx="28">
                  <c:v>350</c:v>
                </c:pt>
                <c:pt idx="29">
                  <c:v>700</c:v>
                </c:pt>
                <c:pt idx="30">
                  <c:v>950</c:v>
                </c:pt>
                <c:pt idx="31">
                  <c:v>950</c:v>
                </c:pt>
                <c:pt idx="32">
                  <c:v>950</c:v>
                </c:pt>
                <c:pt idx="33">
                  <c:v>950</c:v>
                </c:pt>
                <c:pt idx="34">
                  <c:v>0</c:v>
                </c:pt>
                <c:pt idx="35">
                  <c:v>1000</c:v>
                </c:pt>
                <c:pt idx="36">
                  <c:v>1000</c:v>
                </c:pt>
                <c:pt idx="37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48-CB46-AD4A-1A4855F40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5394768"/>
        <c:axId val="2045020960"/>
      </c:lineChart>
      <c:dateAx>
        <c:axId val="187539476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020960"/>
        <c:crosses val="autoZero"/>
        <c:auto val="1"/>
        <c:lblOffset val="100"/>
        <c:baseTimeUnit val="days"/>
      </c:dateAx>
      <c:valAx>
        <c:axId val="204502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394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'P6'!$F$3</c:f>
              <c:strCache>
                <c:ptCount val="1"/>
                <c:pt idx="0">
                  <c:v>% de Deuda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'P6'!$B$4:$B$42</c:f>
              <c:numCache>
                <c:formatCode>m/d/yy</c:formatCode>
                <c:ptCount val="39"/>
                <c:pt idx="0">
                  <c:v>45467</c:v>
                </c:pt>
                <c:pt idx="1">
                  <c:v>45474</c:v>
                </c:pt>
                <c:pt idx="2">
                  <c:v>45481</c:v>
                </c:pt>
                <c:pt idx="3">
                  <c:v>45488</c:v>
                </c:pt>
                <c:pt idx="4">
                  <c:v>45495</c:v>
                </c:pt>
                <c:pt idx="5">
                  <c:v>45502</c:v>
                </c:pt>
                <c:pt idx="6">
                  <c:v>45509</c:v>
                </c:pt>
                <c:pt idx="7">
                  <c:v>45516</c:v>
                </c:pt>
                <c:pt idx="8">
                  <c:v>45523</c:v>
                </c:pt>
                <c:pt idx="9">
                  <c:v>45530</c:v>
                </c:pt>
                <c:pt idx="10">
                  <c:v>45537</c:v>
                </c:pt>
                <c:pt idx="11">
                  <c:v>45544</c:v>
                </c:pt>
                <c:pt idx="12">
                  <c:v>45551</c:v>
                </c:pt>
                <c:pt idx="13">
                  <c:v>45558</c:v>
                </c:pt>
                <c:pt idx="14">
                  <c:v>45565</c:v>
                </c:pt>
                <c:pt idx="15">
                  <c:v>45572</c:v>
                </c:pt>
                <c:pt idx="16">
                  <c:v>45579</c:v>
                </c:pt>
                <c:pt idx="17">
                  <c:v>45586</c:v>
                </c:pt>
                <c:pt idx="18">
                  <c:v>45593</c:v>
                </c:pt>
                <c:pt idx="19">
                  <c:v>45600</c:v>
                </c:pt>
                <c:pt idx="20">
                  <c:v>45607</c:v>
                </c:pt>
                <c:pt idx="21">
                  <c:v>45614</c:v>
                </c:pt>
                <c:pt idx="22">
                  <c:v>45621</c:v>
                </c:pt>
                <c:pt idx="23">
                  <c:v>45628</c:v>
                </c:pt>
                <c:pt idx="24">
                  <c:v>45635</c:v>
                </c:pt>
                <c:pt idx="25">
                  <c:v>45642</c:v>
                </c:pt>
                <c:pt idx="26">
                  <c:v>45649</c:v>
                </c:pt>
                <c:pt idx="27">
                  <c:v>45656</c:v>
                </c:pt>
                <c:pt idx="28">
                  <c:v>45663</c:v>
                </c:pt>
                <c:pt idx="29">
                  <c:v>45670</c:v>
                </c:pt>
                <c:pt idx="30">
                  <c:v>45677</c:v>
                </c:pt>
                <c:pt idx="31">
                  <c:v>45684</c:v>
                </c:pt>
                <c:pt idx="32">
                  <c:v>45691</c:v>
                </c:pt>
                <c:pt idx="33">
                  <c:v>45698</c:v>
                </c:pt>
                <c:pt idx="34">
                  <c:v>45705</c:v>
                </c:pt>
                <c:pt idx="35">
                  <c:v>45712</c:v>
                </c:pt>
                <c:pt idx="36">
                  <c:v>45719</c:v>
                </c:pt>
                <c:pt idx="37">
                  <c:v>45726</c:v>
                </c:pt>
                <c:pt idx="38">
                  <c:v>45733</c:v>
                </c:pt>
              </c:numCache>
            </c:numRef>
          </c:cat>
          <c:val>
            <c:numRef>
              <c:f>'P6'!$F$4:$F$42</c:f>
              <c:numCache>
                <c:formatCode>0.00%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0.33333333333333331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4.1791044776119404E-2</c:v>
                </c:pt>
                <c:pt idx="38">
                  <c:v>4.1791044776119404E-2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75-7645-B7F6-F2ED7B93DE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944288"/>
        <c:axId val="1869815472"/>
      </c:lineChart>
      <c:dateAx>
        <c:axId val="18509442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15472"/>
        <c:crosses val="autoZero"/>
        <c:auto val="1"/>
        <c:lblOffset val="100"/>
        <c:baseTimeUnit val="days"/>
      </c:dateAx>
      <c:valAx>
        <c:axId val="18698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4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 Vs Cobranza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'P7'!$C$3</c:f>
              <c:strCache>
                <c:ptCount val="1"/>
                <c:pt idx="0">
                  <c:v>Meta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'P7'!$B$4:$B$40</c:f>
              <c:numCache>
                <c:formatCode>m/d/yy</c:formatCode>
                <c:ptCount val="37"/>
                <c:pt idx="0">
                  <c:v>45481</c:v>
                </c:pt>
                <c:pt idx="1">
                  <c:v>45488</c:v>
                </c:pt>
                <c:pt idx="2">
                  <c:v>45495</c:v>
                </c:pt>
                <c:pt idx="3">
                  <c:v>45502</c:v>
                </c:pt>
                <c:pt idx="4">
                  <c:v>45509</c:v>
                </c:pt>
                <c:pt idx="5">
                  <c:v>45516</c:v>
                </c:pt>
                <c:pt idx="6">
                  <c:v>45523</c:v>
                </c:pt>
                <c:pt idx="7">
                  <c:v>45530</c:v>
                </c:pt>
                <c:pt idx="8">
                  <c:v>45537</c:v>
                </c:pt>
                <c:pt idx="9">
                  <c:v>45544</c:v>
                </c:pt>
                <c:pt idx="10">
                  <c:v>45551</c:v>
                </c:pt>
                <c:pt idx="11">
                  <c:v>45558</c:v>
                </c:pt>
                <c:pt idx="12">
                  <c:v>45565</c:v>
                </c:pt>
                <c:pt idx="13">
                  <c:v>45572</c:v>
                </c:pt>
                <c:pt idx="14">
                  <c:v>45579</c:v>
                </c:pt>
                <c:pt idx="15">
                  <c:v>45586</c:v>
                </c:pt>
                <c:pt idx="16">
                  <c:v>45593</c:v>
                </c:pt>
                <c:pt idx="17">
                  <c:v>45600</c:v>
                </c:pt>
                <c:pt idx="18">
                  <c:v>45607</c:v>
                </c:pt>
                <c:pt idx="19">
                  <c:v>45614</c:v>
                </c:pt>
                <c:pt idx="20">
                  <c:v>45621</c:v>
                </c:pt>
                <c:pt idx="21">
                  <c:v>45628</c:v>
                </c:pt>
                <c:pt idx="22">
                  <c:v>45635</c:v>
                </c:pt>
                <c:pt idx="23">
                  <c:v>45642</c:v>
                </c:pt>
                <c:pt idx="24">
                  <c:v>45649</c:v>
                </c:pt>
                <c:pt idx="25">
                  <c:v>45656</c:v>
                </c:pt>
                <c:pt idx="26">
                  <c:v>45663</c:v>
                </c:pt>
                <c:pt idx="27">
                  <c:v>45670</c:v>
                </c:pt>
                <c:pt idx="28">
                  <c:v>45677</c:v>
                </c:pt>
                <c:pt idx="29">
                  <c:v>45684</c:v>
                </c:pt>
                <c:pt idx="30">
                  <c:v>45691</c:v>
                </c:pt>
                <c:pt idx="31">
                  <c:v>45698</c:v>
                </c:pt>
                <c:pt idx="32">
                  <c:v>45705</c:v>
                </c:pt>
                <c:pt idx="33">
                  <c:v>45712</c:v>
                </c:pt>
                <c:pt idx="34">
                  <c:v>45719</c:v>
                </c:pt>
                <c:pt idx="35">
                  <c:v>45726</c:v>
                </c:pt>
                <c:pt idx="36">
                  <c:v>45733</c:v>
                </c:pt>
              </c:numCache>
            </c:numRef>
          </c:cat>
          <c:val>
            <c:numRef>
              <c:f>'P7'!$C$4:$C$40</c:f>
              <c:numCache>
                <c:formatCode>_("$"* #,##0.00_);_("$"* \(#,##0.00\);_("$"* "-"??_);_(@_)</c:formatCode>
                <c:ptCount val="37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  <c:pt idx="4">
                  <c:v>250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1600</c:v>
                </c:pt>
                <c:pt idx="9">
                  <c:v>1600</c:v>
                </c:pt>
                <c:pt idx="10">
                  <c:v>1600</c:v>
                </c:pt>
                <c:pt idx="11">
                  <c:v>1600</c:v>
                </c:pt>
                <c:pt idx="12">
                  <c:v>1600</c:v>
                </c:pt>
                <c:pt idx="13">
                  <c:v>1350</c:v>
                </c:pt>
                <c:pt idx="14">
                  <c:v>1350</c:v>
                </c:pt>
                <c:pt idx="15">
                  <c:v>1650</c:v>
                </c:pt>
                <c:pt idx="16">
                  <c:v>1650</c:v>
                </c:pt>
                <c:pt idx="17">
                  <c:v>1650</c:v>
                </c:pt>
                <c:pt idx="18">
                  <c:v>1700</c:v>
                </c:pt>
                <c:pt idx="19">
                  <c:v>1700</c:v>
                </c:pt>
                <c:pt idx="20">
                  <c:v>1450</c:v>
                </c:pt>
                <c:pt idx="21">
                  <c:v>1200</c:v>
                </c:pt>
                <c:pt idx="22">
                  <c:v>1200</c:v>
                </c:pt>
                <c:pt idx="23">
                  <c:v>1500</c:v>
                </c:pt>
                <c:pt idx="24">
                  <c:v>1500</c:v>
                </c:pt>
                <c:pt idx="25">
                  <c:v>1500</c:v>
                </c:pt>
                <c:pt idx="26">
                  <c:v>1500</c:v>
                </c:pt>
                <c:pt idx="27">
                  <c:v>1500</c:v>
                </c:pt>
                <c:pt idx="28">
                  <c:v>1200</c:v>
                </c:pt>
                <c:pt idx="29">
                  <c:v>1200</c:v>
                </c:pt>
                <c:pt idx="30">
                  <c:v>1200</c:v>
                </c:pt>
                <c:pt idx="31">
                  <c:v>1200</c:v>
                </c:pt>
                <c:pt idx="32">
                  <c:v>1200</c:v>
                </c:pt>
                <c:pt idx="33">
                  <c:v>1200</c:v>
                </c:pt>
                <c:pt idx="34">
                  <c:v>600</c:v>
                </c:pt>
                <c:pt idx="35">
                  <c:v>1400</c:v>
                </c:pt>
                <c:pt idx="36">
                  <c:v>1400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6F-7244-AD01-EB45238A89C2}"/>
            </c:ext>
          </c:extLst>
        </c:ser>
        <c:ser>
          <c:idx val="1"/>
          <c:order val="1"/>
          <c:tx>
            <c:strRef>
              <c:f>'P7'!$D$3</c:f>
              <c:strCache>
                <c:ptCount val="1"/>
                <c:pt idx="0">
                  <c:v>Cobranza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'P7'!$B$4:$B$40</c:f>
              <c:numCache>
                <c:formatCode>m/d/yy</c:formatCode>
                <c:ptCount val="37"/>
                <c:pt idx="0">
                  <c:v>45481</c:v>
                </c:pt>
                <c:pt idx="1">
                  <c:v>45488</c:v>
                </c:pt>
                <c:pt idx="2">
                  <c:v>45495</c:v>
                </c:pt>
                <c:pt idx="3">
                  <c:v>45502</c:v>
                </c:pt>
                <c:pt idx="4">
                  <c:v>45509</c:v>
                </c:pt>
                <c:pt idx="5">
                  <c:v>45516</c:v>
                </c:pt>
                <c:pt idx="6">
                  <c:v>45523</c:v>
                </c:pt>
                <c:pt idx="7">
                  <c:v>45530</c:v>
                </c:pt>
                <c:pt idx="8">
                  <c:v>45537</c:v>
                </c:pt>
                <c:pt idx="9">
                  <c:v>45544</c:v>
                </c:pt>
                <c:pt idx="10">
                  <c:v>45551</c:v>
                </c:pt>
                <c:pt idx="11">
                  <c:v>45558</c:v>
                </c:pt>
                <c:pt idx="12">
                  <c:v>45565</c:v>
                </c:pt>
                <c:pt idx="13">
                  <c:v>45572</c:v>
                </c:pt>
                <c:pt idx="14">
                  <c:v>45579</c:v>
                </c:pt>
                <c:pt idx="15">
                  <c:v>45586</c:v>
                </c:pt>
                <c:pt idx="16">
                  <c:v>45593</c:v>
                </c:pt>
                <c:pt idx="17">
                  <c:v>45600</c:v>
                </c:pt>
                <c:pt idx="18">
                  <c:v>45607</c:v>
                </c:pt>
                <c:pt idx="19">
                  <c:v>45614</c:v>
                </c:pt>
                <c:pt idx="20">
                  <c:v>45621</c:v>
                </c:pt>
                <c:pt idx="21">
                  <c:v>45628</c:v>
                </c:pt>
                <c:pt idx="22">
                  <c:v>45635</c:v>
                </c:pt>
                <c:pt idx="23">
                  <c:v>45642</c:v>
                </c:pt>
                <c:pt idx="24">
                  <c:v>45649</c:v>
                </c:pt>
                <c:pt idx="25">
                  <c:v>45656</c:v>
                </c:pt>
                <c:pt idx="26">
                  <c:v>45663</c:v>
                </c:pt>
                <c:pt idx="27">
                  <c:v>45670</c:v>
                </c:pt>
                <c:pt idx="28">
                  <c:v>45677</c:v>
                </c:pt>
                <c:pt idx="29">
                  <c:v>45684</c:v>
                </c:pt>
                <c:pt idx="30">
                  <c:v>45691</c:v>
                </c:pt>
                <c:pt idx="31">
                  <c:v>45698</c:v>
                </c:pt>
                <c:pt idx="32">
                  <c:v>45705</c:v>
                </c:pt>
                <c:pt idx="33">
                  <c:v>45712</c:v>
                </c:pt>
                <c:pt idx="34">
                  <c:v>45719</c:v>
                </c:pt>
                <c:pt idx="35">
                  <c:v>45726</c:v>
                </c:pt>
                <c:pt idx="36">
                  <c:v>45733</c:v>
                </c:pt>
              </c:numCache>
            </c:numRef>
          </c:cat>
          <c:val>
            <c:numRef>
              <c:f>'P7'!$D$4:$D$40</c:f>
              <c:numCache>
                <c:formatCode>_("$"* #,##0.00_);_("$"* \(#,##0.00\);_("$"* "-"??_);_(@_)</c:formatCode>
                <c:ptCount val="37"/>
                <c:pt idx="0">
                  <c:v>0</c:v>
                </c:pt>
                <c:pt idx="1">
                  <c:v>500</c:v>
                </c:pt>
                <c:pt idx="2">
                  <c:v>250</c:v>
                </c:pt>
                <c:pt idx="3">
                  <c:v>250</c:v>
                </c:pt>
                <c:pt idx="4">
                  <c:v>250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1600</c:v>
                </c:pt>
                <c:pt idx="9">
                  <c:v>1600</c:v>
                </c:pt>
                <c:pt idx="10">
                  <c:v>1600</c:v>
                </c:pt>
                <c:pt idx="11">
                  <c:v>1600</c:v>
                </c:pt>
                <c:pt idx="12">
                  <c:v>1600</c:v>
                </c:pt>
                <c:pt idx="13">
                  <c:v>1600</c:v>
                </c:pt>
                <c:pt idx="14">
                  <c:v>1350</c:v>
                </c:pt>
                <c:pt idx="15">
                  <c:v>1650</c:v>
                </c:pt>
                <c:pt idx="16">
                  <c:v>1650</c:v>
                </c:pt>
                <c:pt idx="17">
                  <c:v>1650</c:v>
                </c:pt>
                <c:pt idx="18">
                  <c:v>1950</c:v>
                </c:pt>
                <c:pt idx="19">
                  <c:v>1700</c:v>
                </c:pt>
                <c:pt idx="20">
                  <c:v>1700</c:v>
                </c:pt>
                <c:pt idx="21">
                  <c:v>1800</c:v>
                </c:pt>
                <c:pt idx="22">
                  <c:v>1200</c:v>
                </c:pt>
                <c:pt idx="23">
                  <c:v>1500</c:v>
                </c:pt>
                <c:pt idx="24">
                  <c:v>1500</c:v>
                </c:pt>
                <c:pt idx="25">
                  <c:v>1500</c:v>
                </c:pt>
                <c:pt idx="26">
                  <c:v>1500</c:v>
                </c:pt>
                <c:pt idx="27">
                  <c:v>1200</c:v>
                </c:pt>
                <c:pt idx="28">
                  <c:v>1800</c:v>
                </c:pt>
                <c:pt idx="29">
                  <c:v>1200</c:v>
                </c:pt>
                <c:pt idx="30">
                  <c:v>1200</c:v>
                </c:pt>
                <c:pt idx="31">
                  <c:v>1200</c:v>
                </c:pt>
                <c:pt idx="32">
                  <c:v>1200</c:v>
                </c:pt>
                <c:pt idx="33">
                  <c:v>1200</c:v>
                </c:pt>
                <c:pt idx="34">
                  <c:v>1200</c:v>
                </c:pt>
                <c:pt idx="35">
                  <c:v>1400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6F-7244-AD01-EB45238A89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0960448"/>
        <c:axId val="755968463"/>
      </c:lineChart>
      <c:dateAx>
        <c:axId val="204096044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968463"/>
        <c:crosses val="autoZero"/>
        <c:auto val="1"/>
        <c:lblOffset val="100"/>
        <c:baseTimeUnit val="days"/>
      </c:dateAx>
      <c:valAx>
        <c:axId val="755968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960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'P7'!$F$3</c:f>
              <c:strCache>
                <c:ptCount val="1"/>
                <c:pt idx="0">
                  <c:v>% de Deuda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'P7'!$B$4:$B$40</c:f>
              <c:numCache>
                <c:formatCode>m/d/yy</c:formatCode>
                <c:ptCount val="37"/>
                <c:pt idx="0">
                  <c:v>45481</c:v>
                </c:pt>
                <c:pt idx="1">
                  <c:v>45488</c:v>
                </c:pt>
                <c:pt idx="2">
                  <c:v>45495</c:v>
                </c:pt>
                <c:pt idx="3">
                  <c:v>45502</c:v>
                </c:pt>
                <c:pt idx="4">
                  <c:v>45509</c:v>
                </c:pt>
                <c:pt idx="5">
                  <c:v>45516</c:v>
                </c:pt>
                <c:pt idx="6">
                  <c:v>45523</c:v>
                </c:pt>
                <c:pt idx="7">
                  <c:v>45530</c:v>
                </c:pt>
                <c:pt idx="8">
                  <c:v>45537</c:v>
                </c:pt>
                <c:pt idx="9">
                  <c:v>45544</c:v>
                </c:pt>
                <c:pt idx="10">
                  <c:v>45551</c:v>
                </c:pt>
                <c:pt idx="11">
                  <c:v>45558</c:v>
                </c:pt>
                <c:pt idx="12">
                  <c:v>45565</c:v>
                </c:pt>
                <c:pt idx="13">
                  <c:v>45572</c:v>
                </c:pt>
                <c:pt idx="14">
                  <c:v>45579</c:v>
                </c:pt>
                <c:pt idx="15">
                  <c:v>45586</c:v>
                </c:pt>
                <c:pt idx="16">
                  <c:v>45593</c:v>
                </c:pt>
                <c:pt idx="17">
                  <c:v>45600</c:v>
                </c:pt>
                <c:pt idx="18">
                  <c:v>45607</c:v>
                </c:pt>
                <c:pt idx="19">
                  <c:v>45614</c:v>
                </c:pt>
                <c:pt idx="20">
                  <c:v>45621</c:v>
                </c:pt>
                <c:pt idx="21">
                  <c:v>45628</c:v>
                </c:pt>
                <c:pt idx="22">
                  <c:v>45635</c:v>
                </c:pt>
                <c:pt idx="23">
                  <c:v>45642</c:v>
                </c:pt>
                <c:pt idx="24">
                  <c:v>45649</c:v>
                </c:pt>
                <c:pt idx="25">
                  <c:v>45656</c:v>
                </c:pt>
                <c:pt idx="26">
                  <c:v>45663</c:v>
                </c:pt>
                <c:pt idx="27">
                  <c:v>45670</c:v>
                </c:pt>
                <c:pt idx="28">
                  <c:v>45677</c:v>
                </c:pt>
                <c:pt idx="29">
                  <c:v>45684</c:v>
                </c:pt>
                <c:pt idx="30">
                  <c:v>45691</c:v>
                </c:pt>
                <c:pt idx="31">
                  <c:v>45698</c:v>
                </c:pt>
                <c:pt idx="32">
                  <c:v>45705</c:v>
                </c:pt>
                <c:pt idx="33">
                  <c:v>45712</c:v>
                </c:pt>
                <c:pt idx="34">
                  <c:v>45719</c:v>
                </c:pt>
                <c:pt idx="35">
                  <c:v>45726</c:v>
                </c:pt>
                <c:pt idx="36">
                  <c:v>45733</c:v>
                </c:pt>
              </c:numCache>
            </c:numRef>
          </c:cat>
          <c:val>
            <c:numRef>
              <c:f>'P7'!$F$4:$F$40</c:f>
              <c:numCache>
                <c:formatCode>0.00%</c:formatCode>
                <c:ptCount val="3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BE-A740-90C5-EF464A393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944288"/>
        <c:axId val="1869815472"/>
      </c:lineChart>
      <c:dateAx>
        <c:axId val="18509442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15472"/>
        <c:crosses val="autoZero"/>
        <c:auto val="1"/>
        <c:lblOffset val="100"/>
        <c:baseTimeUnit val="days"/>
      </c:dateAx>
      <c:valAx>
        <c:axId val="18698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4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 Vs Cobranza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'P8'!$C$3</c:f>
              <c:strCache>
                <c:ptCount val="1"/>
                <c:pt idx="0">
                  <c:v>Meta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'P8'!$B$4:$B$40</c:f>
              <c:numCache>
                <c:formatCode>m/d/yy</c:formatCode>
                <c:ptCount val="37"/>
                <c:pt idx="0">
                  <c:v>45481</c:v>
                </c:pt>
                <c:pt idx="1">
                  <c:v>45488</c:v>
                </c:pt>
                <c:pt idx="2">
                  <c:v>45495</c:v>
                </c:pt>
                <c:pt idx="3">
                  <c:v>45502</c:v>
                </c:pt>
                <c:pt idx="4">
                  <c:v>45509</c:v>
                </c:pt>
                <c:pt idx="5">
                  <c:v>45516</c:v>
                </c:pt>
                <c:pt idx="6">
                  <c:v>45523</c:v>
                </c:pt>
                <c:pt idx="7">
                  <c:v>45530</c:v>
                </c:pt>
                <c:pt idx="8">
                  <c:v>45537</c:v>
                </c:pt>
                <c:pt idx="9">
                  <c:v>45544</c:v>
                </c:pt>
                <c:pt idx="10">
                  <c:v>45551</c:v>
                </c:pt>
                <c:pt idx="11">
                  <c:v>45558</c:v>
                </c:pt>
                <c:pt idx="12">
                  <c:v>45565</c:v>
                </c:pt>
                <c:pt idx="13">
                  <c:v>45572</c:v>
                </c:pt>
                <c:pt idx="14">
                  <c:v>45579</c:v>
                </c:pt>
                <c:pt idx="15">
                  <c:v>45586</c:v>
                </c:pt>
                <c:pt idx="16">
                  <c:v>45593</c:v>
                </c:pt>
                <c:pt idx="17">
                  <c:v>45600</c:v>
                </c:pt>
                <c:pt idx="18">
                  <c:v>45607</c:v>
                </c:pt>
                <c:pt idx="19">
                  <c:v>45614</c:v>
                </c:pt>
                <c:pt idx="20">
                  <c:v>45621</c:v>
                </c:pt>
                <c:pt idx="21">
                  <c:v>45628</c:v>
                </c:pt>
                <c:pt idx="22">
                  <c:v>45635</c:v>
                </c:pt>
                <c:pt idx="23">
                  <c:v>45642</c:v>
                </c:pt>
                <c:pt idx="24">
                  <c:v>45649</c:v>
                </c:pt>
                <c:pt idx="25">
                  <c:v>45656</c:v>
                </c:pt>
                <c:pt idx="26">
                  <c:v>45663</c:v>
                </c:pt>
                <c:pt idx="27">
                  <c:v>45670</c:v>
                </c:pt>
                <c:pt idx="28">
                  <c:v>45677</c:v>
                </c:pt>
                <c:pt idx="29">
                  <c:v>45684</c:v>
                </c:pt>
                <c:pt idx="30">
                  <c:v>45691</c:v>
                </c:pt>
                <c:pt idx="31">
                  <c:v>45698</c:v>
                </c:pt>
                <c:pt idx="32">
                  <c:v>45705</c:v>
                </c:pt>
                <c:pt idx="33">
                  <c:v>45712</c:v>
                </c:pt>
                <c:pt idx="34">
                  <c:v>45719</c:v>
                </c:pt>
                <c:pt idx="35">
                  <c:v>45726</c:v>
                </c:pt>
                <c:pt idx="36">
                  <c:v>45733</c:v>
                </c:pt>
              </c:numCache>
            </c:numRef>
          </c:cat>
          <c:val>
            <c:numRef>
              <c:f>'P8'!$C$4:$C$40</c:f>
              <c:numCache>
                <c:formatCode>_("$"* #,##0.00_);_("$"* \(#,##0.00\);_("$"* "-"??_);_(@_)</c:formatCode>
                <c:ptCount val="37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  <c:pt idx="4">
                  <c:v>250</c:v>
                </c:pt>
                <c:pt idx="5">
                  <c:v>250</c:v>
                </c:pt>
                <c:pt idx="6">
                  <c:v>250</c:v>
                </c:pt>
                <c:pt idx="7">
                  <c:v>900</c:v>
                </c:pt>
                <c:pt idx="8">
                  <c:v>900</c:v>
                </c:pt>
                <c:pt idx="9">
                  <c:v>900</c:v>
                </c:pt>
                <c:pt idx="10">
                  <c:v>900</c:v>
                </c:pt>
                <c:pt idx="11">
                  <c:v>1200</c:v>
                </c:pt>
                <c:pt idx="12">
                  <c:v>1200</c:v>
                </c:pt>
                <c:pt idx="13">
                  <c:v>950</c:v>
                </c:pt>
                <c:pt idx="14">
                  <c:v>950</c:v>
                </c:pt>
                <c:pt idx="15">
                  <c:v>950</c:v>
                </c:pt>
                <c:pt idx="16">
                  <c:v>950</c:v>
                </c:pt>
                <c:pt idx="17">
                  <c:v>950</c:v>
                </c:pt>
                <c:pt idx="18">
                  <c:v>800</c:v>
                </c:pt>
                <c:pt idx="19">
                  <c:v>1000</c:v>
                </c:pt>
                <c:pt idx="20">
                  <c:v>750</c:v>
                </c:pt>
                <c:pt idx="21">
                  <c:v>500</c:v>
                </c:pt>
                <c:pt idx="22">
                  <c:v>500</c:v>
                </c:pt>
                <c:pt idx="23">
                  <c:v>500</c:v>
                </c:pt>
                <c:pt idx="24">
                  <c:v>500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200</c:v>
                </c:pt>
                <c:pt idx="30">
                  <c:v>200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E6-E14A-B776-B19C6E634BDA}"/>
            </c:ext>
          </c:extLst>
        </c:ser>
        <c:ser>
          <c:idx val="1"/>
          <c:order val="1"/>
          <c:tx>
            <c:strRef>
              <c:f>'P8'!$D$3</c:f>
              <c:strCache>
                <c:ptCount val="1"/>
                <c:pt idx="0">
                  <c:v>Cobranza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'P8'!$B$4:$B$40</c:f>
              <c:numCache>
                <c:formatCode>m/d/yy</c:formatCode>
                <c:ptCount val="37"/>
                <c:pt idx="0">
                  <c:v>45481</c:v>
                </c:pt>
                <c:pt idx="1">
                  <c:v>45488</c:v>
                </c:pt>
                <c:pt idx="2">
                  <c:v>45495</c:v>
                </c:pt>
                <c:pt idx="3">
                  <c:v>45502</c:v>
                </c:pt>
                <c:pt idx="4">
                  <c:v>45509</c:v>
                </c:pt>
                <c:pt idx="5">
                  <c:v>45516</c:v>
                </c:pt>
                <c:pt idx="6">
                  <c:v>45523</c:v>
                </c:pt>
                <c:pt idx="7">
                  <c:v>45530</c:v>
                </c:pt>
                <c:pt idx="8">
                  <c:v>45537</c:v>
                </c:pt>
                <c:pt idx="9">
                  <c:v>45544</c:v>
                </c:pt>
                <c:pt idx="10">
                  <c:v>45551</c:v>
                </c:pt>
                <c:pt idx="11">
                  <c:v>45558</c:v>
                </c:pt>
                <c:pt idx="12">
                  <c:v>45565</c:v>
                </c:pt>
                <c:pt idx="13">
                  <c:v>45572</c:v>
                </c:pt>
                <c:pt idx="14">
                  <c:v>45579</c:v>
                </c:pt>
                <c:pt idx="15">
                  <c:v>45586</c:v>
                </c:pt>
                <c:pt idx="16">
                  <c:v>45593</c:v>
                </c:pt>
                <c:pt idx="17">
                  <c:v>45600</c:v>
                </c:pt>
                <c:pt idx="18">
                  <c:v>45607</c:v>
                </c:pt>
                <c:pt idx="19">
                  <c:v>45614</c:v>
                </c:pt>
                <c:pt idx="20">
                  <c:v>45621</c:v>
                </c:pt>
                <c:pt idx="21">
                  <c:v>45628</c:v>
                </c:pt>
                <c:pt idx="22">
                  <c:v>45635</c:v>
                </c:pt>
                <c:pt idx="23">
                  <c:v>45642</c:v>
                </c:pt>
                <c:pt idx="24">
                  <c:v>45649</c:v>
                </c:pt>
                <c:pt idx="25">
                  <c:v>45656</c:v>
                </c:pt>
                <c:pt idx="26">
                  <c:v>45663</c:v>
                </c:pt>
                <c:pt idx="27">
                  <c:v>45670</c:v>
                </c:pt>
                <c:pt idx="28">
                  <c:v>45677</c:v>
                </c:pt>
                <c:pt idx="29">
                  <c:v>45684</c:v>
                </c:pt>
                <c:pt idx="30">
                  <c:v>45691</c:v>
                </c:pt>
                <c:pt idx="31">
                  <c:v>45698</c:v>
                </c:pt>
                <c:pt idx="32">
                  <c:v>45705</c:v>
                </c:pt>
                <c:pt idx="33">
                  <c:v>45712</c:v>
                </c:pt>
                <c:pt idx="34">
                  <c:v>45719</c:v>
                </c:pt>
                <c:pt idx="35">
                  <c:v>45726</c:v>
                </c:pt>
                <c:pt idx="36">
                  <c:v>45733</c:v>
                </c:pt>
              </c:numCache>
            </c:numRef>
          </c:cat>
          <c:val>
            <c:numRef>
              <c:f>'P8'!$D$4:$D$40</c:f>
              <c:numCache>
                <c:formatCode>_("$"* #,##0.00_);_("$"* \(#,##0.00\);_("$"* "-"??_);_(@_)</c:formatCode>
                <c:ptCount val="37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  <c:pt idx="4">
                  <c:v>250</c:v>
                </c:pt>
                <c:pt idx="5">
                  <c:v>250</c:v>
                </c:pt>
                <c:pt idx="6">
                  <c:v>250</c:v>
                </c:pt>
                <c:pt idx="7">
                  <c:v>900</c:v>
                </c:pt>
                <c:pt idx="8">
                  <c:v>900</c:v>
                </c:pt>
                <c:pt idx="9">
                  <c:v>900</c:v>
                </c:pt>
                <c:pt idx="10">
                  <c:v>900</c:v>
                </c:pt>
                <c:pt idx="11">
                  <c:v>950</c:v>
                </c:pt>
                <c:pt idx="12">
                  <c:v>1700</c:v>
                </c:pt>
                <c:pt idx="13">
                  <c:v>950</c:v>
                </c:pt>
                <c:pt idx="14">
                  <c:v>950</c:v>
                </c:pt>
                <c:pt idx="15">
                  <c:v>950</c:v>
                </c:pt>
                <c:pt idx="16">
                  <c:v>950</c:v>
                </c:pt>
                <c:pt idx="17">
                  <c:v>950</c:v>
                </c:pt>
                <c:pt idx="18">
                  <c:v>950</c:v>
                </c:pt>
                <c:pt idx="19">
                  <c:v>750</c:v>
                </c:pt>
                <c:pt idx="20">
                  <c:v>750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2500</c:v>
                </c:pt>
                <c:pt idx="26">
                  <c:v>200</c:v>
                </c:pt>
                <c:pt idx="27">
                  <c:v>200</c:v>
                </c:pt>
                <c:pt idx="28">
                  <c:v>800</c:v>
                </c:pt>
                <c:pt idx="29">
                  <c:v>200</c:v>
                </c:pt>
                <c:pt idx="30">
                  <c:v>200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E6-E14A-B776-B19C6E634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0449408"/>
        <c:axId val="2080445616"/>
      </c:lineChart>
      <c:dateAx>
        <c:axId val="208044940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445616"/>
        <c:crosses val="autoZero"/>
        <c:auto val="1"/>
        <c:lblOffset val="100"/>
        <c:baseTimeUnit val="days"/>
      </c:dateAx>
      <c:valAx>
        <c:axId val="208044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449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'P8'!$F$3</c:f>
              <c:strCache>
                <c:ptCount val="1"/>
                <c:pt idx="0">
                  <c:v>% de Deuda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'P8'!$B$4:$B$40</c:f>
              <c:numCache>
                <c:formatCode>m/d/yy</c:formatCode>
                <c:ptCount val="37"/>
                <c:pt idx="0">
                  <c:v>45481</c:v>
                </c:pt>
                <c:pt idx="1">
                  <c:v>45488</c:v>
                </c:pt>
                <c:pt idx="2">
                  <c:v>45495</c:v>
                </c:pt>
                <c:pt idx="3">
                  <c:v>45502</c:v>
                </c:pt>
                <c:pt idx="4">
                  <c:v>45509</c:v>
                </c:pt>
                <c:pt idx="5">
                  <c:v>45516</c:v>
                </c:pt>
                <c:pt idx="6">
                  <c:v>45523</c:v>
                </c:pt>
                <c:pt idx="7">
                  <c:v>45530</c:v>
                </c:pt>
                <c:pt idx="8">
                  <c:v>45537</c:v>
                </c:pt>
                <c:pt idx="9">
                  <c:v>45544</c:v>
                </c:pt>
                <c:pt idx="10">
                  <c:v>45551</c:v>
                </c:pt>
                <c:pt idx="11">
                  <c:v>45558</c:v>
                </c:pt>
                <c:pt idx="12">
                  <c:v>45565</c:v>
                </c:pt>
                <c:pt idx="13">
                  <c:v>45572</c:v>
                </c:pt>
                <c:pt idx="14">
                  <c:v>45579</c:v>
                </c:pt>
                <c:pt idx="15">
                  <c:v>45586</c:v>
                </c:pt>
                <c:pt idx="16">
                  <c:v>45593</c:v>
                </c:pt>
                <c:pt idx="17">
                  <c:v>45600</c:v>
                </c:pt>
                <c:pt idx="18">
                  <c:v>45607</c:v>
                </c:pt>
                <c:pt idx="19">
                  <c:v>45614</c:v>
                </c:pt>
                <c:pt idx="20">
                  <c:v>45621</c:v>
                </c:pt>
                <c:pt idx="21">
                  <c:v>45628</c:v>
                </c:pt>
                <c:pt idx="22">
                  <c:v>45635</c:v>
                </c:pt>
                <c:pt idx="23">
                  <c:v>45642</c:v>
                </c:pt>
                <c:pt idx="24">
                  <c:v>45649</c:v>
                </c:pt>
                <c:pt idx="25">
                  <c:v>45656</c:v>
                </c:pt>
                <c:pt idx="26">
                  <c:v>45663</c:v>
                </c:pt>
                <c:pt idx="27">
                  <c:v>45670</c:v>
                </c:pt>
                <c:pt idx="28">
                  <c:v>45677</c:v>
                </c:pt>
                <c:pt idx="29">
                  <c:v>45684</c:v>
                </c:pt>
                <c:pt idx="30">
                  <c:v>45691</c:v>
                </c:pt>
                <c:pt idx="31">
                  <c:v>45698</c:v>
                </c:pt>
                <c:pt idx="32">
                  <c:v>45705</c:v>
                </c:pt>
                <c:pt idx="33">
                  <c:v>45712</c:v>
                </c:pt>
                <c:pt idx="34">
                  <c:v>45719</c:v>
                </c:pt>
                <c:pt idx="35">
                  <c:v>45726</c:v>
                </c:pt>
                <c:pt idx="36">
                  <c:v>45733</c:v>
                </c:pt>
              </c:numCache>
            </c:numRef>
          </c:cat>
          <c:val>
            <c:numRef>
              <c:f>'P8'!$F$4:$F$40</c:f>
              <c:numCache>
                <c:formatCode>0%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0.00%">
                  <c:v>0</c:v>
                </c:pt>
                <c:pt idx="4" formatCode="0.00%">
                  <c:v>0</c:v>
                </c:pt>
                <c:pt idx="5" formatCode="0.00%">
                  <c:v>0</c:v>
                </c:pt>
                <c:pt idx="6" formatCode="0.00%">
                  <c:v>0</c:v>
                </c:pt>
                <c:pt idx="7" formatCode="0.00%">
                  <c:v>0</c:v>
                </c:pt>
                <c:pt idx="8" formatCode="0.00%">
                  <c:v>0</c:v>
                </c:pt>
                <c:pt idx="9" formatCode="0.00%">
                  <c:v>0</c:v>
                </c:pt>
                <c:pt idx="10" formatCode="0.00%">
                  <c:v>0</c:v>
                </c:pt>
                <c:pt idx="11" formatCode="0.00%">
                  <c:v>3.8167938931297711E-2</c:v>
                </c:pt>
                <c:pt idx="12" formatCode="0.00%">
                  <c:v>0</c:v>
                </c:pt>
                <c:pt idx="13" formatCode="0.00%">
                  <c:v>0</c:v>
                </c:pt>
                <c:pt idx="14" formatCode="0.00%">
                  <c:v>0</c:v>
                </c:pt>
                <c:pt idx="15" formatCode="0.00%">
                  <c:v>0</c:v>
                </c:pt>
                <c:pt idx="16" formatCode="0.00%">
                  <c:v>0</c:v>
                </c:pt>
                <c:pt idx="17" formatCode="0.00%">
                  <c:v>0</c:v>
                </c:pt>
                <c:pt idx="18" formatCode="0.00%">
                  <c:v>0</c:v>
                </c:pt>
                <c:pt idx="19" formatCode="0.00%">
                  <c:v>0</c:v>
                </c:pt>
                <c:pt idx="20" formatCode="0.00%">
                  <c:v>0</c:v>
                </c:pt>
                <c:pt idx="21" formatCode="0.00%">
                  <c:v>2.2508038585209004E-2</c:v>
                </c:pt>
                <c:pt idx="22" formatCode="0.00%">
                  <c:v>5.2959501557632398E-2</c:v>
                </c:pt>
                <c:pt idx="23" formatCode="0.00%">
                  <c:v>8.1570996978851965E-2</c:v>
                </c:pt>
                <c:pt idx="24" formatCode="0.00%">
                  <c:v>0.10850439882697947</c:v>
                </c:pt>
                <c:pt idx="25" formatCode="0.00%">
                  <c:v>0</c:v>
                </c:pt>
                <c:pt idx="26" formatCode="0.00%">
                  <c:v>0</c:v>
                </c:pt>
                <c:pt idx="27" formatCode="0.00%">
                  <c:v>0</c:v>
                </c:pt>
                <c:pt idx="28" formatCode="0.00%">
                  <c:v>0</c:v>
                </c:pt>
                <c:pt idx="29" formatCode="0.00%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F1-594B-9173-652D690991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944288"/>
        <c:axId val="1869815472"/>
      </c:lineChart>
      <c:dateAx>
        <c:axId val="18509442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15472"/>
        <c:crosses val="autoZero"/>
        <c:auto val="1"/>
        <c:lblOffset val="100"/>
        <c:baseTimeUnit val="days"/>
      </c:dateAx>
      <c:valAx>
        <c:axId val="18698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4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</a:t>
            </a:r>
            <a:r>
              <a:rPr lang="en-US" baseline="0"/>
              <a:t> Vs Cobranza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'P9'!$C$3</c:f>
              <c:strCache>
                <c:ptCount val="1"/>
                <c:pt idx="0">
                  <c:v>Meta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'P9'!$B$4:$B$40</c:f>
              <c:numCache>
                <c:formatCode>m/d/yy</c:formatCode>
                <c:ptCount val="37"/>
                <c:pt idx="0">
                  <c:v>45481</c:v>
                </c:pt>
                <c:pt idx="1">
                  <c:v>45488</c:v>
                </c:pt>
                <c:pt idx="2">
                  <c:v>45495</c:v>
                </c:pt>
                <c:pt idx="3">
                  <c:v>45502</c:v>
                </c:pt>
                <c:pt idx="4">
                  <c:v>45509</c:v>
                </c:pt>
                <c:pt idx="5">
                  <c:v>45516</c:v>
                </c:pt>
                <c:pt idx="6">
                  <c:v>45523</c:v>
                </c:pt>
                <c:pt idx="7">
                  <c:v>45530</c:v>
                </c:pt>
                <c:pt idx="8">
                  <c:v>45537</c:v>
                </c:pt>
                <c:pt idx="9">
                  <c:v>45544</c:v>
                </c:pt>
                <c:pt idx="10">
                  <c:v>45551</c:v>
                </c:pt>
                <c:pt idx="11">
                  <c:v>45558</c:v>
                </c:pt>
                <c:pt idx="12">
                  <c:v>45565</c:v>
                </c:pt>
                <c:pt idx="13">
                  <c:v>45572</c:v>
                </c:pt>
                <c:pt idx="14">
                  <c:v>45579</c:v>
                </c:pt>
                <c:pt idx="15">
                  <c:v>45586</c:v>
                </c:pt>
                <c:pt idx="16">
                  <c:v>45593</c:v>
                </c:pt>
                <c:pt idx="17">
                  <c:v>45600</c:v>
                </c:pt>
                <c:pt idx="18">
                  <c:v>45607</c:v>
                </c:pt>
                <c:pt idx="19">
                  <c:v>45614</c:v>
                </c:pt>
                <c:pt idx="20">
                  <c:v>45621</c:v>
                </c:pt>
                <c:pt idx="21">
                  <c:v>45628</c:v>
                </c:pt>
                <c:pt idx="22">
                  <c:v>45635</c:v>
                </c:pt>
                <c:pt idx="23">
                  <c:v>45642</c:v>
                </c:pt>
                <c:pt idx="24">
                  <c:v>45649</c:v>
                </c:pt>
                <c:pt idx="25">
                  <c:v>45656</c:v>
                </c:pt>
                <c:pt idx="26">
                  <c:v>45663</c:v>
                </c:pt>
                <c:pt idx="27">
                  <c:v>45670</c:v>
                </c:pt>
                <c:pt idx="28">
                  <c:v>45677</c:v>
                </c:pt>
                <c:pt idx="29">
                  <c:v>45684</c:v>
                </c:pt>
                <c:pt idx="30">
                  <c:v>45691</c:v>
                </c:pt>
                <c:pt idx="31">
                  <c:v>45698</c:v>
                </c:pt>
                <c:pt idx="32">
                  <c:v>45705</c:v>
                </c:pt>
                <c:pt idx="33">
                  <c:v>45712</c:v>
                </c:pt>
                <c:pt idx="34">
                  <c:v>45719</c:v>
                </c:pt>
                <c:pt idx="35">
                  <c:v>45726</c:v>
                </c:pt>
                <c:pt idx="36">
                  <c:v>45733</c:v>
                </c:pt>
              </c:numCache>
            </c:numRef>
          </c:cat>
          <c:val>
            <c:numRef>
              <c:f>'P9'!$C$4:$C$40</c:f>
              <c:numCache>
                <c:formatCode>_("$"* #,##0.00_);_("$"* \(#,##0.00\);_("$"* "-"??_);_(@_)</c:formatCode>
                <c:ptCount val="37"/>
                <c:pt idx="0">
                  <c:v>250</c:v>
                </c:pt>
                <c:pt idx="1">
                  <c:v>500</c:v>
                </c:pt>
                <c:pt idx="2">
                  <c:v>500</c:v>
                </c:pt>
                <c:pt idx="3">
                  <c:v>700</c:v>
                </c:pt>
                <c:pt idx="4">
                  <c:v>700</c:v>
                </c:pt>
                <c:pt idx="5">
                  <c:v>950</c:v>
                </c:pt>
                <c:pt idx="6">
                  <c:v>950</c:v>
                </c:pt>
                <c:pt idx="7">
                  <c:v>950</c:v>
                </c:pt>
                <c:pt idx="8">
                  <c:v>1100</c:v>
                </c:pt>
                <c:pt idx="9">
                  <c:v>1100</c:v>
                </c:pt>
                <c:pt idx="10">
                  <c:v>1400</c:v>
                </c:pt>
                <c:pt idx="11">
                  <c:v>1400</c:v>
                </c:pt>
                <c:pt idx="12">
                  <c:v>1950</c:v>
                </c:pt>
                <c:pt idx="13">
                  <c:v>1450</c:v>
                </c:pt>
                <c:pt idx="14">
                  <c:v>1450</c:v>
                </c:pt>
                <c:pt idx="15">
                  <c:v>1450</c:v>
                </c:pt>
                <c:pt idx="16">
                  <c:v>1450</c:v>
                </c:pt>
                <c:pt idx="17">
                  <c:v>1250</c:v>
                </c:pt>
                <c:pt idx="18">
                  <c:v>1400</c:v>
                </c:pt>
                <c:pt idx="19">
                  <c:v>2000</c:v>
                </c:pt>
                <c:pt idx="20">
                  <c:v>2350</c:v>
                </c:pt>
                <c:pt idx="21">
                  <c:v>2350</c:v>
                </c:pt>
                <c:pt idx="22">
                  <c:v>2350</c:v>
                </c:pt>
                <c:pt idx="23">
                  <c:v>2400</c:v>
                </c:pt>
                <c:pt idx="24">
                  <c:v>2700</c:v>
                </c:pt>
                <c:pt idx="25">
                  <c:v>2700</c:v>
                </c:pt>
                <c:pt idx="26">
                  <c:v>2700</c:v>
                </c:pt>
                <c:pt idx="27">
                  <c:v>2700</c:v>
                </c:pt>
                <c:pt idx="28">
                  <c:v>2700</c:v>
                </c:pt>
                <c:pt idx="29">
                  <c:v>2700</c:v>
                </c:pt>
                <c:pt idx="30">
                  <c:v>2700</c:v>
                </c:pt>
                <c:pt idx="31">
                  <c:v>2700</c:v>
                </c:pt>
                <c:pt idx="32">
                  <c:v>2400</c:v>
                </c:pt>
                <c:pt idx="33">
                  <c:v>1550</c:v>
                </c:pt>
                <c:pt idx="34">
                  <c:v>900</c:v>
                </c:pt>
                <c:pt idx="35">
                  <c:v>900</c:v>
                </c:pt>
                <c:pt idx="36">
                  <c:v>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05-214F-9584-B7F8B31B7E4B}"/>
            </c:ext>
          </c:extLst>
        </c:ser>
        <c:ser>
          <c:idx val="1"/>
          <c:order val="1"/>
          <c:tx>
            <c:strRef>
              <c:f>'P9'!$D$3</c:f>
              <c:strCache>
                <c:ptCount val="1"/>
                <c:pt idx="0">
                  <c:v>Cobranza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'P9'!$B$4:$B$40</c:f>
              <c:numCache>
                <c:formatCode>m/d/yy</c:formatCode>
                <c:ptCount val="37"/>
                <c:pt idx="0">
                  <c:v>45481</c:v>
                </c:pt>
                <c:pt idx="1">
                  <c:v>45488</c:v>
                </c:pt>
                <c:pt idx="2">
                  <c:v>45495</c:v>
                </c:pt>
                <c:pt idx="3">
                  <c:v>45502</c:v>
                </c:pt>
                <c:pt idx="4">
                  <c:v>45509</c:v>
                </c:pt>
                <c:pt idx="5">
                  <c:v>45516</c:v>
                </c:pt>
                <c:pt idx="6">
                  <c:v>45523</c:v>
                </c:pt>
                <c:pt idx="7">
                  <c:v>45530</c:v>
                </c:pt>
                <c:pt idx="8">
                  <c:v>45537</c:v>
                </c:pt>
                <c:pt idx="9">
                  <c:v>45544</c:v>
                </c:pt>
                <c:pt idx="10">
                  <c:v>45551</c:v>
                </c:pt>
                <c:pt idx="11">
                  <c:v>45558</c:v>
                </c:pt>
                <c:pt idx="12">
                  <c:v>45565</c:v>
                </c:pt>
                <c:pt idx="13">
                  <c:v>45572</c:v>
                </c:pt>
                <c:pt idx="14">
                  <c:v>45579</c:v>
                </c:pt>
                <c:pt idx="15">
                  <c:v>45586</c:v>
                </c:pt>
                <c:pt idx="16">
                  <c:v>45593</c:v>
                </c:pt>
                <c:pt idx="17">
                  <c:v>45600</c:v>
                </c:pt>
                <c:pt idx="18">
                  <c:v>45607</c:v>
                </c:pt>
                <c:pt idx="19">
                  <c:v>45614</c:v>
                </c:pt>
                <c:pt idx="20">
                  <c:v>45621</c:v>
                </c:pt>
                <c:pt idx="21">
                  <c:v>45628</c:v>
                </c:pt>
                <c:pt idx="22">
                  <c:v>45635</c:v>
                </c:pt>
                <c:pt idx="23">
                  <c:v>45642</c:v>
                </c:pt>
                <c:pt idx="24">
                  <c:v>45649</c:v>
                </c:pt>
                <c:pt idx="25">
                  <c:v>45656</c:v>
                </c:pt>
                <c:pt idx="26">
                  <c:v>45663</c:v>
                </c:pt>
                <c:pt idx="27">
                  <c:v>45670</c:v>
                </c:pt>
                <c:pt idx="28">
                  <c:v>45677</c:v>
                </c:pt>
                <c:pt idx="29">
                  <c:v>45684</c:v>
                </c:pt>
                <c:pt idx="30">
                  <c:v>45691</c:v>
                </c:pt>
                <c:pt idx="31">
                  <c:v>45698</c:v>
                </c:pt>
                <c:pt idx="32">
                  <c:v>45705</c:v>
                </c:pt>
                <c:pt idx="33">
                  <c:v>45712</c:v>
                </c:pt>
                <c:pt idx="34">
                  <c:v>45719</c:v>
                </c:pt>
                <c:pt idx="35">
                  <c:v>45726</c:v>
                </c:pt>
                <c:pt idx="36">
                  <c:v>45733</c:v>
                </c:pt>
              </c:numCache>
            </c:numRef>
          </c:cat>
          <c:val>
            <c:numRef>
              <c:f>'P9'!$D$4:$D$40</c:f>
              <c:numCache>
                <c:formatCode>_("$"* #,##0.00_);_("$"* \(#,##0.00\);_("$"* "-"??_);_(@_)</c:formatCode>
                <c:ptCount val="37"/>
                <c:pt idx="0">
                  <c:v>500</c:v>
                </c:pt>
                <c:pt idx="1">
                  <c:v>250</c:v>
                </c:pt>
                <c:pt idx="2">
                  <c:v>500</c:v>
                </c:pt>
                <c:pt idx="3">
                  <c:v>700</c:v>
                </c:pt>
                <c:pt idx="4">
                  <c:v>750</c:v>
                </c:pt>
                <c:pt idx="5">
                  <c:v>950</c:v>
                </c:pt>
                <c:pt idx="6">
                  <c:v>900</c:v>
                </c:pt>
                <c:pt idx="7">
                  <c:v>950</c:v>
                </c:pt>
                <c:pt idx="8">
                  <c:v>1100</c:v>
                </c:pt>
                <c:pt idx="9">
                  <c:v>1100</c:v>
                </c:pt>
                <c:pt idx="10">
                  <c:v>0</c:v>
                </c:pt>
                <c:pt idx="11">
                  <c:v>2300</c:v>
                </c:pt>
                <c:pt idx="12">
                  <c:v>3200</c:v>
                </c:pt>
                <c:pt idx="13">
                  <c:v>1450</c:v>
                </c:pt>
                <c:pt idx="14">
                  <c:v>1450</c:v>
                </c:pt>
                <c:pt idx="15">
                  <c:v>1450</c:v>
                </c:pt>
                <c:pt idx="16">
                  <c:v>1200</c:v>
                </c:pt>
                <c:pt idx="17">
                  <c:v>1500</c:v>
                </c:pt>
                <c:pt idx="18">
                  <c:v>1150</c:v>
                </c:pt>
                <c:pt idx="19">
                  <c:v>2000</c:v>
                </c:pt>
                <c:pt idx="20">
                  <c:v>2350</c:v>
                </c:pt>
                <c:pt idx="21">
                  <c:v>2350</c:v>
                </c:pt>
                <c:pt idx="22">
                  <c:v>2350</c:v>
                </c:pt>
                <c:pt idx="23">
                  <c:v>2100</c:v>
                </c:pt>
                <c:pt idx="24">
                  <c:v>3000</c:v>
                </c:pt>
                <c:pt idx="25">
                  <c:v>1750</c:v>
                </c:pt>
                <c:pt idx="26">
                  <c:v>1400</c:v>
                </c:pt>
                <c:pt idx="27">
                  <c:v>3350</c:v>
                </c:pt>
                <c:pt idx="28">
                  <c:v>1450</c:v>
                </c:pt>
                <c:pt idx="29">
                  <c:v>2400</c:v>
                </c:pt>
                <c:pt idx="30">
                  <c:v>2350</c:v>
                </c:pt>
                <c:pt idx="31">
                  <c:v>850</c:v>
                </c:pt>
                <c:pt idx="32">
                  <c:v>550</c:v>
                </c:pt>
                <c:pt idx="33">
                  <c:v>700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05-214F-9584-B7F8B31B7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7949280"/>
        <c:axId val="713955087"/>
      </c:lineChart>
      <c:dateAx>
        <c:axId val="16079492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955087"/>
        <c:crosses val="autoZero"/>
        <c:auto val="1"/>
        <c:lblOffset val="100"/>
        <c:baseTimeUnit val="days"/>
      </c:dateAx>
      <c:valAx>
        <c:axId val="71395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94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'P9'!$F$3</c:f>
              <c:strCache>
                <c:ptCount val="1"/>
                <c:pt idx="0">
                  <c:v>% de Deuda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'P9'!$B$4:$B$40</c:f>
              <c:numCache>
                <c:formatCode>m/d/yy</c:formatCode>
                <c:ptCount val="37"/>
                <c:pt idx="0">
                  <c:v>45481</c:v>
                </c:pt>
                <c:pt idx="1">
                  <c:v>45488</c:v>
                </c:pt>
                <c:pt idx="2">
                  <c:v>45495</c:v>
                </c:pt>
                <c:pt idx="3">
                  <c:v>45502</c:v>
                </c:pt>
                <c:pt idx="4">
                  <c:v>45509</c:v>
                </c:pt>
                <c:pt idx="5">
                  <c:v>45516</c:v>
                </c:pt>
                <c:pt idx="6">
                  <c:v>45523</c:v>
                </c:pt>
                <c:pt idx="7">
                  <c:v>45530</c:v>
                </c:pt>
                <c:pt idx="8">
                  <c:v>45537</c:v>
                </c:pt>
                <c:pt idx="9">
                  <c:v>45544</c:v>
                </c:pt>
                <c:pt idx="10">
                  <c:v>45551</c:v>
                </c:pt>
                <c:pt idx="11">
                  <c:v>45558</c:v>
                </c:pt>
                <c:pt idx="12">
                  <c:v>45565</c:v>
                </c:pt>
                <c:pt idx="13">
                  <c:v>45572</c:v>
                </c:pt>
                <c:pt idx="14">
                  <c:v>45579</c:v>
                </c:pt>
                <c:pt idx="15">
                  <c:v>45586</c:v>
                </c:pt>
                <c:pt idx="16">
                  <c:v>45593</c:v>
                </c:pt>
                <c:pt idx="17">
                  <c:v>45600</c:v>
                </c:pt>
                <c:pt idx="18">
                  <c:v>45607</c:v>
                </c:pt>
                <c:pt idx="19">
                  <c:v>45614</c:v>
                </c:pt>
                <c:pt idx="20">
                  <c:v>45621</c:v>
                </c:pt>
                <c:pt idx="21">
                  <c:v>45628</c:v>
                </c:pt>
                <c:pt idx="22">
                  <c:v>45635</c:v>
                </c:pt>
                <c:pt idx="23">
                  <c:v>45642</c:v>
                </c:pt>
                <c:pt idx="24">
                  <c:v>45649</c:v>
                </c:pt>
                <c:pt idx="25">
                  <c:v>45656</c:v>
                </c:pt>
                <c:pt idx="26">
                  <c:v>45663</c:v>
                </c:pt>
                <c:pt idx="27">
                  <c:v>45670</c:v>
                </c:pt>
                <c:pt idx="28">
                  <c:v>45677</c:v>
                </c:pt>
                <c:pt idx="29">
                  <c:v>45684</c:v>
                </c:pt>
                <c:pt idx="30">
                  <c:v>45691</c:v>
                </c:pt>
                <c:pt idx="31">
                  <c:v>45698</c:v>
                </c:pt>
                <c:pt idx="32">
                  <c:v>45705</c:v>
                </c:pt>
                <c:pt idx="33">
                  <c:v>45712</c:v>
                </c:pt>
                <c:pt idx="34">
                  <c:v>45719</c:v>
                </c:pt>
                <c:pt idx="35">
                  <c:v>45726</c:v>
                </c:pt>
                <c:pt idx="36">
                  <c:v>45733</c:v>
                </c:pt>
              </c:numCache>
            </c:numRef>
          </c:cat>
          <c:val>
            <c:numRef>
              <c:f>'P9'!$F$4:$F$40</c:f>
              <c:numCache>
                <c:formatCode>0.00%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0.15384615384615385</c:v>
                </c:pt>
                <c:pt idx="11">
                  <c:v>4.7619047619047616E-2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1.1920529801324504E-2</c:v>
                </c:pt>
                <c:pt idx="26">
                  <c:v>4.3263288009888753E-2</c:v>
                </c:pt>
                <c:pt idx="27">
                  <c:v>2.5492468134414831E-2</c:v>
                </c:pt>
                <c:pt idx="28">
                  <c:v>5.1254089422028352E-2</c:v>
                </c:pt>
                <c:pt idx="29">
                  <c:v>0.16914191419141913</c:v>
                </c:pt>
                <c:pt idx="30">
                  <c:v>0.16914191419141913</c:v>
                </c:pt>
                <c:pt idx="31">
                  <c:v>0.16914191419141913</c:v>
                </c:pt>
                <c:pt idx="32">
                  <c:v>0.16914191419141913</c:v>
                </c:pt>
                <c:pt idx="33">
                  <c:v>0.16914191419141913</c:v>
                </c:pt>
                <c:pt idx="34">
                  <c:v>0.16914191419141913</c:v>
                </c:pt>
                <c:pt idx="35">
                  <c:v>0.16914191419141913</c:v>
                </c:pt>
                <c:pt idx="36">
                  <c:v>0.16914191419141913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08-964C-904C-24F4F47031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944288"/>
        <c:axId val="1869815472"/>
      </c:lineChart>
      <c:dateAx>
        <c:axId val="18509442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15472"/>
        <c:crosses val="autoZero"/>
        <c:auto val="1"/>
        <c:lblOffset val="100"/>
        <c:baseTimeUnit val="days"/>
      </c:dateAx>
      <c:valAx>
        <c:axId val="18698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4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</a:t>
            </a:r>
            <a:r>
              <a:rPr lang="en-US" baseline="0"/>
              <a:t> Vs Cobranza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'P10'!$C$3</c:f>
              <c:strCache>
                <c:ptCount val="1"/>
                <c:pt idx="0">
                  <c:v>Meta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'P10'!$B$4:$B$39</c:f>
              <c:numCache>
                <c:formatCode>m/d/yy</c:formatCode>
                <c:ptCount val="36"/>
                <c:pt idx="0">
                  <c:v>45488</c:v>
                </c:pt>
                <c:pt idx="1">
                  <c:v>45495</c:v>
                </c:pt>
                <c:pt idx="2">
                  <c:v>45502</c:v>
                </c:pt>
                <c:pt idx="3">
                  <c:v>45509</c:v>
                </c:pt>
                <c:pt idx="4">
                  <c:v>45516</c:v>
                </c:pt>
                <c:pt idx="5">
                  <c:v>45523</c:v>
                </c:pt>
                <c:pt idx="6">
                  <c:v>45530</c:v>
                </c:pt>
                <c:pt idx="7">
                  <c:v>45537</c:v>
                </c:pt>
                <c:pt idx="8">
                  <c:v>45544</c:v>
                </c:pt>
                <c:pt idx="9">
                  <c:v>45551</c:v>
                </c:pt>
                <c:pt idx="10">
                  <c:v>45558</c:v>
                </c:pt>
                <c:pt idx="11">
                  <c:v>45565</c:v>
                </c:pt>
                <c:pt idx="12">
                  <c:v>45572</c:v>
                </c:pt>
                <c:pt idx="13">
                  <c:v>45579</c:v>
                </c:pt>
                <c:pt idx="14">
                  <c:v>45586</c:v>
                </c:pt>
                <c:pt idx="15">
                  <c:v>45593</c:v>
                </c:pt>
                <c:pt idx="16">
                  <c:v>45600</c:v>
                </c:pt>
                <c:pt idx="17">
                  <c:v>45607</c:v>
                </c:pt>
                <c:pt idx="18">
                  <c:v>45614</c:v>
                </c:pt>
                <c:pt idx="19">
                  <c:v>45621</c:v>
                </c:pt>
                <c:pt idx="20">
                  <c:v>45628</c:v>
                </c:pt>
                <c:pt idx="21">
                  <c:v>45635</c:v>
                </c:pt>
                <c:pt idx="22">
                  <c:v>45642</c:v>
                </c:pt>
                <c:pt idx="23">
                  <c:v>45649</c:v>
                </c:pt>
                <c:pt idx="24">
                  <c:v>45656</c:v>
                </c:pt>
                <c:pt idx="25">
                  <c:v>45663</c:v>
                </c:pt>
                <c:pt idx="26">
                  <c:v>45670</c:v>
                </c:pt>
                <c:pt idx="27">
                  <c:v>45677</c:v>
                </c:pt>
                <c:pt idx="28">
                  <c:v>45684</c:v>
                </c:pt>
                <c:pt idx="29">
                  <c:v>45691</c:v>
                </c:pt>
                <c:pt idx="30">
                  <c:v>45698</c:v>
                </c:pt>
                <c:pt idx="31">
                  <c:v>45705</c:v>
                </c:pt>
                <c:pt idx="32">
                  <c:v>45712</c:v>
                </c:pt>
                <c:pt idx="33">
                  <c:v>45719</c:v>
                </c:pt>
                <c:pt idx="34">
                  <c:v>45726</c:v>
                </c:pt>
                <c:pt idx="35">
                  <c:v>45733</c:v>
                </c:pt>
              </c:numCache>
            </c:numRef>
          </c:cat>
          <c:val>
            <c:numRef>
              <c:f>'P10'!$C$4:$C$39</c:f>
              <c:numCache>
                <c:formatCode>_("$"* #,##0.00_);_("$"* \(#,##0.00\);_("$"* "-"??_);_(@_)</c:formatCode>
                <c:ptCount val="36"/>
                <c:pt idx="0">
                  <c:v>750</c:v>
                </c:pt>
                <c:pt idx="1">
                  <c:v>1750</c:v>
                </c:pt>
                <c:pt idx="2">
                  <c:v>3200</c:v>
                </c:pt>
                <c:pt idx="3">
                  <c:v>3700</c:v>
                </c:pt>
                <c:pt idx="4">
                  <c:v>5200</c:v>
                </c:pt>
                <c:pt idx="5">
                  <c:v>5700</c:v>
                </c:pt>
                <c:pt idx="6">
                  <c:v>6700</c:v>
                </c:pt>
                <c:pt idx="7">
                  <c:v>7200</c:v>
                </c:pt>
                <c:pt idx="8">
                  <c:v>7450</c:v>
                </c:pt>
                <c:pt idx="9">
                  <c:v>7450</c:v>
                </c:pt>
                <c:pt idx="10">
                  <c:v>8050</c:v>
                </c:pt>
                <c:pt idx="11">
                  <c:v>8650</c:v>
                </c:pt>
                <c:pt idx="12">
                  <c:v>8500</c:v>
                </c:pt>
                <c:pt idx="13">
                  <c:v>9300</c:v>
                </c:pt>
                <c:pt idx="14">
                  <c:v>8000</c:v>
                </c:pt>
                <c:pt idx="15">
                  <c:v>8300</c:v>
                </c:pt>
                <c:pt idx="16">
                  <c:v>8500</c:v>
                </c:pt>
                <c:pt idx="17">
                  <c:v>8600</c:v>
                </c:pt>
                <c:pt idx="18">
                  <c:v>8600</c:v>
                </c:pt>
                <c:pt idx="19">
                  <c:v>7850</c:v>
                </c:pt>
                <c:pt idx="20">
                  <c:v>7900</c:v>
                </c:pt>
                <c:pt idx="21">
                  <c:v>7400</c:v>
                </c:pt>
                <c:pt idx="22">
                  <c:v>7150</c:v>
                </c:pt>
                <c:pt idx="23">
                  <c:v>7150</c:v>
                </c:pt>
                <c:pt idx="24">
                  <c:v>6550</c:v>
                </c:pt>
                <c:pt idx="25">
                  <c:v>5350</c:v>
                </c:pt>
                <c:pt idx="26">
                  <c:v>4150</c:v>
                </c:pt>
                <c:pt idx="27">
                  <c:v>3850</c:v>
                </c:pt>
                <c:pt idx="28">
                  <c:v>2400</c:v>
                </c:pt>
                <c:pt idx="29">
                  <c:v>2100</c:v>
                </c:pt>
                <c:pt idx="30">
                  <c:v>900</c:v>
                </c:pt>
                <c:pt idx="31">
                  <c:v>300</c:v>
                </c:pt>
                <c:pt idx="32">
                  <c:v>300</c:v>
                </c:pt>
                <c:pt idx="33">
                  <c:v>300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69-6740-BD90-D8CC20122675}"/>
            </c:ext>
          </c:extLst>
        </c:ser>
        <c:ser>
          <c:idx val="1"/>
          <c:order val="1"/>
          <c:tx>
            <c:strRef>
              <c:f>'P10'!$D$3</c:f>
              <c:strCache>
                <c:ptCount val="1"/>
                <c:pt idx="0">
                  <c:v>Cobranza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'P10'!$B$4:$B$39</c:f>
              <c:numCache>
                <c:formatCode>m/d/yy</c:formatCode>
                <c:ptCount val="36"/>
                <c:pt idx="0">
                  <c:v>45488</c:v>
                </c:pt>
                <c:pt idx="1">
                  <c:v>45495</c:v>
                </c:pt>
                <c:pt idx="2">
                  <c:v>45502</c:v>
                </c:pt>
                <c:pt idx="3">
                  <c:v>45509</c:v>
                </c:pt>
                <c:pt idx="4">
                  <c:v>45516</c:v>
                </c:pt>
                <c:pt idx="5">
                  <c:v>45523</c:v>
                </c:pt>
                <c:pt idx="6">
                  <c:v>45530</c:v>
                </c:pt>
                <c:pt idx="7">
                  <c:v>45537</c:v>
                </c:pt>
                <c:pt idx="8">
                  <c:v>45544</c:v>
                </c:pt>
                <c:pt idx="9">
                  <c:v>45551</c:v>
                </c:pt>
                <c:pt idx="10">
                  <c:v>45558</c:v>
                </c:pt>
                <c:pt idx="11">
                  <c:v>45565</c:v>
                </c:pt>
                <c:pt idx="12">
                  <c:v>45572</c:v>
                </c:pt>
                <c:pt idx="13">
                  <c:v>45579</c:v>
                </c:pt>
                <c:pt idx="14">
                  <c:v>45586</c:v>
                </c:pt>
                <c:pt idx="15">
                  <c:v>45593</c:v>
                </c:pt>
                <c:pt idx="16">
                  <c:v>45600</c:v>
                </c:pt>
                <c:pt idx="17">
                  <c:v>45607</c:v>
                </c:pt>
                <c:pt idx="18">
                  <c:v>45614</c:v>
                </c:pt>
                <c:pt idx="19">
                  <c:v>45621</c:v>
                </c:pt>
                <c:pt idx="20">
                  <c:v>45628</c:v>
                </c:pt>
                <c:pt idx="21">
                  <c:v>45635</c:v>
                </c:pt>
                <c:pt idx="22">
                  <c:v>45642</c:v>
                </c:pt>
                <c:pt idx="23">
                  <c:v>45649</c:v>
                </c:pt>
                <c:pt idx="24">
                  <c:v>45656</c:v>
                </c:pt>
                <c:pt idx="25">
                  <c:v>45663</c:v>
                </c:pt>
                <c:pt idx="26">
                  <c:v>45670</c:v>
                </c:pt>
                <c:pt idx="27">
                  <c:v>45677</c:v>
                </c:pt>
                <c:pt idx="28">
                  <c:v>45684</c:v>
                </c:pt>
                <c:pt idx="29">
                  <c:v>45691</c:v>
                </c:pt>
                <c:pt idx="30">
                  <c:v>45698</c:v>
                </c:pt>
                <c:pt idx="31">
                  <c:v>45705</c:v>
                </c:pt>
                <c:pt idx="32">
                  <c:v>45712</c:v>
                </c:pt>
                <c:pt idx="33">
                  <c:v>45719</c:v>
                </c:pt>
                <c:pt idx="34">
                  <c:v>45726</c:v>
                </c:pt>
                <c:pt idx="35">
                  <c:v>45733</c:v>
                </c:pt>
              </c:numCache>
            </c:numRef>
          </c:cat>
          <c:val>
            <c:numRef>
              <c:f>'P10'!$D$4:$D$39</c:f>
              <c:numCache>
                <c:formatCode>_("$"* #,##0.00_);_("$"* \(#,##0.00\);_("$"* "-"??_);_(@_)</c:formatCode>
                <c:ptCount val="36"/>
                <c:pt idx="0">
                  <c:v>750</c:v>
                </c:pt>
                <c:pt idx="1">
                  <c:v>1750</c:v>
                </c:pt>
                <c:pt idx="2">
                  <c:v>3200</c:v>
                </c:pt>
                <c:pt idx="3">
                  <c:v>4280</c:v>
                </c:pt>
                <c:pt idx="4">
                  <c:v>5120</c:v>
                </c:pt>
                <c:pt idx="5">
                  <c:v>7700</c:v>
                </c:pt>
                <c:pt idx="6">
                  <c:v>6700</c:v>
                </c:pt>
                <c:pt idx="7">
                  <c:v>7200</c:v>
                </c:pt>
                <c:pt idx="8">
                  <c:v>7000</c:v>
                </c:pt>
                <c:pt idx="9">
                  <c:v>7700</c:v>
                </c:pt>
                <c:pt idx="10">
                  <c:v>7350</c:v>
                </c:pt>
                <c:pt idx="11">
                  <c:v>10100</c:v>
                </c:pt>
                <c:pt idx="12">
                  <c:v>6800</c:v>
                </c:pt>
                <c:pt idx="13">
                  <c:v>14700</c:v>
                </c:pt>
                <c:pt idx="14">
                  <c:v>6700</c:v>
                </c:pt>
                <c:pt idx="15">
                  <c:v>7550</c:v>
                </c:pt>
                <c:pt idx="16">
                  <c:v>7500</c:v>
                </c:pt>
                <c:pt idx="17">
                  <c:v>6050</c:v>
                </c:pt>
                <c:pt idx="18">
                  <c:v>8650</c:v>
                </c:pt>
                <c:pt idx="19">
                  <c:v>5000</c:v>
                </c:pt>
                <c:pt idx="20">
                  <c:v>6355</c:v>
                </c:pt>
                <c:pt idx="21">
                  <c:v>5950</c:v>
                </c:pt>
                <c:pt idx="22">
                  <c:v>5300</c:v>
                </c:pt>
                <c:pt idx="23">
                  <c:v>5400</c:v>
                </c:pt>
                <c:pt idx="24">
                  <c:v>6300</c:v>
                </c:pt>
                <c:pt idx="25">
                  <c:v>3500</c:v>
                </c:pt>
                <c:pt idx="26">
                  <c:v>3400</c:v>
                </c:pt>
                <c:pt idx="27">
                  <c:v>2100</c:v>
                </c:pt>
                <c:pt idx="28">
                  <c:v>1800</c:v>
                </c:pt>
                <c:pt idx="29">
                  <c:v>800</c:v>
                </c:pt>
                <c:pt idx="30">
                  <c:v>500</c:v>
                </c:pt>
                <c:pt idx="31">
                  <c:v>0</c:v>
                </c:pt>
                <c:pt idx="32">
                  <c:v>1200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69-6740-BD90-D8CC20122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6679264"/>
        <c:axId val="1601759776"/>
      </c:lineChart>
      <c:dateAx>
        <c:axId val="175667926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759776"/>
        <c:crosses val="autoZero"/>
        <c:auto val="1"/>
        <c:lblOffset val="100"/>
        <c:baseTimeUnit val="days"/>
      </c:dateAx>
      <c:valAx>
        <c:axId val="160175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679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'P10'!$F$3</c:f>
              <c:strCache>
                <c:ptCount val="1"/>
                <c:pt idx="0">
                  <c:v>% de Deuda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'P10'!$B$4:$B$39</c:f>
              <c:numCache>
                <c:formatCode>m/d/yy</c:formatCode>
                <c:ptCount val="36"/>
                <c:pt idx="0">
                  <c:v>45488</c:v>
                </c:pt>
                <c:pt idx="1">
                  <c:v>45495</c:v>
                </c:pt>
                <c:pt idx="2">
                  <c:v>45502</c:v>
                </c:pt>
                <c:pt idx="3">
                  <c:v>45509</c:v>
                </c:pt>
                <c:pt idx="4">
                  <c:v>45516</c:v>
                </c:pt>
                <c:pt idx="5">
                  <c:v>45523</c:v>
                </c:pt>
                <c:pt idx="6">
                  <c:v>45530</c:v>
                </c:pt>
                <c:pt idx="7">
                  <c:v>45537</c:v>
                </c:pt>
                <c:pt idx="8">
                  <c:v>45544</c:v>
                </c:pt>
                <c:pt idx="9">
                  <c:v>45551</c:v>
                </c:pt>
                <c:pt idx="10">
                  <c:v>45558</c:v>
                </c:pt>
                <c:pt idx="11">
                  <c:v>45565</c:v>
                </c:pt>
                <c:pt idx="12">
                  <c:v>45572</c:v>
                </c:pt>
                <c:pt idx="13">
                  <c:v>45579</c:v>
                </c:pt>
                <c:pt idx="14">
                  <c:v>45586</c:v>
                </c:pt>
                <c:pt idx="15">
                  <c:v>45593</c:v>
                </c:pt>
                <c:pt idx="16">
                  <c:v>45600</c:v>
                </c:pt>
                <c:pt idx="17">
                  <c:v>45607</c:v>
                </c:pt>
                <c:pt idx="18">
                  <c:v>45614</c:v>
                </c:pt>
                <c:pt idx="19">
                  <c:v>45621</c:v>
                </c:pt>
                <c:pt idx="20">
                  <c:v>45628</c:v>
                </c:pt>
                <c:pt idx="21">
                  <c:v>45635</c:v>
                </c:pt>
                <c:pt idx="22">
                  <c:v>45642</c:v>
                </c:pt>
                <c:pt idx="23">
                  <c:v>45649</c:v>
                </c:pt>
                <c:pt idx="24">
                  <c:v>45656</c:v>
                </c:pt>
                <c:pt idx="25">
                  <c:v>45663</c:v>
                </c:pt>
                <c:pt idx="26">
                  <c:v>45670</c:v>
                </c:pt>
                <c:pt idx="27">
                  <c:v>45677</c:v>
                </c:pt>
                <c:pt idx="28">
                  <c:v>45684</c:v>
                </c:pt>
                <c:pt idx="29">
                  <c:v>45691</c:v>
                </c:pt>
                <c:pt idx="30">
                  <c:v>45698</c:v>
                </c:pt>
                <c:pt idx="31">
                  <c:v>45705</c:v>
                </c:pt>
                <c:pt idx="32">
                  <c:v>45712</c:v>
                </c:pt>
                <c:pt idx="33">
                  <c:v>45719</c:v>
                </c:pt>
                <c:pt idx="34">
                  <c:v>45726</c:v>
                </c:pt>
                <c:pt idx="35">
                  <c:v>45733</c:v>
                </c:pt>
              </c:numCache>
            </c:numRef>
          </c:cat>
          <c:val>
            <c:numRef>
              <c:f>'P10'!$F$4:$F$39</c:f>
              <c:numCache>
                <c:formatCode>0.00%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1.2364181341326339E-2</c:v>
                </c:pt>
                <c:pt idx="20">
                  <c:v>2.2603466572338169E-2</c:v>
                </c:pt>
                <c:pt idx="21">
                  <c:v>3.1226890756302521E-2</c:v>
                </c:pt>
                <c:pt idx="22">
                  <c:v>4.1661321359846057E-2</c:v>
                </c:pt>
                <c:pt idx="23">
                  <c:v>5.0567310640907699E-2</c:v>
                </c:pt>
                <c:pt idx="24">
                  <c:v>5.0088443396226416E-2</c:v>
                </c:pt>
                <c:pt idx="25">
                  <c:v>5.9131180337239214E-2</c:v>
                </c:pt>
                <c:pt idx="26">
                  <c:v>6.1948632049134561E-2</c:v>
                </c:pt>
                <c:pt idx="27">
                  <c:v>7.0210440010931949E-2</c:v>
                </c:pt>
                <c:pt idx="28">
                  <c:v>7.2538440787698943E-2</c:v>
                </c:pt>
                <c:pt idx="29">
                  <c:v>7.8660976260336093E-2</c:v>
                </c:pt>
                <c:pt idx="30">
                  <c:v>8.0408813379346966E-2</c:v>
                </c:pt>
                <c:pt idx="31">
                  <c:v>8.1871190034455338E-2</c:v>
                </c:pt>
                <c:pt idx="32">
                  <c:v>7.8441215323645966E-2</c:v>
                </c:pt>
                <c:pt idx="33">
                  <c:v>7.8441215323645966E-2</c:v>
                </c:pt>
                <c:pt idx="34">
                  <c:v>7.8441215323645966E-2</c:v>
                </c:pt>
                <c:pt idx="35">
                  <c:v>7.8441215323645966E-2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E-4647-B54A-FD96A5DF96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944288"/>
        <c:axId val="1869815472"/>
      </c:lineChart>
      <c:dateAx>
        <c:axId val="18509442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15472"/>
        <c:crosses val="autoZero"/>
        <c:auto val="1"/>
        <c:lblOffset val="100"/>
        <c:baseTimeUnit val="days"/>
      </c:dateAx>
      <c:valAx>
        <c:axId val="18698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4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</a:t>
            </a:r>
            <a:r>
              <a:rPr lang="en-US" baseline="0"/>
              <a:t> Vs Cobranza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'P11'!$C$3</c:f>
              <c:strCache>
                <c:ptCount val="1"/>
                <c:pt idx="0">
                  <c:v>Meta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'P11'!$B$4:$B$33</c:f>
              <c:numCache>
                <c:formatCode>m/d/yy</c:formatCode>
                <c:ptCount val="30"/>
                <c:pt idx="0">
                  <c:v>45530</c:v>
                </c:pt>
                <c:pt idx="1">
                  <c:v>45537</c:v>
                </c:pt>
                <c:pt idx="2">
                  <c:v>45544</c:v>
                </c:pt>
                <c:pt idx="3">
                  <c:v>45551</c:v>
                </c:pt>
                <c:pt idx="4">
                  <c:v>45558</c:v>
                </c:pt>
                <c:pt idx="5">
                  <c:v>45565</c:v>
                </c:pt>
                <c:pt idx="6">
                  <c:v>45572</c:v>
                </c:pt>
                <c:pt idx="7">
                  <c:v>45579</c:v>
                </c:pt>
                <c:pt idx="8">
                  <c:v>45586</c:v>
                </c:pt>
                <c:pt idx="9">
                  <c:v>45593</c:v>
                </c:pt>
                <c:pt idx="10">
                  <c:v>45600</c:v>
                </c:pt>
                <c:pt idx="11">
                  <c:v>45607</c:v>
                </c:pt>
                <c:pt idx="12">
                  <c:v>45614</c:v>
                </c:pt>
                <c:pt idx="13">
                  <c:v>45621</c:v>
                </c:pt>
                <c:pt idx="14">
                  <c:v>45628</c:v>
                </c:pt>
                <c:pt idx="15">
                  <c:v>45635</c:v>
                </c:pt>
                <c:pt idx="16">
                  <c:v>45642</c:v>
                </c:pt>
                <c:pt idx="17">
                  <c:v>45649</c:v>
                </c:pt>
                <c:pt idx="18">
                  <c:v>45656</c:v>
                </c:pt>
                <c:pt idx="19">
                  <c:v>45663</c:v>
                </c:pt>
                <c:pt idx="20">
                  <c:v>45670</c:v>
                </c:pt>
                <c:pt idx="21">
                  <c:v>45677</c:v>
                </c:pt>
                <c:pt idx="22">
                  <c:v>45684</c:v>
                </c:pt>
                <c:pt idx="23">
                  <c:v>45691</c:v>
                </c:pt>
                <c:pt idx="24">
                  <c:v>45698</c:v>
                </c:pt>
                <c:pt idx="25">
                  <c:v>45705</c:v>
                </c:pt>
                <c:pt idx="26">
                  <c:v>45712</c:v>
                </c:pt>
                <c:pt idx="27">
                  <c:v>45719</c:v>
                </c:pt>
                <c:pt idx="28">
                  <c:v>45726</c:v>
                </c:pt>
                <c:pt idx="29">
                  <c:v>45733</c:v>
                </c:pt>
              </c:numCache>
            </c:numRef>
          </c:cat>
          <c:val>
            <c:numRef>
              <c:f>'P11'!$C$4:$C$33</c:f>
              <c:numCache>
                <c:formatCode>_("$"* #,##0.00_);_("$"* \(#,##0.00\);_("$"* "-"??_);_(@_)</c:formatCode>
                <c:ptCount val="30"/>
                <c:pt idx="0">
                  <c:v>550</c:v>
                </c:pt>
                <c:pt idx="1">
                  <c:v>1400</c:v>
                </c:pt>
                <c:pt idx="2">
                  <c:v>2300</c:v>
                </c:pt>
                <c:pt idx="3">
                  <c:v>2900</c:v>
                </c:pt>
                <c:pt idx="4">
                  <c:v>3500</c:v>
                </c:pt>
                <c:pt idx="5">
                  <c:v>4100</c:v>
                </c:pt>
                <c:pt idx="6">
                  <c:v>4700</c:v>
                </c:pt>
                <c:pt idx="7">
                  <c:v>5600</c:v>
                </c:pt>
                <c:pt idx="8">
                  <c:v>5900</c:v>
                </c:pt>
                <c:pt idx="9">
                  <c:v>6200</c:v>
                </c:pt>
                <c:pt idx="10">
                  <c:v>6200</c:v>
                </c:pt>
                <c:pt idx="11">
                  <c:v>6250</c:v>
                </c:pt>
                <c:pt idx="12">
                  <c:v>6250</c:v>
                </c:pt>
                <c:pt idx="13">
                  <c:v>6250</c:v>
                </c:pt>
                <c:pt idx="14">
                  <c:v>5950</c:v>
                </c:pt>
                <c:pt idx="15">
                  <c:v>5100</c:v>
                </c:pt>
                <c:pt idx="16">
                  <c:v>4200</c:v>
                </c:pt>
                <c:pt idx="17">
                  <c:v>3600</c:v>
                </c:pt>
                <c:pt idx="18">
                  <c:v>3000</c:v>
                </c:pt>
                <c:pt idx="19">
                  <c:v>2400</c:v>
                </c:pt>
                <c:pt idx="20">
                  <c:v>1800</c:v>
                </c:pt>
                <c:pt idx="21">
                  <c:v>900</c:v>
                </c:pt>
                <c:pt idx="22">
                  <c:v>600</c:v>
                </c:pt>
                <c:pt idx="23">
                  <c:v>300</c:v>
                </c:pt>
                <c:pt idx="24">
                  <c:v>300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CD-BE4D-81C9-C2DBF30D2409}"/>
            </c:ext>
          </c:extLst>
        </c:ser>
        <c:ser>
          <c:idx val="1"/>
          <c:order val="1"/>
          <c:tx>
            <c:strRef>
              <c:f>'P11'!$D$3</c:f>
              <c:strCache>
                <c:ptCount val="1"/>
                <c:pt idx="0">
                  <c:v>Cobranza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'P11'!$B$4:$B$33</c:f>
              <c:numCache>
                <c:formatCode>m/d/yy</c:formatCode>
                <c:ptCount val="30"/>
                <c:pt idx="0">
                  <c:v>45530</c:v>
                </c:pt>
                <c:pt idx="1">
                  <c:v>45537</c:v>
                </c:pt>
                <c:pt idx="2">
                  <c:v>45544</c:v>
                </c:pt>
                <c:pt idx="3">
                  <c:v>45551</c:v>
                </c:pt>
                <c:pt idx="4">
                  <c:v>45558</c:v>
                </c:pt>
                <c:pt idx="5">
                  <c:v>45565</c:v>
                </c:pt>
                <c:pt idx="6">
                  <c:v>45572</c:v>
                </c:pt>
                <c:pt idx="7">
                  <c:v>45579</c:v>
                </c:pt>
                <c:pt idx="8">
                  <c:v>45586</c:v>
                </c:pt>
                <c:pt idx="9">
                  <c:v>45593</c:v>
                </c:pt>
                <c:pt idx="10">
                  <c:v>45600</c:v>
                </c:pt>
                <c:pt idx="11">
                  <c:v>45607</c:v>
                </c:pt>
                <c:pt idx="12">
                  <c:v>45614</c:v>
                </c:pt>
                <c:pt idx="13">
                  <c:v>45621</c:v>
                </c:pt>
                <c:pt idx="14">
                  <c:v>45628</c:v>
                </c:pt>
                <c:pt idx="15">
                  <c:v>45635</c:v>
                </c:pt>
                <c:pt idx="16">
                  <c:v>45642</c:v>
                </c:pt>
                <c:pt idx="17">
                  <c:v>45649</c:v>
                </c:pt>
                <c:pt idx="18">
                  <c:v>45656</c:v>
                </c:pt>
                <c:pt idx="19">
                  <c:v>45663</c:v>
                </c:pt>
                <c:pt idx="20">
                  <c:v>45670</c:v>
                </c:pt>
                <c:pt idx="21">
                  <c:v>45677</c:v>
                </c:pt>
                <c:pt idx="22">
                  <c:v>45684</c:v>
                </c:pt>
                <c:pt idx="23">
                  <c:v>45691</c:v>
                </c:pt>
                <c:pt idx="24">
                  <c:v>45698</c:v>
                </c:pt>
                <c:pt idx="25">
                  <c:v>45705</c:v>
                </c:pt>
                <c:pt idx="26">
                  <c:v>45712</c:v>
                </c:pt>
                <c:pt idx="27">
                  <c:v>45719</c:v>
                </c:pt>
                <c:pt idx="28">
                  <c:v>45726</c:v>
                </c:pt>
                <c:pt idx="29">
                  <c:v>45733</c:v>
                </c:pt>
              </c:numCache>
            </c:numRef>
          </c:cat>
          <c:val>
            <c:numRef>
              <c:f>'P11'!$D$4:$D$33</c:f>
              <c:numCache>
                <c:formatCode>_("$"* #,##0.00_);_("$"* \(#,##0.00\);_("$"* "-"??_);_(@_)</c:formatCode>
                <c:ptCount val="30"/>
                <c:pt idx="0">
                  <c:v>550</c:v>
                </c:pt>
                <c:pt idx="1">
                  <c:v>1400</c:v>
                </c:pt>
                <c:pt idx="2">
                  <c:v>2300</c:v>
                </c:pt>
                <c:pt idx="3">
                  <c:v>2900</c:v>
                </c:pt>
                <c:pt idx="4">
                  <c:v>3500</c:v>
                </c:pt>
                <c:pt idx="5">
                  <c:v>4100</c:v>
                </c:pt>
                <c:pt idx="6">
                  <c:v>4700</c:v>
                </c:pt>
                <c:pt idx="7">
                  <c:v>5600</c:v>
                </c:pt>
                <c:pt idx="8">
                  <c:v>5300</c:v>
                </c:pt>
                <c:pt idx="9">
                  <c:v>5600</c:v>
                </c:pt>
                <c:pt idx="10">
                  <c:v>5900</c:v>
                </c:pt>
                <c:pt idx="11">
                  <c:v>4150</c:v>
                </c:pt>
                <c:pt idx="12">
                  <c:v>5050</c:v>
                </c:pt>
                <c:pt idx="13">
                  <c:v>900</c:v>
                </c:pt>
                <c:pt idx="14">
                  <c:v>5600</c:v>
                </c:pt>
                <c:pt idx="15">
                  <c:v>3300</c:v>
                </c:pt>
                <c:pt idx="16">
                  <c:v>2700</c:v>
                </c:pt>
                <c:pt idx="17">
                  <c:v>1800</c:v>
                </c:pt>
                <c:pt idx="18">
                  <c:v>600</c:v>
                </c:pt>
                <c:pt idx="19">
                  <c:v>5100</c:v>
                </c:pt>
                <c:pt idx="20">
                  <c:v>1200</c:v>
                </c:pt>
                <c:pt idx="21">
                  <c:v>1500</c:v>
                </c:pt>
                <c:pt idx="22">
                  <c:v>0</c:v>
                </c:pt>
                <c:pt idx="23">
                  <c:v>300</c:v>
                </c:pt>
                <c:pt idx="24">
                  <c:v>0</c:v>
                </c:pt>
                <c:pt idx="25">
                  <c:v>300</c:v>
                </c:pt>
                <c:pt idx="26">
                  <c:v>0</c:v>
                </c:pt>
                <c:pt idx="27">
                  <c:v>300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CD-BE4D-81C9-C2DBF30D24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989984"/>
        <c:axId val="1601586976"/>
      </c:lineChart>
      <c:dateAx>
        <c:axId val="16019899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586976"/>
        <c:crosses val="autoZero"/>
        <c:auto val="1"/>
        <c:lblOffset val="100"/>
        <c:baseTimeUnit val="days"/>
      </c:dateAx>
      <c:valAx>
        <c:axId val="160158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98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'P11'!$F$3</c:f>
              <c:strCache>
                <c:ptCount val="1"/>
                <c:pt idx="0">
                  <c:v>% de Deuda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'P11'!$B$4:$B$33</c:f>
              <c:numCache>
                <c:formatCode>m/d/yy</c:formatCode>
                <c:ptCount val="30"/>
                <c:pt idx="0">
                  <c:v>45530</c:v>
                </c:pt>
                <c:pt idx="1">
                  <c:v>45537</c:v>
                </c:pt>
                <c:pt idx="2">
                  <c:v>45544</c:v>
                </c:pt>
                <c:pt idx="3">
                  <c:v>45551</c:v>
                </c:pt>
                <c:pt idx="4">
                  <c:v>45558</c:v>
                </c:pt>
                <c:pt idx="5">
                  <c:v>45565</c:v>
                </c:pt>
                <c:pt idx="6">
                  <c:v>45572</c:v>
                </c:pt>
                <c:pt idx="7">
                  <c:v>45579</c:v>
                </c:pt>
                <c:pt idx="8">
                  <c:v>45586</c:v>
                </c:pt>
                <c:pt idx="9">
                  <c:v>45593</c:v>
                </c:pt>
                <c:pt idx="10">
                  <c:v>45600</c:v>
                </c:pt>
                <c:pt idx="11">
                  <c:v>45607</c:v>
                </c:pt>
                <c:pt idx="12">
                  <c:v>45614</c:v>
                </c:pt>
                <c:pt idx="13">
                  <c:v>45621</c:v>
                </c:pt>
                <c:pt idx="14">
                  <c:v>45628</c:v>
                </c:pt>
                <c:pt idx="15">
                  <c:v>45635</c:v>
                </c:pt>
                <c:pt idx="16">
                  <c:v>45642</c:v>
                </c:pt>
                <c:pt idx="17">
                  <c:v>45649</c:v>
                </c:pt>
                <c:pt idx="18">
                  <c:v>45656</c:v>
                </c:pt>
                <c:pt idx="19">
                  <c:v>45663</c:v>
                </c:pt>
                <c:pt idx="20">
                  <c:v>45670</c:v>
                </c:pt>
                <c:pt idx="21">
                  <c:v>45677</c:v>
                </c:pt>
                <c:pt idx="22">
                  <c:v>45684</c:v>
                </c:pt>
                <c:pt idx="23">
                  <c:v>45691</c:v>
                </c:pt>
                <c:pt idx="24">
                  <c:v>45698</c:v>
                </c:pt>
                <c:pt idx="25">
                  <c:v>45705</c:v>
                </c:pt>
                <c:pt idx="26">
                  <c:v>45712</c:v>
                </c:pt>
                <c:pt idx="27">
                  <c:v>45719</c:v>
                </c:pt>
                <c:pt idx="28">
                  <c:v>45726</c:v>
                </c:pt>
                <c:pt idx="29">
                  <c:v>45733</c:v>
                </c:pt>
              </c:numCache>
            </c:numRef>
          </c:cat>
          <c:val>
            <c:numRef>
              <c:f>'P11'!$F$4:$F$33</c:f>
              <c:numCache>
                <c:formatCode>0.00%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1.9386106623586429E-2</c:v>
                </c:pt>
                <c:pt idx="9">
                  <c:v>3.2301480484522208E-2</c:v>
                </c:pt>
                <c:pt idx="10">
                  <c:v>3.4602076124567477E-2</c:v>
                </c:pt>
                <c:pt idx="11">
                  <c:v>7.2580645161290328E-2</c:v>
                </c:pt>
                <c:pt idx="12">
                  <c:v>8.5944494180841546E-2</c:v>
                </c:pt>
                <c:pt idx="13">
                  <c:v>0.16344605475040258</c:v>
                </c:pt>
                <c:pt idx="14">
                  <c:v>0.15429831006612785</c:v>
                </c:pt>
                <c:pt idx="15">
                  <c:v>0.16814764183185235</c:v>
                </c:pt>
                <c:pt idx="16">
                  <c:v>0.178409825468649</c:v>
                </c:pt>
                <c:pt idx="17">
                  <c:v>0.19271155033971588</c:v>
                </c:pt>
                <c:pt idx="18">
                  <c:v>0.21441334127456821</c:v>
                </c:pt>
                <c:pt idx="19">
                  <c:v>0.17718587145338738</c:v>
                </c:pt>
                <c:pt idx="20">
                  <c:v>0.18037436188315373</c:v>
                </c:pt>
                <c:pt idx="21">
                  <c:v>0.17181358787198203</c:v>
                </c:pt>
                <c:pt idx="22">
                  <c:v>0.177356385945343</c:v>
                </c:pt>
                <c:pt idx="23">
                  <c:v>0.17676486937187327</c:v>
                </c:pt>
                <c:pt idx="24">
                  <c:v>0.17950138504155125</c:v>
                </c:pt>
                <c:pt idx="25">
                  <c:v>0.17617728531855956</c:v>
                </c:pt>
                <c:pt idx="26">
                  <c:v>0.17285318559556787</c:v>
                </c:pt>
                <c:pt idx="27">
                  <c:v>0.17285318559556787</c:v>
                </c:pt>
                <c:pt idx="28">
                  <c:v>0.17285318559556787</c:v>
                </c:pt>
                <c:pt idx="29">
                  <c:v>0.17285318559556787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8F-AC42-816A-3EB277386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944288"/>
        <c:axId val="1869815472"/>
      </c:lineChart>
      <c:dateAx>
        <c:axId val="18509442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15472"/>
        <c:crosses val="autoZero"/>
        <c:auto val="1"/>
        <c:lblOffset val="100"/>
        <c:baseTimeUnit val="days"/>
      </c:dateAx>
      <c:valAx>
        <c:axId val="18698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4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'P12'!$F$3</c:f>
              <c:strCache>
                <c:ptCount val="1"/>
                <c:pt idx="0">
                  <c:v>% de Deuda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'P12'!$B$4:$B$32</c:f>
              <c:numCache>
                <c:formatCode>m/d/yy</c:formatCode>
                <c:ptCount val="29"/>
                <c:pt idx="0">
                  <c:v>45537</c:v>
                </c:pt>
                <c:pt idx="1">
                  <c:v>45544</c:v>
                </c:pt>
                <c:pt idx="2">
                  <c:v>45551</c:v>
                </c:pt>
                <c:pt idx="3">
                  <c:v>45558</c:v>
                </c:pt>
                <c:pt idx="4">
                  <c:v>45565</c:v>
                </c:pt>
                <c:pt idx="5">
                  <c:v>45572</c:v>
                </c:pt>
                <c:pt idx="6">
                  <c:v>45579</c:v>
                </c:pt>
                <c:pt idx="7">
                  <c:v>45586</c:v>
                </c:pt>
                <c:pt idx="8">
                  <c:v>45593</c:v>
                </c:pt>
                <c:pt idx="9">
                  <c:v>45600</c:v>
                </c:pt>
                <c:pt idx="10">
                  <c:v>45607</c:v>
                </c:pt>
                <c:pt idx="11">
                  <c:v>45614</c:v>
                </c:pt>
                <c:pt idx="12">
                  <c:v>45621</c:v>
                </c:pt>
                <c:pt idx="13">
                  <c:v>45628</c:v>
                </c:pt>
                <c:pt idx="14">
                  <c:v>45635</c:v>
                </c:pt>
                <c:pt idx="15">
                  <c:v>45642</c:v>
                </c:pt>
                <c:pt idx="16">
                  <c:v>45649</c:v>
                </c:pt>
                <c:pt idx="17">
                  <c:v>45656</c:v>
                </c:pt>
                <c:pt idx="18">
                  <c:v>45663</c:v>
                </c:pt>
                <c:pt idx="19">
                  <c:v>45670</c:v>
                </c:pt>
                <c:pt idx="20">
                  <c:v>45677</c:v>
                </c:pt>
                <c:pt idx="21">
                  <c:v>45684</c:v>
                </c:pt>
                <c:pt idx="22">
                  <c:v>45691</c:v>
                </c:pt>
                <c:pt idx="23">
                  <c:v>45698</c:v>
                </c:pt>
                <c:pt idx="24">
                  <c:v>45705</c:v>
                </c:pt>
                <c:pt idx="25">
                  <c:v>45712</c:v>
                </c:pt>
                <c:pt idx="26">
                  <c:v>45719</c:v>
                </c:pt>
                <c:pt idx="27">
                  <c:v>45726</c:v>
                </c:pt>
                <c:pt idx="28">
                  <c:v>45733</c:v>
                </c:pt>
              </c:numCache>
            </c:numRef>
          </c:cat>
          <c:val>
            <c:numRef>
              <c:f>'P12'!$F$4:$F$32</c:f>
              <c:numCache>
                <c:formatCode>0.00%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4.2132416165090281E-2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2.1447721179624667E-3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3.8940809968847351E-4</c:v>
                </c:pt>
                <c:pt idx="20">
                  <c:v>7.2859744990892532E-3</c:v>
                </c:pt>
                <c:pt idx="21">
                  <c:v>6.524725274725275E-3</c:v>
                </c:pt>
                <c:pt idx="22">
                  <c:v>1.7572404816140579E-2</c:v>
                </c:pt>
                <c:pt idx="23">
                  <c:v>2.9785913744958113E-2</c:v>
                </c:pt>
                <c:pt idx="24">
                  <c:v>3.7267080745341616E-2</c:v>
                </c:pt>
                <c:pt idx="25">
                  <c:v>3.0108080288214101E-2</c:v>
                </c:pt>
                <c:pt idx="26">
                  <c:v>3.0108080288214101E-2</c:v>
                </c:pt>
                <c:pt idx="27">
                  <c:v>3.0108080288214101E-2</c:v>
                </c:pt>
                <c:pt idx="28">
                  <c:v>3.0108080288214101E-2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67-374F-BF94-BD34616E5A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944288"/>
        <c:axId val="1869815472"/>
      </c:lineChart>
      <c:dateAx>
        <c:axId val="18509442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15472"/>
        <c:crosses val="autoZero"/>
        <c:auto val="1"/>
        <c:lblOffset val="100"/>
        <c:baseTimeUnit val="days"/>
      </c:dateAx>
      <c:valAx>
        <c:axId val="18698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4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</a:t>
            </a:r>
            <a:r>
              <a:rPr lang="en-US" baseline="0"/>
              <a:t> Vs Cobranza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'P12'!$C$3</c:f>
              <c:strCache>
                <c:ptCount val="1"/>
                <c:pt idx="0">
                  <c:v>Meta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'P12'!$B$4:$B$32</c:f>
              <c:numCache>
                <c:formatCode>m/d/yy</c:formatCode>
                <c:ptCount val="29"/>
                <c:pt idx="0">
                  <c:v>45537</c:v>
                </c:pt>
                <c:pt idx="1">
                  <c:v>45544</c:v>
                </c:pt>
                <c:pt idx="2">
                  <c:v>45551</c:v>
                </c:pt>
                <c:pt idx="3">
                  <c:v>45558</c:v>
                </c:pt>
                <c:pt idx="4">
                  <c:v>45565</c:v>
                </c:pt>
                <c:pt idx="5">
                  <c:v>45572</c:v>
                </c:pt>
                <c:pt idx="6">
                  <c:v>45579</c:v>
                </c:pt>
                <c:pt idx="7">
                  <c:v>45586</c:v>
                </c:pt>
                <c:pt idx="8">
                  <c:v>45593</c:v>
                </c:pt>
                <c:pt idx="9">
                  <c:v>45600</c:v>
                </c:pt>
                <c:pt idx="10">
                  <c:v>45607</c:v>
                </c:pt>
                <c:pt idx="11">
                  <c:v>45614</c:v>
                </c:pt>
                <c:pt idx="12">
                  <c:v>45621</c:v>
                </c:pt>
                <c:pt idx="13">
                  <c:v>45628</c:v>
                </c:pt>
                <c:pt idx="14">
                  <c:v>45635</c:v>
                </c:pt>
                <c:pt idx="15">
                  <c:v>45642</c:v>
                </c:pt>
                <c:pt idx="16">
                  <c:v>45649</c:v>
                </c:pt>
                <c:pt idx="17">
                  <c:v>45656</c:v>
                </c:pt>
                <c:pt idx="18">
                  <c:v>45663</c:v>
                </c:pt>
                <c:pt idx="19">
                  <c:v>45670</c:v>
                </c:pt>
                <c:pt idx="20">
                  <c:v>45677</c:v>
                </c:pt>
                <c:pt idx="21">
                  <c:v>45684</c:v>
                </c:pt>
                <c:pt idx="22">
                  <c:v>45691</c:v>
                </c:pt>
                <c:pt idx="23">
                  <c:v>45698</c:v>
                </c:pt>
                <c:pt idx="24">
                  <c:v>45705</c:v>
                </c:pt>
                <c:pt idx="25">
                  <c:v>45712</c:v>
                </c:pt>
                <c:pt idx="26">
                  <c:v>45719</c:v>
                </c:pt>
                <c:pt idx="27">
                  <c:v>45726</c:v>
                </c:pt>
                <c:pt idx="28">
                  <c:v>45733</c:v>
                </c:pt>
              </c:numCache>
            </c:numRef>
          </c:cat>
          <c:val>
            <c:numRef>
              <c:f>'P12'!$C$4:$C$32</c:f>
              <c:numCache>
                <c:formatCode>_("$"* #,##0.00_);_("$"* \(#,##0.00\);_("$"* "-"??_);_(@_)</c:formatCode>
                <c:ptCount val="29"/>
                <c:pt idx="0">
                  <c:v>600</c:v>
                </c:pt>
                <c:pt idx="1">
                  <c:v>2000</c:v>
                </c:pt>
                <c:pt idx="2">
                  <c:v>2500</c:v>
                </c:pt>
                <c:pt idx="3">
                  <c:v>3150</c:v>
                </c:pt>
                <c:pt idx="4">
                  <c:v>3150</c:v>
                </c:pt>
                <c:pt idx="5">
                  <c:v>3450</c:v>
                </c:pt>
                <c:pt idx="6">
                  <c:v>4350</c:v>
                </c:pt>
                <c:pt idx="7">
                  <c:v>5850</c:v>
                </c:pt>
                <c:pt idx="8">
                  <c:v>7350</c:v>
                </c:pt>
                <c:pt idx="9">
                  <c:v>8550</c:v>
                </c:pt>
                <c:pt idx="10">
                  <c:v>8600</c:v>
                </c:pt>
                <c:pt idx="11">
                  <c:v>8600</c:v>
                </c:pt>
                <c:pt idx="12">
                  <c:v>8750</c:v>
                </c:pt>
                <c:pt idx="13">
                  <c:v>8950</c:v>
                </c:pt>
                <c:pt idx="14">
                  <c:v>8950</c:v>
                </c:pt>
                <c:pt idx="15">
                  <c:v>8450</c:v>
                </c:pt>
                <c:pt idx="16">
                  <c:v>7850</c:v>
                </c:pt>
                <c:pt idx="17">
                  <c:v>8900</c:v>
                </c:pt>
                <c:pt idx="18">
                  <c:v>9300</c:v>
                </c:pt>
                <c:pt idx="19">
                  <c:v>9100</c:v>
                </c:pt>
                <c:pt idx="20">
                  <c:v>8850</c:v>
                </c:pt>
                <c:pt idx="21">
                  <c:v>8350</c:v>
                </c:pt>
                <c:pt idx="22">
                  <c:v>8050</c:v>
                </c:pt>
                <c:pt idx="23">
                  <c:v>7500</c:v>
                </c:pt>
                <c:pt idx="24">
                  <c:v>7900</c:v>
                </c:pt>
                <c:pt idx="25">
                  <c:v>7600</c:v>
                </c:pt>
                <c:pt idx="26">
                  <c:v>5850</c:v>
                </c:pt>
                <c:pt idx="27">
                  <c:v>5850</c:v>
                </c:pt>
                <c:pt idx="28">
                  <c:v>5950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DB-B94B-9E94-7439424CB4A8}"/>
            </c:ext>
          </c:extLst>
        </c:ser>
        <c:ser>
          <c:idx val="1"/>
          <c:order val="1"/>
          <c:tx>
            <c:strRef>
              <c:f>'P12'!$D$3</c:f>
              <c:strCache>
                <c:ptCount val="1"/>
                <c:pt idx="0">
                  <c:v>Cobranza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'P12'!$B$4:$B$32</c:f>
              <c:numCache>
                <c:formatCode>m/d/yy</c:formatCode>
                <c:ptCount val="29"/>
                <c:pt idx="0">
                  <c:v>45537</c:v>
                </c:pt>
                <c:pt idx="1">
                  <c:v>45544</c:v>
                </c:pt>
                <c:pt idx="2">
                  <c:v>45551</c:v>
                </c:pt>
                <c:pt idx="3">
                  <c:v>45558</c:v>
                </c:pt>
                <c:pt idx="4">
                  <c:v>45565</c:v>
                </c:pt>
                <c:pt idx="5">
                  <c:v>45572</c:v>
                </c:pt>
                <c:pt idx="6">
                  <c:v>45579</c:v>
                </c:pt>
                <c:pt idx="7">
                  <c:v>45586</c:v>
                </c:pt>
                <c:pt idx="8">
                  <c:v>45593</c:v>
                </c:pt>
                <c:pt idx="9">
                  <c:v>45600</c:v>
                </c:pt>
                <c:pt idx="10">
                  <c:v>45607</c:v>
                </c:pt>
                <c:pt idx="11">
                  <c:v>45614</c:v>
                </c:pt>
                <c:pt idx="12">
                  <c:v>45621</c:v>
                </c:pt>
                <c:pt idx="13">
                  <c:v>45628</c:v>
                </c:pt>
                <c:pt idx="14">
                  <c:v>45635</c:v>
                </c:pt>
                <c:pt idx="15">
                  <c:v>45642</c:v>
                </c:pt>
                <c:pt idx="16">
                  <c:v>45649</c:v>
                </c:pt>
                <c:pt idx="17">
                  <c:v>45656</c:v>
                </c:pt>
                <c:pt idx="18">
                  <c:v>45663</c:v>
                </c:pt>
                <c:pt idx="19">
                  <c:v>45670</c:v>
                </c:pt>
                <c:pt idx="20">
                  <c:v>45677</c:v>
                </c:pt>
                <c:pt idx="21">
                  <c:v>45684</c:v>
                </c:pt>
                <c:pt idx="22">
                  <c:v>45691</c:v>
                </c:pt>
                <c:pt idx="23">
                  <c:v>45698</c:v>
                </c:pt>
                <c:pt idx="24">
                  <c:v>45705</c:v>
                </c:pt>
                <c:pt idx="25">
                  <c:v>45712</c:v>
                </c:pt>
                <c:pt idx="26">
                  <c:v>45719</c:v>
                </c:pt>
                <c:pt idx="27">
                  <c:v>45726</c:v>
                </c:pt>
                <c:pt idx="28">
                  <c:v>45733</c:v>
                </c:pt>
              </c:numCache>
            </c:numRef>
          </c:cat>
          <c:val>
            <c:numRef>
              <c:f>'P12'!$D$4:$D$32</c:f>
              <c:numCache>
                <c:formatCode>_("$"* #,##0.00_);_("$"* \(#,##0.00\);_("$"* "-"??_);_(@_)</c:formatCode>
                <c:ptCount val="29"/>
                <c:pt idx="0">
                  <c:v>600</c:v>
                </c:pt>
                <c:pt idx="1">
                  <c:v>2000</c:v>
                </c:pt>
                <c:pt idx="2">
                  <c:v>2500</c:v>
                </c:pt>
                <c:pt idx="3">
                  <c:v>3150</c:v>
                </c:pt>
                <c:pt idx="4">
                  <c:v>3150</c:v>
                </c:pt>
                <c:pt idx="5">
                  <c:v>3450</c:v>
                </c:pt>
                <c:pt idx="6">
                  <c:v>4350</c:v>
                </c:pt>
                <c:pt idx="7">
                  <c:v>6100</c:v>
                </c:pt>
                <c:pt idx="8">
                  <c:v>7100</c:v>
                </c:pt>
                <c:pt idx="9">
                  <c:v>8550</c:v>
                </c:pt>
                <c:pt idx="10">
                  <c:v>8600</c:v>
                </c:pt>
                <c:pt idx="11">
                  <c:v>6150</c:v>
                </c:pt>
                <c:pt idx="12">
                  <c:v>11200</c:v>
                </c:pt>
                <c:pt idx="13">
                  <c:v>8950</c:v>
                </c:pt>
                <c:pt idx="14">
                  <c:v>8950</c:v>
                </c:pt>
                <c:pt idx="15">
                  <c:v>8250</c:v>
                </c:pt>
                <c:pt idx="16">
                  <c:v>8500</c:v>
                </c:pt>
                <c:pt idx="17">
                  <c:v>8950</c:v>
                </c:pt>
                <c:pt idx="18">
                  <c:v>11450</c:v>
                </c:pt>
                <c:pt idx="19">
                  <c:v>6400</c:v>
                </c:pt>
                <c:pt idx="20">
                  <c:v>7900</c:v>
                </c:pt>
                <c:pt idx="21">
                  <c:v>8400</c:v>
                </c:pt>
                <c:pt idx="22">
                  <c:v>6300</c:v>
                </c:pt>
                <c:pt idx="23">
                  <c:v>5400</c:v>
                </c:pt>
                <c:pt idx="24">
                  <c:v>6400</c:v>
                </c:pt>
                <c:pt idx="25">
                  <c:v>14200</c:v>
                </c:pt>
                <c:pt idx="26">
                  <c:v>6000</c:v>
                </c:pt>
                <c:pt idx="27">
                  <c:v>5500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DB-B94B-9E94-7439424CB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989984"/>
        <c:axId val="1601586976"/>
      </c:lineChart>
      <c:dateAx>
        <c:axId val="16019899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586976"/>
        <c:crosses val="autoZero"/>
        <c:auto val="1"/>
        <c:lblOffset val="100"/>
        <c:baseTimeUnit val="days"/>
      </c:dateAx>
      <c:valAx>
        <c:axId val="160158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98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'P13'!$F$3</c:f>
              <c:strCache>
                <c:ptCount val="1"/>
                <c:pt idx="0">
                  <c:v>% de Deuda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'P13'!$B$4:$B$31</c:f>
              <c:numCache>
                <c:formatCode>m/d/yy</c:formatCode>
                <c:ptCount val="28"/>
                <c:pt idx="0">
                  <c:v>45544</c:v>
                </c:pt>
                <c:pt idx="1">
                  <c:v>45551</c:v>
                </c:pt>
                <c:pt idx="2">
                  <c:v>45558</c:v>
                </c:pt>
                <c:pt idx="3">
                  <c:v>45565</c:v>
                </c:pt>
                <c:pt idx="4">
                  <c:v>45572</c:v>
                </c:pt>
                <c:pt idx="5">
                  <c:v>45579</c:v>
                </c:pt>
                <c:pt idx="6">
                  <c:v>45586</c:v>
                </c:pt>
                <c:pt idx="7">
                  <c:v>45593</c:v>
                </c:pt>
                <c:pt idx="8">
                  <c:v>45600</c:v>
                </c:pt>
                <c:pt idx="9">
                  <c:v>45607</c:v>
                </c:pt>
                <c:pt idx="10">
                  <c:v>45614</c:v>
                </c:pt>
                <c:pt idx="11">
                  <c:v>45621</c:v>
                </c:pt>
                <c:pt idx="12">
                  <c:v>45628</c:v>
                </c:pt>
                <c:pt idx="13">
                  <c:v>45635</c:v>
                </c:pt>
                <c:pt idx="14">
                  <c:v>45642</c:v>
                </c:pt>
                <c:pt idx="15">
                  <c:v>45649</c:v>
                </c:pt>
                <c:pt idx="16">
                  <c:v>45656</c:v>
                </c:pt>
                <c:pt idx="17">
                  <c:v>45663</c:v>
                </c:pt>
                <c:pt idx="18">
                  <c:v>45670</c:v>
                </c:pt>
                <c:pt idx="19">
                  <c:v>45677</c:v>
                </c:pt>
                <c:pt idx="20">
                  <c:v>45684</c:v>
                </c:pt>
                <c:pt idx="21">
                  <c:v>45691</c:v>
                </c:pt>
                <c:pt idx="22">
                  <c:v>45698</c:v>
                </c:pt>
                <c:pt idx="23">
                  <c:v>45705</c:v>
                </c:pt>
                <c:pt idx="24">
                  <c:v>45712</c:v>
                </c:pt>
                <c:pt idx="25">
                  <c:v>45719</c:v>
                </c:pt>
                <c:pt idx="26">
                  <c:v>45726</c:v>
                </c:pt>
                <c:pt idx="27">
                  <c:v>45733</c:v>
                </c:pt>
              </c:numCache>
            </c:numRef>
          </c:cat>
          <c:val>
            <c:numRef>
              <c:f>'P13'!$F$4:$F$31</c:f>
              <c:numCache>
                <c:formatCode>0.00%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4.8543689320388349E-2</c:v>
                </c:pt>
                <c:pt idx="17">
                  <c:v>0.11834319526627218</c:v>
                </c:pt>
                <c:pt idx="18">
                  <c:v>0.15531335149863759</c:v>
                </c:pt>
                <c:pt idx="19">
                  <c:v>0.17546505781799898</c:v>
                </c:pt>
                <c:pt idx="20">
                  <c:v>0.1943916349809886</c:v>
                </c:pt>
                <c:pt idx="21">
                  <c:v>0.22712933753943218</c:v>
                </c:pt>
                <c:pt idx="22">
                  <c:v>0.26520994001713794</c:v>
                </c:pt>
                <c:pt idx="23">
                  <c:v>0.29971416904859127</c:v>
                </c:pt>
                <c:pt idx="24">
                  <c:v>0.40636898580823816</c:v>
                </c:pt>
                <c:pt idx="25">
                  <c:v>0.40636898580823816</c:v>
                </c:pt>
                <c:pt idx="26">
                  <c:v>0.40636898580823816</c:v>
                </c:pt>
                <c:pt idx="27">
                  <c:v>0.40636898580823816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2D-A64F-AEAA-A45A6F0A67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944288"/>
        <c:axId val="1869815472"/>
      </c:lineChart>
      <c:dateAx>
        <c:axId val="18509442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15472"/>
        <c:crosses val="autoZero"/>
        <c:auto val="1"/>
        <c:lblOffset val="100"/>
        <c:baseTimeUnit val="days"/>
      </c:dateAx>
      <c:valAx>
        <c:axId val="18698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4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</a:t>
            </a:r>
            <a:r>
              <a:rPr lang="en-US" baseline="0"/>
              <a:t> Vs Cobranza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'P13'!$C$3</c:f>
              <c:strCache>
                <c:ptCount val="1"/>
                <c:pt idx="0">
                  <c:v>Meta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'P13'!$B$4:$B$31</c:f>
              <c:numCache>
                <c:formatCode>m/d/yy</c:formatCode>
                <c:ptCount val="28"/>
                <c:pt idx="0">
                  <c:v>45544</c:v>
                </c:pt>
                <c:pt idx="1">
                  <c:v>45551</c:v>
                </c:pt>
                <c:pt idx="2">
                  <c:v>45558</c:v>
                </c:pt>
                <c:pt idx="3">
                  <c:v>45565</c:v>
                </c:pt>
                <c:pt idx="4">
                  <c:v>45572</c:v>
                </c:pt>
                <c:pt idx="5">
                  <c:v>45579</c:v>
                </c:pt>
                <c:pt idx="6">
                  <c:v>45586</c:v>
                </c:pt>
                <c:pt idx="7">
                  <c:v>45593</c:v>
                </c:pt>
                <c:pt idx="8">
                  <c:v>45600</c:v>
                </c:pt>
                <c:pt idx="9">
                  <c:v>45607</c:v>
                </c:pt>
                <c:pt idx="10">
                  <c:v>45614</c:v>
                </c:pt>
                <c:pt idx="11">
                  <c:v>45621</c:v>
                </c:pt>
                <c:pt idx="12">
                  <c:v>45628</c:v>
                </c:pt>
                <c:pt idx="13">
                  <c:v>45635</c:v>
                </c:pt>
                <c:pt idx="14">
                  <c:v>45642</c:v>
                </c:pt>
                <c:pt idx="15">
                  <c:v>45649</c:v>
                </c:pt>
                <c:pt idx="16">
                  <c:v>45656</c:v>
                </c:pt>
                <c:pt idx="17">
                  <c:v>45663</c:v>
                </c:pt>
                <c:pt idx="18">
                  <c:v>45670</c:v>
                </c:pt>
                <c:pt idx="19">
                  <c:v>45677</c:v>
                </c:pt>
                <c:pt idx="20">
                  <c:v>45684</c:v>
                </c:pt>
                <c:pt idx="21">
                  <c:v>45691</c:v>
                </c:pt>
                <c:pt idx="22">
                  <c:v>45698</c:v>
                </c:pt>
                <c:pt idx="23">
                  <c:v>45705</c:v>
                </c:pt>
                <c:pt idx="24">
                  <c:v>45712</c:v>
                </c:pt>
                <c:pt idx="25">
                  <c:v>45719</c:v>
                </c:pt>
                <c:pt idx="26">
                  <c:v>45726</c:v>
                </c:pt>
                <c:pt idx="27">
                  <c:v>45733</c:v>
                </c:pt>
              </c:numCache>
            </c:numRef>
          </c:cat>
          <c:val>
            <c:numRef>
              <c:f>'P13'!$C$4:$C$31</c:f>
              <c:numCache>
                <c:formatCode>_("$"* #,##0.00_);_("$"* \(#,##0.00\);_("$"* "-"??_);_(@_)</c:formatCode>
                <c:ptCount val="28"/>
                <c:pt idx="0">
                  <c:v>200</c:v>
                </c:pt>
                <c:pt idx="1">
                  <c:v>200</c:v>
                </c:pt>
                <c:pt idx="2">
                  <c:v>700</c:v>
                </c:pt>
                <c:pt idx="3">
                  <c:v>700</c:v>
                </c:pt>
                <c:pt idx="4">
                  <c:v>700</c:v>
                </c:pt>
                <c:pt idx="5">
                  <c:v>700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1100</c:v>
                </c:pt>
                <c:pt idx="13">
                  <c:v>900</c:v>
                </c:pt>
                <c:pt idx="14">
                  <c:v>1350</c:v>
                </c:pt>
                <c:pt idx="15">
                  <c:v>1450</c:v>
                </c:pt>
                <c:pt idx="16">
                  <c:v>1450</c:v>
                </c:pt>
                <c:pt idx="17">
                  <c:v>1450</c:v>
                </c:pt>
                <c:pt idx="18">
                  <c:v>1450</c:v>
                </c:pt>
                <c:pt idx="19">
                  <c:v>1540</c:v>
                </c:pt>
                <c:pt idx="20">
                  <c:v>1150</c:v>
                </c:pt>
                <c:pt idx="21">
                  <c:v>1150</c:v>
                </c:pt>
                <c:pt idx="22">
                  <c:v>1150</c:v>
                </c:pt>
                <c:pt idx="23">
                  <c:v>1150</c:v>
                </c:pt>
                <c:pt idx="24">
                  <c:v>1150</c:v>
                </c:pt>
                <c:pt idx="25">
                  <c:v>1150</c:v>
                </c:pt>
                <c:pt idx="26">
                  <c:v>1050</c:v>
                </c:pt>
                <c:pt idx="27">
                  <c:v>1050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3B-AE49-8735-C3F6D9352D26}"/>
            </c:ext>
          </c:extLst>
        </c:ser>
        <c:ser>
          <c:idx val="1"/>
          <c:order val="1"/>
          <c:tx>
            <c:strRef>
              <c:f>'P13'!$D$3</c:f>
              <c:strCache>
                <c:ptCount val="1"/>
                <c:pt idx="0">
                  <c:v>Cobranza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'P13'!$B$4:$B$31</c:f>
              <c:numCache>
                <c:formatCode>m/d/yy</c:formatCode>
                <c:ptCount val="28"/>
                <c:pt idx="0">
                  <c:v>45544</c:v>
                </c:pt>
                <c:pt idx="1">
                  <c:v>45551</c:v>
                </c:pt>
                <c:pt idx="2">
                  <c:v>45558</c:v>
                </c:pt>
                <c:pt idx="3">
                  <c:v>45565</c:v>
                </c:pt>
                <c:pt idx="4">
                  <c:v>45572</c:v>
                </c:pt>
                <c:pt idx="5">
                  <c:v>45579</c:v>
                </c:pt>
                <c:pt idx="6">
                  <c:v>45586</c:v>
                </c:pt>
                <c:pt idx="7">
                  <c:v>45593</c:v>
                </c:pt>
                <c:pt idx="8">
                  <c:v>45600</c:v>
                </c:pt>
                <c:pt idx="9">
                  <c:v>45607</c:v>
                </c:pt>
                <c:pt idx="10">
                  <c:v>45614</c:v>
                </c:pt>
                <c:pt idx="11">
                  <c:v>45621</c:v>
                </c:pt>
                <c:pt idx="12">
                  <c:v>45628</c:v>
                </c:pt>
                <c:pt idx="13">
                  <c:v>45635</c:v>
                </c:pt>
                <c:pt idx="14">
                  <c:v>45642</c:v>
                </c:pt>
                <c:pt idx="15">
                  <c:v>45649</c:v>
                </c:pt>
                <c:pt idx="16">
                  <c:v>45656</c:v>
                </c:pt>
                <c:pt idx="17">
                  <c:v>45663</c:v>
                </c:pt>
                <c:pt idx="18">
                  <c:v>45670</c:v>
                </c:pt>
                <c:pt idx="19">
                  <c:v>45677</c:v>
                </c:pt>
                <c:pt idx="20">
                  <c:v>45684</c:v>
                </c:pt>
                <c:pt idx="21">
                  <c:v>45691</c:v>
                </c:pt>
                <c:pt idx="22">
                  <c:v>45698</c:v>
                </c:pt>
                <c:pt idx="23">
                  <c:v>45705</c:v>
                </c:pt>
                <c:pt idx="24">
                  <c:v>45712</c:v>
                </c:pt>
                <c:pt idx="25">
                  <c:v>45719</c:v>
                </c:pt>
                <c:pt idx="26">
                  <c:v>45726</c:v>
                </c:pt>
                <c:pt idx="27">
                  <c:v>45733</c:v>
                </c:pt>
              </c:numCache>
            </c:numRef>
          </c:cat>
          <c:val>
            <c:numRef>
              <c:f>'P13'!$D$4:$D$31</c:f>
              <c:numCache>
                <c:formatCode>_("$"* #,##0.00_);_("$"* \(#,##0.00\);_("$"* "-"??_);_(@_)</c:formatCode>
                <c:ptCount val="28"/>
                <c:pt idx="0">
                  <c:v>200</c:v>
                </c:pt>
                <c:pt idx="1">
                  <c:v>200</c:v>
                </c:pt>
                <c:pt idx="2">
                  <c:v>700</c:v>
                </c:pt>
                <c:pt idx="3">
                  <c:v>700</c:v>
                </c:pt>
                <c:pt idx="4">
                  <c:v>700</c:v>
                </c:pt>
                <c:pt idx="5">
                  <c:v>700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1100</c:v>
                </c:pt>
                <c:pt idx="13">
                  <c:v>1400</c:v>
                </c:pt>
                <c:pt idx="14">
                  <c:v>950</c:v>
                </c:pt>
                <c:pt idx="15">
                  <c:v>1750</c:v>
                </c:pt>
                <c:pt idx="16">
                  <c:v>300</c:v>
                </c:pt>
                <c:pt idx="17">
                  <c:v>200</c:v>
                </c:pt>
                <c:pt idx="18">
                  <c:v>600</c:v>
                </c:pt>
                <c:pt idx="19">
                  <c:v>900</c:v>
                </c:pt>
                <c:pt idx="20">
                  <c:v>550</c:v>
                </c:pt>
                <c:pt idx="21">
                  <c:v>200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3B-AE49-8735-C3F6D9352D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989984"/>
        <c:axId val="1601586976"/>
      </c:lineChart>
      <c:dateAx>
        <c:axId val="16019899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586976"/>
        <c:crosses val="autoZero"/>
        <c:auto val="1"/>
        <c:lblOffset val="100"/>
        <c:baseTimeUnit val="days"/>
      </c:dateAx>
      <c:valAx>
        <c:axId val="160158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98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'P14'!$F$3</c:f>
              <c:strCache>
                <c:ptCount val="1"/>
                <c:pt idx="0">
                  <c:v>% de Deuda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'P14'!$B$4:$B$30</c:f>
              <c:numCache>
                <c:formatCode>m/d/yy</c:formatCode>
                <c:ptCount val="27"/>
                <c:pt idx="0">
                  <c:v>45551</c:v>
                </c:pt>
                <c:pt idx="1">
                  <c:v>45558</c:v>
                </c:pt>
                <c:pt idx="2">
                  <c:v>45565</c:v>
                </c:pt>
                <c:pt idx="3">
                  <c:v>45572</c:v>
                </c:pt>
                <c:pt idx="4">
                  <c:v>45579</c:v>
                </c:pt>
                <c:pt idx="5">
                  <c:v>45586</c:v>
                </c:pt>
                <c:pt idx="6">
                  <c:v>45593</c:v>
                </c:pt>
                <c:pt idx="7">
                  <c:v>45600</c:v>
                </c:pt>
                <c:pt idx="8">
                  <c:v>45607</c:v>
                </c:pt>
                <c:pt idx="9">
                  <c:v>45614</c:v>
                </c:pt>
                <c:pt idx="10">
                  <c:v>45621</c:v>
                </c:pt>
                <c:pt idx="11">
                  <c:v>45628</c:v>
                </c:pt>
                <c:pt idx="12">
                  <c:v>45635</c:v>
                </c:pt>
                <c:pt idx="13">
                  <c:v>45642</c:v>
                </c:pt>
                <c:pt idx="14">
                  <c:v>45649</c:v>
                </c:pt>
                <c:pt idx="15">
                  <c:v>45656</c:v>
                </c:pt>
                <c:pt idx="16">
                  <c:v>45663</c:v>
                </c:pt>
                <c:pt idx="17">
                  <c:v>45670</c:v>
                </c:pt>
                <c:pt idx="18">
                  <c:v>45677</c:v>
                </c:pt>
                <c:pt idx="19">
                  <c:v>45684</c:v>
                </c:pt>
                <c:pt idx="20">
                  <c:v>45691</c:v>
                </c:pt>
                <c:pt idx="21">
                  <c:v>45698</c:v>
                </c:pt>
                <c:pt idx="22">
                  <c:v>45705</c:v>
                </c:pt>
                <c:pt idx="23">
                  <c:v>45712</c:v>
                </c:pt>
                <c:pt idx="24">
                  <c:v>45719</c:v>
                </c:pt>
                <c:pt idx="25">
                  <c:v>45726</c:v>
                </c:pt>
                <c:pt idx="26">
                  <c:v>45733</c:v>
                </c:pt>
              </c:numCache>
            </c:numRef>
          </c:cat>
          <c:val>
            <c:numRef>
              <c:f>'P14'!$F$4:$F$30</c:f>
              <c:numCache>
                <c:formatCode>0.00%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2.6049204052098408E-2</c:v>
                </c:pt>
                <c:pt idx="9">
                  <c:v>0</c:v>
                </c:pt>
                <c:pt idx="10">
                  <c:v>0</c:v>
                </c:pt>
                <c:pt idx="11">
                  <c:v>1.7077798861480076E-2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2.4070021881838075E-2</c:v>
                </c:pt>
                <c:pt idx="24">
                  <c:v>2.4070021881838075E-2</c:v>
                </c:pt>
                <c:pt idx="25">
                  <c:v>2.4070021881838075E-2</c:v>
                </c:pt>
                <c:pt idx="26">
                  <c:v>2.4070021881838075E-2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8A-E043-BCD6-B36A22C8DF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944288"/>
        <c:axId val="1869815472"/>
      </c:lineChart>
      <c:dateAx>
        <c:axId val="18509442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15472"/>
        <c:crosses val="autoZero"/>
        <c:auto val="1"/>
        <c:lblOffset val="100"/>
        <c:baseTimeUnit val="days"/>
      </c:dateAx>
      <c:valAx>
        <c:axId val="18698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4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</a:t>
            </a:r>
            <a:r>
              <a:rPr lang="en-US" baseline="0"/>
              <a:t> Vs Cobranza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'P14'!$C$3</c:f>
              <c:strCache>
                <c:ptCount val="1"/>
                <c:pt idx="0">
                  <c:v>Meta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'P14'!$B$4:$B$30</c:f>
              <c:numCache>
                <c:formatCode>m/d/yy</c:formatCode>
                <c:ptCount val="27"/>
                <c:pt idx="0">
                  <c:v>45551</c:v>
                </c:pt>
                <c:pt idx="1">
                  <c:v>45558</c:v>
                </c:pt>
                <c:pt idx="2">
                  <c:v>45565</c:v>
                </c:pt>
                <c:pt idx="3">
                  <c:v>45572</c:v>
                </c:pt>
                <c:pt idx="4">
                  <c:v>45579</c:v>
                </c:pt>
                <c:pt idx="5">
                  <c:v>45586</c:v>
                </c:pt>
                <c:pt idx="6">
                  <c:v>45593</c:v>
                </c:pt>
                <c:pt idx="7">
                  <c:v>45600</c:v>
                </c:pt>
                <c:pt idx="8">
                  <c:v>45607</c:v>
                </c:pt>
                <c:pt idx="9">
                  <c:v>45614</c:v>
                </c:pt>
                <c:pt idx="10">
                  <c:v>45621</c:v>
                </c:pt>
                <c:pt idx="11">
                  <c:v>45628</c:v>
                </c:pt>
                <c:pt idx="12">
                  <c:v>45635</c:v>
                </c:pt>
                <c:pt idx="13">
                  <c:v>45642</c:v>
                </c:pt>
                <c:pt idx="14">
                  <c:v>45649</c:v>
                </c:pt>
                <c:pt idx="15">
                  <c:v>45656</c:v>
                </c:pt>
                <c:pt idx="16">
                  <c:v>45663</c:v>
                </c:pt>
                <c:pt idx="17">
                  <c:v>45670</c:v>
                </c:pt>
                <c:pt idx="18">
                  <c:v>45677</c:v>
                </c:pt>
                <c:pt idx="19">
                  <c:v>45684</c:v>
                </c:pt>
                <c:pt idx="20">
                  <c:v>45691</c:v>
                </c:pt>
                <c:pt idx="21">
                  <c:v>45698</c:v>
                </c:pt>
                <c:pt idx="22">
                  <c:v>45705</c:v>
                </c:pt>
                <c:pt idx="23">
                  <c:v>45712</c:v>
                </c:pt>
                <c:pt idx="24">
                  <c:v>45719</c:v>
                </c:pt>
                <c:pt idx="25">
                  <c:v>45726</c:v>
                </c:pt>
                <c:pt idx="26">
                  <c:v>45733</c:v>
                </c:pt>
              </c:numCache>
            </c:numRef>
          </c:cat>
          <c:val>
            <c:numRef>
              <c:f>'P14'!$C$4:$C$30</c:f>
              <c:numCache>
                <c:formatCode>_("$"* #,##0.00_);_("$"* \(#,##0.00\);_("$"* "-"??_);_(@_)</c:formatCode>
                <c:ptCount val="27"/>
                <c:pt idx="0">
                  <c:v>500</c:v>
                </c:pt>
                <c:pt idx="1">
                  <c:v>1550</c:v>
                </c:pt>
                <c:pt idx="2">
                  <c:v>3050</c:v>
                </c:pt>
                <c:pt idx="3">
                  <c:v>4250</c:v>
                </c:pt>
                <c:pt idx="4">
                  <c:v>4500</c:v>
                </c:pt>
                <c:pt idx="5">
                  <c:v>4500</c:v>
                </c:pt>
                <c:pt idx="6">
                  <c:v>4800</c:v>
                </c:pt>
                <c:pt idx="7">
                  <c:v>5700</c:v>
                </c:pt>
                <c:pt idx="8">
                  <c:v>5700</c:v>
                </c:pt>
                <c:pt idx="9">
                  <c:v>5700</c:v>
                </c:pt>
                <c:pt idx="10">
                  <c:v>5850</c:v>
                </c:pt>
                <c:pt idx="11">
                  <c:v>6600</c:v>
                </c:pt>
                <c:pt idx="12">
                  <c:v>6950</c:v>
                </c:pt>
                <c:pt idx="13">
                  <c:v>6450</c:v>
                </c:pt>
                <c:pt idx="14">
                  <c:v>6250</c:v>
                </c:pt>
                <c:pt idx="15">
                  <c:v>6650</c:v>
                </c:pt>
                <c:pt idx="16">
                  <c:v>6700</c:v>
                </c:pt>
                <c:pt idx="17">
                  <c:v>6800</c:v>
                </c:pt>
                <c:pt idx="18">
                  <c:v>7100</c:v>
                </c:pt>
                <c:pt idx="19">
                  <c:v>7100</c:v>
                </c:pt>
                <c:pt idx="20">
                  <c:v>7750</c:v>
                </c:pt>
                <c:pt idx="21">
                  <c:v>7600</c:v>
                </c:pt>
                <c:pt idx="22">
                  <c:v>7900</c:v>
                </c:pt>
                <c:pt idx="23">
                  <c:v>8000</c:v>
                </c:pt>
                <c:pt idx="24">
                  <c:v>8250</c:v>
                </c:pt>
                <c:pt idx="25">
                  <c:v>7200</c:v>
                </c:pt>
                <c:pt idx="26">
                  <c:v>6550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E8-D34B-84EC-1FC4917E6F74}"/>
            </c:ext>
          </c:extLst>
        </c:ser>
        <c:ser>
          <c:idx val="1"/>
          <c:order val="1"/>
          <c:tx>
            <c:strRef>
              <c:f>'P14'!$D$3</c:f>
              <c:strCache>
                <c:ptCount val="1"/>
                <c:pt idx="0">
                  <c:v>Cobranza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'P14'!$B$4:$B$30</c:f>
              <c:numCache>
                <c:formatCode>m/d/yy</c:formatCode>
                <c:ptCount val="27"/>
                <c:pt idx="0">
                  <c:v>45551</c:v>
                </c:pt>
                <c:pt idx="1">
                  <c:v>45558</c:v>
                </c:pt>
                <c:pt idx="2">
                  <c:v>45565</c:v>
                </c:pt>
                <c:pt idx="3">
                  <c:v>45572</c:v>
                </c:pt>
                <c:pt idx="4">
                  <c:v>45579</c:v>
                </c:pt>
                <c:pt idx="5">
                  <c:v>45586</c:v>
                </c:pt>
                <c:pt idx="6">
                  <c:v>45593</c:v>
                </c:pt>
                <c:pt idx="7">
                  <c:v>45600</c:v>
                </c:pt>
                <c:pt idx="8">
                  <c:v>45607</c:v>
                </c:pt>
                <c:pt idx="9">
                  <c:v>45614</c:v>
                </c:pt>
                <c:pt idx="10">
                  <c:v>45621</c:v>
                </c:pt>
                <c:pt idx="11">
                  <c:v>45628</c:v>
                </c:pt>
                <c:pt idx="12">
                  <c:v>45635</c:v>
                </c:pt>
                <c:pt idx="13">
                  <c:v>45642</c:v>
                </c:pt>
                <c:pt idx="14">
                  <c:v>45649</c:v>
                </c:pt>
                <c:pt idx="15">
                  <c:v>45656</c:v>
                </c:pt>
                <c:pt idx="16">
                  <c:v>45663</c:v>
                </c:pt>
                <c:pt idx="17">
                  <c:v>45670</c:v>
                </c:pt>
                <c:pt idx="18">
                  <c:v>45677</c:v>
                </c:pt>
                <c:pt idx="19">
                  <c:v>45684</c:v>
                </c:pt>
                <c:pt idx="20">
                  <c:v>45691</c:v>
                </c:pt>
                <c:pt idx="21">
                  <c:v>45698</c:v>
                </c:pt>
                <c:pt idx="22">
                  <c:v>45705</c:v>
                </c:pt>
                <c:pt idx="23">
                  <c:v>45712</c:v>
                </c:pt>
                <c:pt idx="24">
                  <c:v>45719</c:v>
                </c:pt>
                <c:pt idx="25">
                  <c:v>45726</c:v>
                </c:pt>
                <c:pt idx="26">
                  <c:v>45733</c:v>
                </c:pt>
              </c:numCache>
            </c:numRef>
          </c:cat>
          <c:val>
            <c:numRef>
              <c:f>'P14'!$D$4:$D$30</c:f>
              <c:numCache>
                <c:formatCode>_("$"* #,##0.00_);_("$"* \(#,##0.00\);_("$"* "-"??_);_(@_)</c:formatCode>
                <c:ptCount val="27"/>
                <c:pt idx="0">
                  <c:v>500</c:v>
                </c:pt>
                <c:pt idx="1">
                  <c:v>1550</c:v>
                </c:pt>
                <c:pt idx="2">
                  <c:v>3050</c:v>
                </c:pt>
                <c:pt idx="3">
                  <c:v>4250</c:v>
                </c:pt>
                <c:pt idx="4">
                  <c:v>4800</c:v>
                </c:pt>
                <c:pt idx="5">
                  <c:v>4200</c:v>
                </c:pt>
                <c:pt idx="6">
                  <c:v>4800</c:v>
                </c:pt>
                <c:pt idx="7">
                  <c:v>5700</c:v>
                </c:pt>
                <c:pt idx="8">
                  <c:v>4800</c:v>
                </c:pt>
                <c:pt idx="9">
                  <c:v>6600</c:v>
                </c:pt>
                <c:pt idx="10">
                  <c:v>5850</c:v>
                </c:pt>
                <c:pt idx="11">
                  <c:v>5700</c:v>
                </c:pt>
                <c:pt idx="12">
                  <c:v>10000</c:v>
                </c:pt>
                <c:pt idx="13">
                  <c:v>6100</c:v>
                </c:pt>
                <c:pt idx="14">
                  <c:v>6250</c:v>
                </c:pt>
                <c:pt idx="15">
                  <c:v>7250</c:v>
                </c:pt>
                <c:pt idx="16">
                  <c:v>6400</c:v>
                </c:pt>
                <c:pt idx="17">
                  <c:v>6800</c:v>
                </c:pt>
                <c:pt idx="18">
                  <c:v>7100</c:v>
                </c:pt>
                <c:pt idx="19">
                  <c:v>7400</c:v>
                </c:pt>
                <c:pt idx="20">
                  <c:v>8050</c:v>
                </c:pt>
                <c:pt idx="21">
                  <c:v>7600</c:v>
                </c:pt>
                <c:pt idx="22">
                  <c:v>8200</c:v>
                </c:pt>
                <c:pt idx="23">
                  <c:v>7700</c:v>
                </c:pt>
                <c:pt idx="24">
                  <c:v>8250</c:v>
                </c:pt>
                <c:pt idx="25">
                  <c:v>7200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E8-D34B-84EC-1FC4917E6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989984"/>
        <c:axId val="1601586976"/>
      </c:lineChart>
      <c:dateAx>
        <c:axId val="16019899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586976"/>
        <c:crosses val="autoZero"/>
        <c:auto val="1"/>
        <c:lblOffset val="100"/>
        <c:baseTimeUnit val="days"/>
      </c:dateAx>
      <c:valAx>
        <c:axId val="160158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98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</a:t>
            </a:r>
            <a:r>
              <a:rPr lang="en-US" baseline="0"/>
              <a:t> Vs Cobranza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'P15'!$C$3</c:f>
              <c:strCache>
                <c:ptCount val="1"/>
                <c:pt idx="0">
                  <c:v>Meta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'P15'!$B$4:$B$30</c:f>
              <c:numCache>
                <c:formatCode>m/d/yy</c:formatCode>
                <c:ptCount val="27"/>
                <c:pt idx="0">
                  <c:v>45551</c:v>
                </c:pt>
                <c:pt idx="1">
                  <c:v>45558</c:v>
                </c:pt>
                <c:pt idx="2">
                  <c:v>45565</c:v>
                </c:pt>
                <c:pt idx="3">
                  <c:v>45572</c:v>
                </c:pt>
                <c:pt idx="4">
                  <c:v>45579</c:v>
                </c:pt>
                <c:pt idx="5">
                  <c:v>45586</c:v>
                </c:pt>
                <c:pt idx="6">
                  <c:v>45593</c:v>
                </c:pt>
                <c:pt idx="7">
                  <c:v>45600</c:v>
                </c:pt>
                <c:pt idx="8">
                  <c:v>45607</c:v>
                </c:pt>
                <c:pt idx="9">
                  <c:v>45614</c:v>
                </c:pt>
                <c:pt idx="10">
                  <c:v>45621</c:v>
                </c:pt>
                <c:pt idx="11">
                  <c:v>45628</c:v>
                </c:pt>
                <c:pt idx="12">
                  <c:v>45635</c:v>
                </c:pt>
                <c:pt idx="13">
                  <c:v>45642</c:v>
                </c:pt>
                <c:pt idx="14">
                  <c:v>45649</c:v>
                </c:pt>
                <c:pt idx="15">
                  <c:v>45656</c:v>
                </c:pt>
                <c:pt idx="16">
                  <c:v>45663</c:v>
                </c:pt>
                <c:pt idx="17">
                  <c:v>45670</c:v>
                </c:pt>
                <c:pt idx="18">
                  <c:v>45677</c:v>
                </c:pt>
                <c:pt idx="19">
                  <c:v>45684</c:v>
                </c:pt>
                <c:pt idx="20">
                  <c:v>45691</c:v>
                </c:pt>
                <c:pt idx="21">
                  <c:v>45698</c:v>
                </c:pt>
                <c:pt idx="22">
                  <c:v>45705</c:v>
                </c:pt>
                <c:pt idx="23">
                  <c:v>45712</c:v>
                </c:pt>
                <c:pt idx="24">
                  <c:v>45719</c:v>
                </c:pt>
                <c:pt idx="25">
                  <c:v>45726</c:v>
                </c:pt>
                <c:pt idx="26">
                  <c:v>45733</c:v>
                </c:pt>
              </c:numCache>
            </c:numRef>
          </c:cat>
          <c:val>
            <c:numRef>
              <c:f>'P15'!$C$4:$C$30</c:f>
              <c:numCache>
                <c:formatCode>_("$"* #,##0.00_);_("$"* \(#,##0.00\);_("$"* "-"??_);_(@_)</c:formatCode>
                <c:ptCount val="27"/>
                <c:pt idx="0">
                  <c:v>600</c:v>
                </c:pt>
                <c:pt idx="1">
                  <c:v>600</c:v>
                </c:pt>
                <c:pt idx="2">
                  <c:v>900</c:v>
                </c:pt>
                <c:pt idx="3">
                  <c:v>1500</c:v>
                </c:pt>
                <c:pt idx="4">
                  <c:v>1500</c:v>
                </c:pt>
                <c:pt idx="5">
                  <c:v>2700</c:v>
                </c:pt>
                <c:pt idx="6">
                  <c:v>3600</c:v>
                </c:pt>
                <c:pt idx="7">
                  <c:v>3600</c:v>
                </c:pt>
                <c:pt idx="8">
                  <c:v>3600</c:v>
                </c:pt>
                <c:pt idx="9">
                  <c:v>4200</c:v>
                </c:pt>
                <c:pt idx="10">
                  <c:v>4600</c:v>
                </c:pt>
                <c:pt idx="11">
                  <c:v>4900</c:v>
                </c:pt>
                <c:pt idx="12">
                  <c:v>4900</c:v>
                </c:pt>
                <c:pt idx="13">
                  <c:v>4900</c:v>
                </c:pt>
                <c:pt idx="14">
                  <c:v>4900</c:v>
                </c:pt>
                <c:pt idx="15">
                  <c:v>4900</c:v>
                </c:pt>
                <c:pt idx="16">
                  <c:v>4600</c:v>
                </c:pt>
                <c:pt idx="17">
                  <c:v>4000</c:v>
                </c:pt>
                <c:pt idx="18">
                  <c:v>4000</c:v>
                </c:pt>
                <c:pt idx="19">
                  <c:v>2800</c:v>
                </c:pt>
                <c:pt idx="20">
                  <c:v>1900</c:v>
                </c:pt>
                <c:pt idx="21">
                  <c:v>1900</c:v>
                </c:pt>
                <c:pt idx="22">
                  <c:v>1900</c:v>
                </c:pt>
                <c:pt idx="23">
                  <c:v>1300</c:v>
                </c:pt>
                <c:pt idx="24">
                  <c:v>300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F9-8A40-898A-589ED39F422D}"/>
            </c:ext>
          </c:extLst>
        </c:ser>
        <c:ser>
          <c:idx val="2"/>
          <c:order val="1"/>
          <c:tx>
            <c:strRef>
              <c:f>'P15'!$D$3</c:f>
              <c:strCache>
                <c:ptCount val="1"/>
                <c:pt idx="0">
                  <c:v>Cobranza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'P15'!$B$4:$B$30</c:f>
              <c:numCache>
                <c:formatCode>m/d/yy</c:formatCode>
                <c:ptCount val="27"/>
                <c:pt idx="0">
                  <c:v>45551</c:v>
                </c:pt>
                <c:pt idx="1">
                  <c:v>45558</c:v>
                </c:pt>
                <c:pt idx="2">
                  <c:v>45565</c:v>
                </c:pt>
                <c:pt idx="3">
                  <c:v>45572</c:v>
                </c:pt>
                <c:pt idx="4">
                  <c:v>45579</c:v>
                </c:pt>
                <c:pt idx="5">
                  <c:v>45586</c:v>
                </c:pt>
                <c:pt idx="6">
                  <c:v>45593</c:v>
                </c:pt>
                <c:pt idx="7">
                  <c:v>45600</c:v>
                </c:pt>
                <c:pt idx="8">
                  <c:v>45607</c:v>
                </c:pt>
                <c:pt idx="9">
                  <c:v>45614</c:v>
                </c:pt>
                <c:pt idx="10">
                  <c:v>45621</c:v>
                </c:pt>
                <c:pt idx="11">
                  <c:v>45628</c:v>
                </c:pt>
                <c:pt idx="12">
                  <c:v>45635</c:v>
                </c:pt>
                <c:pt idx="13">
                  <c:v>45642</c:v>
                </c:pt>
                <c:pt idx="14">
                  <c:v>45649</c:v>
                </c:pt>
                <c:pt idx="15">
                  <c:v>45656</c:v>
                </c:pt>
                <c:pt idx="16">
                  <c:v>45663</c:v>
                </c:pt>
                <c:pt idx="17">
                  <c:v>45670</c:v>
                </c:pt>
                <c:pt idx="18">
                  <c:v>45677</c:v>
                </c:pt>
                <c:pt idx="19">
                  <c:v>45684</c:v>
                </c:pt>
                <c:pt idx="20">
                  <c:v>45691</c:v>
                </c:pt>
                <c:pt idx="21">
                  <c:v>45698</c:v>
                </c:pt>
                <c:pt idx="22">
                  <c:v>45705</c:v>
                </c:pt>
                <c:pt idx="23">
                  <c:v>45712</c:v>
                </c:pt>
                <c:pt idx="24">
                  <c:v>45719</c:v>
                </c:pt>
                <c:pt idx="25">
                  <c:v>45726</c:v>
                </c:pt>
                <c:pt idx="26">
                  <c:v>45733</c:v>
                </c:pt>
              </c:numCache>
            </c:numRef>
          </c:cat>
          <c:val>
            <c:numRef>
              <c:f>'P15'!$D$4:$D$30</c:f>
              <c:numCache>
                <c:formatCode>_("$"* #,##0.00_);_("$"* \(#,##0.00\);_("$"* "-"??_);_(@_)</c:formatCode>
                <c:ptCount val="27"/>
                <c:pt idx="0">
                  <c:v>600</c:v>
                </c:pt>
                <c:pt idx="1">
                  <c:v>600</c:v>
                </c:pt>
                <c:pt idx="2">
                  <c:v>900</c:v>
                </c:pt>
                <c:pt idx="3">
                  <c:v>1500</c:v>
                </c:pt>
                <c:pt idx="4">
                  <c:v>1500</c:v>
                </c:pt>
                <c:pt idx="5">
                  <c:v>2700</c:v>
                </c:pt>
                <c:pt idx="6">
                  <c:v>3600</c:v>
                </c:pt>
                <c:pt idx="7">
                  <c:v>3600</c:v>
                </c:pt>
                <c:pt idx="8">
                  <c:v>3600</c:v>
                </c:pt>
                <c:pt idx="9">
                  <c:v>4200</c:v>
                </c:pt>
                <c:pt idx="10">
                  <c:v>0</c:v>
                </c:pt>
                <c:pt idx="11">
                  <c:v>4500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F9-8A40-898A-589ED39F42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989984"/>
        <c:axId val="1601586976"/>
      </c:lineChart>
      <c:dateAx>
        <c:axId val="16019899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586976"/>
        <c:crosses val="autoZero"/>
        <c:auto val="1"/>
        <c:lblOffset val="100"/>
        <c:baseTimeUnit val="days"/>
      </c:dateAx>
      <c:valAx>
        <c:axId val="160158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98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'P15'!$F$3</c:f>
              <c:strCache>
                <c:ptCount val="1"/>
                <c:pt idx="0">
                  <c:v>% de Deuda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'P15'!$B$4:$B$30</c:f>
              <c:numCache>
                <c:formatCode>m/d/yy</c:formatCode>
                <c:ptCount val="27"/>
                <c:pt idx="0">
                  <c:v>45551</c:v>
                </c:pt>
                <c:pt idx="1">
                  <c:v>45558</c:v>
                </c:pt>
                <c:pt idx="2">
                  <c:v>45565</c:v>
                </c:pt>
                <c:pt idx="3">
                  <c:v>45572</c:v>
                </c:pt>
                <c:pt idx="4">
                  <c:v>45579</c:v>
                </c:pt>
                <c:pt idx="5">
                  <c:v>45586</c:v>
                </c:pt>
                <c:pt idx="6">
                  <c:v>45593</c:v>
                </c:pt>
                <c:pt idx="7">
                  <c:v>45600</c:v>
                </c:pt>
                <c:pt idx="8">
                  <c:v>45607</c:v>
                </c:pt>
                <c:pt idx="9">
                  <c:v>45614</c:v>
                </c:pt>
                <c:pt idx="10">
                  <c:v>45621</c:v>
                </c:pt>
                <c:pt idx="11">
                  <c:v>45628</c:v>
                </c:pt>
                <c:pt idx="12">
                  <c:v>45635</c:v>
                </c:pt>
                <c:pt idx="13">
                  <c:v>45642</c:v>
                </c:pt>
                <c:pt idx="14">
                  <c:v>45649</c:v>
                </c:pt>
                <c:pt idx="15">
                  <c:v>45656</c:v>
                </c:pt>
                <c:pt idx="16">
                  <c:v>45663</c:v>
                </c:pt>
                <c:pt idx="17">
                  <c:v>45670</c:v>
                </c:pt>
                <c:pt idx="18">
                  <c:v>45677</c:v>
                </c:pt>
                <c:pt idx="19">
                  <c:v>45684</c:v>
                </c:pt>
                <c:pt idx="20">
                  <c:v>45691</c:v>
                </c:pt>
                <c:pt idx="21">
                  <c:v>45698</c:v>
                </c:pt>
                <c:pt idx="22">
                  <c:v>45705</c:v>
                </c:pt>
                <c:pt idx="23">
                  <c:v>45712</c:v>
                </c:pt>
                <c:pt idx="24">
                  <c:v>45719</c:v>
                </c:pt>
                <c:pt idx="25">
                  <c:v>45726</c:v>
                </c:pt>
                <c:pt idx="26">
                  <c:v>45733</c:v>
                </c:pt>
              </c:numCache>
            </c:numRef>
          </c:cat>
          <c:val>
            <c:numRef>
              <c:f>'P15'!$F$4:$F$30</c:f>
              <c:numCache>
                <c:formatCode>0.00%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0.16788321167883211</c:v>
                </c:pt>
                <c:pt idx="11">
                  <c:v>0.15479876160990713</c:v>
                </c:pt>
                <c:pt idx="12">
                  <c:v>0.2661290322580645</c:v>
                </c:pt>
                <c:pt idx="13">
                  <c:v>0.35154394299287411</c:v>
                </c:pt>
                <c:pt idx="14">
                  <c:v>0.41914893617021276</c:v>
                </c:pt>
                <c:pt idx="15">
                  <c:v>0.47398843930635837</c:v>
                </c:pt>
                <c:pt idx="16">
                  <c:v>0.51681415929203545</c:v>
                </c:pt>
                <c:pt idx="17">
                  <c:v>0.54876033057851237</c:v>
                </c:pt>
                <c:pt idx="18">
                  <c:v>0.57674418604651168</c:v>
                </c:pt>
                <c:pt idx="19">
                  <c:v>0.63404825737265413</c:v>
                </c:pt>
                <c:pt idx="20">
                  <c:v>0.63404825737265413</c:v>
                </c:pt>
                <c:pt idx="21">
                  <c:v>0.63404825737265413</c:v>
                </c:pt>
                <c:pt idx="22">
                  <c:v>0.63404825737265413</c:v>
                </c:pt>
                <c:pt idx="23">
                  <c:v>0.63404825737265413</c:v>
                </c:pt>
                <c:pt idx="24">
                  <c:v>0.63404825737265413</c:v>
                </c:pt>
                <c:pt idx="25">
                  <c:v>0.63404825737265413</c:v>
                </c:pt>
                <c:pt idx="26">
                  <c:v>0.63404825737265413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4F-2C44-86D9-9C8CFA08C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944288"/>
        <c:axId val="1869815472"/>
      </c:lineChart>
      <c:dateAx>
        <c:axId val="18509442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15472"/>
        <c:crosses val="autoZero"/>
        <c:auto val="1"/>
        <c:lblOffset val="100"/>
        <c:baseTimeUnit val="days"/>
      </c:dateAx>
      <c:valAx>
        <c:axId val="18698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4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</a:t>
            </a:r>
            <a:r>
              <a:rPr lang="en-US" baseline="0"/>
              <a:t> Vs Cobranza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'P17'!$C$3</c:f>
              <c:strCache>
                <c:ptCount val="1"/>
                <c:pt idx="0">
                  <c:v>Meta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'P17'!$B$4:$B$28</c:f>
              <c:numCache>
                <c:formatCode>m/d/yy</c:formatCode>
                <c:ptCount val="25"/>
                <c:pt idx="0">
                  <c:v>45565</c:v>
                </c:pt>
                <c:pt idx="1">
                  <c:v>45572</c:v>
                </c:pt>
                <c:pt idx="2">
                  <c:v>45579</c:v>
                </c:pt>
                <c:pt idx="3">
                  <c:v>45586</c:v>
                </c:pt>
                <c:pt idx="4">
                  <c:v>45593</c:v>
                </c:pt>
                <c:pt idx="5">
                  <c:v>45600</c:v>
                </c:pt>
                <c:pt idx="6">
                  <c:v>45607</c:v>
                </c:pt>
                <c:pt idx="7">
                  <c:v>45614</c:v>
                </c:pt>
                <c:pt idx="8">
                  <c:v>45621</c:v>
                </c:pt>
                <c:pt idx="9">
                  <c:v>45628</c:v>
                </c:pt>
                <c:pt idx="10">
                  <c:v>45635</c:v>
                </c:pt>
                <c:pt idx="11">
                  <c:v>45642</c:v>
                </c:pt>
                <c:pt idx="12">
                  <c:v>45649</c:v>
                </c:pt>
                <c:pt idx="13">
                  <c:v>45656</c:v>
                </c:pt>
                <c:pt idx="14">
                  <c:v>45663</c:v>
                </c:pt>
                <c:pt idx="15">
                  <c:v>45670</c:v>
                </c:pt>
                <c:pt idx="16">
                  <c:v>45677</c:v>
                </c:pt>
                <c:pt idx="17">
                  <c:v>45684</c:v>
                </c:pt>
                <c:pt idx="18">
                  <c:v>45691</c:v>
                </c:pt>
                <c:pt idx="19">
                  <c:v>45698</c:v>
                </c:pt>
                <c:pt idx="20">
                  <c:v>45705</c:v>
                </c:pt>
                <c:pt idx="21">
                  <c:v>45712</c:v>
                </c:pt>
                <c:pt idx="22">
                  <c:v>45719</c:v>
                </c:pt>
                <c:pt idx="23">
                  <c:v>45726</c:v>
                </c:pt>
                <c:pt idx="24">
                  <c:v>45733</c:v>
                </c:pt>
              </c:numCache>
            </c:numRef>
          </c:cat>
          <c:val>
            <c:numRef>
              <c:f>'P17'!$C$4:$C$28</c:f>
              <c:numCache>
                <c:formatCode>_("$"* #,##0.00_);_("$"* \(#,##0.00\);_("$"* "-"??_);_(@_)</c:formatCode>
                <c:ptCount val="25"/>
                <c:pt idx="0">
                  <c:v>500</c:v>
                </c:pt>
                <c:pt idx="1">
                  <c:v>1100</c:v>
                </c:pt>
                <c:pt idx="2">
                  <c:v>2300</c:v>
                </c:pt>
                <c:pt idx="3">
                  <c:v>2600</c:v>
                </c:pt>
                <c:pt idx="4">
                  <c:v>2900</c:v>
                </c:pt>
                <c:pt idx="5">
                  <c:v>3200</c:v>
                </c:pt>
                <c:pt idx="6">
                  <c:v>3200</c:v>
                </c:pt>
                <c:pt idx="7">
                  <c:v>3500</c:v>
                </c:pt>
                <c:pt idx="8">
                  <c:v>3800</c:v>
                </c:pt>
                <c:pt idx="9">
                  <c:v>3800</c:v>
                </c:pt>
                <c:pt idx="10">
                  <c:v>3800</c:v>
                </c:pt>
                <c:pt idx="11">
                  <c:v>3800</c:v>
                </c:pt>
                <c:pt idx="12">
                  <c:v>3350</c:v>
                </c:pt>
                <c:pt idx="13">
                  <c:v>4600</c:v>
                </c:pt>
                <c:pt idx="14">
                  <c:v>4300</c:v>
                </c:pt>
                <c:pt idx="15">
                  <c:v>4000</c:v>
                </c:pt>
                <c:pt idx="16">
                  <c:v>3550</c:v>
                </c:pt>
                <c:pt idx="17">
                  <c:v>3950</c:v>
                </c:pt>
                <c:pt idx="18">
                  <c:v>4600</c:v>
                </c:pt>
                <c:pt idx="19">
                  <c:v>4600</c:v>
                </c:pt>
                <c:pt idx="20">
                  <c:v>4600</c:v>
                </c:pt>
                <c:pt idx="21">
                  <c:v>4600</c:v>
                </c:pt>
                <c:pt idx="22">
                  <c:v>4300</c:v>
                </c:pt>
                <c:pt idx="23">
                  <c:v>4300</c:v>
                </c:pt>
                <c:pt idx="24">
                  <c:v>4300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82-F54E-9946-6F9F30744F1A}"/>
            </c:ext>
          </c:extLst>
        </c:ser>
        <c:ser>
          <c:idx val="2"/>
          <c:order val="1"/>
          <c:tx>
            <c:strRef>
              <c:f>'P17'!$D$3</c:f>
              <c:strCache>
                <c:ptCount val="1"/>
                <c:pt idx="0">
                  <c:v>Cobranza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'P17'!$B$4:$B$28</c:f>
              <c:numCache>
                <c:formatCode>m/d/yy</c:formatCode>
                <c:ptCount val="25"/>
                <c:pt idx="0">
                  <c:v>45565</c:v>
                </c:pt>
                <c:pt idx="1">
                  <c:v>45572</c:v>
                </c:pt>
                <c:pt idx="2">
                  <c:v>45579</c:v>
                </c:pt>
                <c:pt idx="3">
                  <c:v>45586</c:v>
                </c:pt>
                <c:pt idx="4">
                  <c:v>45593</c:v>
                </c:pt>
                <c:pt idx="5">
                  <c:v>45600</c:v>
                </c:pt>
                <c:pt idx="6">
                  <c:v>45607</c:v>
                </c:pt>
                <c:pt idx="7">
                  <c:v>45614</c:v>
                </c:pt>
                <c:pt idx="8">
                  <c:v>45621</c:v>
                </c:pt>
                <c:pt idx="9">
                  <c:v>45628</c:v>
                </c:pt>
                <c:pt idx="10">
                  <c:v>45635</c:v>
                </c:pt>
                <c:pt idx="11">
                  <c:v>45642</c:v>
                </c:pt>
                <c:pt idx="12">
                  <c:v>45649</c:v>
                </c:pt>
                <c:pt idx="13">
                  <c:v>45656</c:v>
                </c:pt>
                <c:pt idx="14">
                  <c:v>45663</c:v>
                </c:pt>
                <c:pt idx="15">
                  <c:v>45670</c:v>
                </c:pt>
                <c:pt idx="16">
                  <c:v>45677</c:v>
                </c:pt>
                <c:pt idx="17">
                  <c:v>45684</c:v>
                </c:pt>
                <c:pt idx="18">
                  <c:v>45691</c:v>
                </c:pt>
                <c:pt idx="19">
                  <c:v>45698</c:v>
                </c:pt>
                <c:pt idx="20">
                  <c:v>45705</c:v>
                </c:pt>
                <c:pt idx="21">
                  <c:v>45712</c:v>
                </c:pt>
                <c:pt idx="22">
                  <c:v>45719</c:v>
                </c:pt>
                <c:pt idx="23">
                  <c:v>45726</c:v>
                </c:pt>
                <c:pt idx="24">
                  <c:v>45733</c:v>
                </c:pt>
              </c:numCache>
            </c:numRef>
          </c:cat>
          <c:val>
            <c:numRef>
              <c:f>'P17'!$D$4:$D$28</c:f>
              <c:numCache>
                <c:formatCode>_("$"* #,##0.00_);_("$"* \(#,##0.00\);_("$"* "-"??_);_(@_)</c:formatCode>
                <c:ptCount val="25"/>
                <c:pt idx="0">
                  <c:v>500</c:v>
                </c:pt>
                <c:pt idx="1">
                  <c:v>1100</c:v>
                </c:pt>
                <c:pt idx="2">
                  <c:v>2300</c:v>
                </c:pt>
                <c:pt idx="3">
                  <c:v>2600</c:v>
                </c:pt>
                <c:pt idx="4">
                  <c:v>2900</c:v>
                </c:pt>
                <c:pt idx="5">
                  <c:v>3200</c:v>
                </c:pt>
                <c:pt idx="6">
                  <c:v>2600</c:v>
                </c:pt>
                <c:pt idx="7">
                  <c:v>2600</c:v>
                </c:pt>
                <c:pt idx="8">
                  <c:v>2900</c:v>
                </c:pt>
                <c:pt idx="9">
                  <c:v>0</c:v>
                </c:pt>
                <c:pt idx="10">
                  <c:v>0</c:v>
                </c:pt>
                <c:pt idx="11">
                  <c:v>11000</c:v>
                </c:pt>
                <c:pt idx="12">
                  <c:v>2350</c:v>
                </c:pt>
                <c:pt idx="13">
                  <c:v>2450</c:v>
                </c:pt>
                <c:pt idx="14">
                  <c:v>3350</c:v>
                </c:pt>
                <c:pt idx="15">
                  <c:v>4000</c:v>
                </c:pt>
                <c:pt idx="16">
                  <c:v>2900</c:v>
                </c:pt>
                <c:pt idx="17">
                  <c:v>3900</c:v>
                </c:pt>
                <c:pt idx="18">
                  <c:v>3350</c:v>
                </c:pt>
                <c:pt idx="19">
                  <c:v>2000</c:v>
                </c:pt>
                <c:pt idx="20">
                  <c:v>1700</c:v>
                </c:pt>
                <c:pt idx="21">
                  <c:v>2000</c:v>
                </c:pt>
                <c:pt idx="22">
                  <c:v>1950</c:v>
                </c:pt>
                <c:pt idx="23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82-F54E-9946-6F9F30744F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989984"/>
        <c:axId val="1601586976"/>
      </c:lineChart>
      <c:dateAx>
        <c:axId val="16019899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586976"/>
        <c:crosses val="autoZero"/>
        <c:auto val="1"/>
        <c:lblOffset val="100"/>
        <c:baseTimeUnit val="days"/>
      </c:dateAx>
      <c:valAx>
        <c:axId val="160158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98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'P17'!$F$3</c:f>
              <c:strCache>
                <c:ptCount val="1"/>
                <c:pt idx="0">
                  <c:v>% de Deuda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'P17'!$B$4:$B$28</c:f>
              <c:numCache>
                <c:formatCode>m/d/yy</c:formatCode>
                <c:ptCount val="25"/>
                <c:pt idx="0">
                  <c:v>45565</c:v>
                </c:pt>
                <c:pt idx="1">
                  <c:v>45572</c:v>
                </c:pt>
                <c:pt idx="2">
                  <c:v>45579</c:v>
                </c:pt>
                <c:pt idx="3">
                  <c:v>45586</c:v>
                </c:pt>
                <c:pt idx="4">
                  <c:v>45593</c:v>
                </c:pt>
                <c:pt idx="5">
                  <c:v>45600</c:v>
                </c:pt>
                <c:pt idx="6">
                  <c:v>45607</c:v>
                </c:pt>
                <c:pt idx="7">
                  <c:v>45614</c:v>
                </c:pt>
                <c:pt idx="8">
                  <c:v>45621</c:v>
                </c:pt>
                <c:pt idx="9">
                  <c:v>45628</c:v>
                </c:pt>
                <c:pt idx="10">
                  <c:v>45635</c:v>
                </c:pt>
                <c:pt idx="11">
                  <c:v>45642</c:v>
                </c:pt>
                <c:pt idx="12">
                  <c:v>45649</c:v>
                </c:pt>
                <c:pt idx="13">
                  <c:v>45656</c:v>
                </c:pt>
                <c:pt idx="14">
                  <c:v>45663</c:v>
                </c:pt>
                <c:pt idx="15">
                  <c:v>45670</c:v>
                </c:pt>
                <c:pt idx="16">
                  <c:v>45677</c:v>
                </c:pt>
                <c:pt idx="17">
                  <c:v>45684</c:v>
                </c:pt>
                <c:pt idx="18">
                  <c:v>45691</c:v>
                </c:pt>
                <c:pt idx="19">
                  <c:v>45698</c:v>
                </c:pt>
                <c:pt idx="20">
                  <c:v>45705</c:v>
                </c:pt>
                <c:pt idx="21">
                  <c:v>45712</c:v>
                </c:pt>
                <c:pt idx="22">
                  <c:v>45719</c:v>
                </c:pt>
                <c:pt idx="23">
                  <c:v>45726</c:v>
                </c:pt>
                <c:pt idx="24">
                  <c:v>45733</c:v>
                </c:pt>
              </c:numCache>
            </c:numRef>
          </c:cat>
          <c:val>
            <c:numRef>
              <c:f>'P17'!$F$4:$F$28</c:f>
              <c:numCache>
                <c:formatCode>0.00%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3.7974683544303799E-2</c:v>
                </c:pt>
                <c:pt idx="7">
                  <c:v>7.7720207253886009E-2</c:v>
                </c:pt>
                <c:pt idx="8">
                  <c:v>0.1038961038961039</c:v>
                </c:pt>
                <c:pt idx="9">
                  <c:v>0.23048327137546468</c:v>
                </c:pt>
                <c:pt idx="10">
                  <c:v>0.32573289902280128</c:v>
                </c:pt>
                <c:pt idx="11">
                  <c:v>8.1159420289855067E-2</c:v>
                </c:pt>
                <c:pt idx="12">
                  <c:v>0.10039630118890357</c:v>
                </c:pt>
                <c:pt idx="13">
                  <c:v>0.14016489988221437</c:v>
                </c:pt>
                <c:pt idx="14">
                  <c:v>0.14759358288770053</c:v>
                </c:pt>
                <c:pt idx="15">
                  <c:v>0.13596059113300493</c:v>
                </c:pt>
                <c:pt idx="16">
                  <c:v>0.13904235727440148</c:v>
                </c:pt>
                <c:pt idx="17">
                  <c:v>0.30039084310441094</c:v>
                </c:pt>
                <c:pt idx="18">
                  <c:v>0.30039084310441094</c:v>
                </c:pt>
                <c:pt idx="19">
                  <c:v>0.30039084310441094</c:v>
                </c:pt>
                <c:pt idx="20">
                  <c:v>0.30039084310441094</c:v>
                </c:pt>
                <c:pt idx="21">
                  <c:v>0.30039084310441094</c:v>
                </c:pt>
                <c:pt idx="22">
                  <c:v>0.30039084310441094</c:v>
                </c:pt>
                <c:pt idx="23">
                  <c:v>0.30039084310441094</c:v>
                </c:pt>
                <c:pt idx="24">
                  <c:v>0.30039084310441094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B8-7B4D-AB50-47487A8DAD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944288"/>
        <c:axId val="1869815472"/>
      </c:lineChart>
      <c:dateAx>
        <c:axId val="18509442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15472"/>
        <c:crosses val="autoZero"/>
        <c:auto val="1"/>
        <c:lblOffset val="100"/>
        <c:baseTimeUnit val="days"/>
      </c:dateAx>
      <c:valAx>
        <c:axId val="18698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4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</a:t>
            </a:r>
            <a:r>
              <a:rPr lang="en-US" baseline="0"/>
              <a:t> Vs Cobranza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'P18'!$C$3</c:f>
              <c:strCache>
                <c:ptCount val="1"/>
                <c:pt idx="0">
                  <c:v>Meta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'P18'!$B$4:$B$28</c:f>
              <c:numCache>
                <c:formatCode>m/d/yy</c:formatCode>
                <c:ptCount val="25"/>
                <c:pt idx="0">
                  <c:v>45565</c:v>
                </c:pt>
                <c:pt idx="1">
                  <c:v>45572</c:v>
                </c:pt>
                <c:pt idx="2">
                  <c:v>45579</c:v>
                </c:pt>
                <c:pt idx="3">
                  <c:v>45586</c:v>
                </c:pt>
                <c:pt idx="4">
                  <c:v>45593</c:v>
                </c:pt>
                <c:pt idx="5">
                  <c:v>45600</c:v>
                </c:pt>
                <c:pt idx="6">
                  <c:v>45607</c:v>
                </c:pt>
                <c:pt idx="7">
                  <c:v>45614</c:v>
                </c:pt>
                <c:pt idx="8">
                  <c:v>45621</c:v>
                </c:pt>
                <c:pt idx="9">
                  <c:v>45628</c:v>
                </c:pt>
                <c:pt idx="10">
                  <c:v>45635</c:v>
                </c:pt>
                <c:pt idx="11">
                  <c:v>45642</c:v>
                </c:pt>
                <c:pt idx="12">
                  <c:v>45649</c:v>
                </c:pt>
                <c:pt idx="13">
                  <c:v>45656</c:v>
                </c:pt>
                <c:pt idx="14">
                  <c:v>45663</c:v>
                </c:pt>
                <c:pt idx="15">
                  <c:v>45670</c:v>
                </c:pt>
                <c:pt idx="16">
                  <c:v>45677</c:v>
                </c:pt>
                <c:pt idx="17">
                  <c:v>45684</c:v>
                </c:pt>
                <c:pt idx="18">
                  <c:v>45691</c:v>
                </c:pt>
                <c:pt idx="19">
                  <c:v>45698</c:v>
                </c:pt>
                <c:pt idx="20">
                  <c:v>45705</c:v>
                </c:pt>
                <c:pt idx="21">
                  <c:v>45712</c:v>
                </c:pt>
                <c:pt idx="22">
                  <c:v>45719</c:v>
                </c:pt>
                <c:pt idx="23">
                  <c:v>45726</c:v>
                </c:pt>
                <c:pt idx="24">
                  <c:v>45733</c:v>
                </c:pt>
              </c:numCache>
            </c:numRef>
          </c:cat>
          <c:val>
            <c:numRef>
              <c:f>'P18'!$C$4:$C$28</c:f>
              <c:numCache>
                <c:formatCode>_("$"* #,##0.00_);_("$"* \(#,##0.00\);_("$"* "-"??_);_(@_)</c:formatCode>
                <c:ptCount val="25"/>
                <c:pt idx="0">
                  <c:v>0</c:v>
                </c:pt>
                <c:pt idx="1">
                  <c:v>1350</c:v>
                </c:pt>
                <c:pt idx="2">
                  <c:v>1650</c:v>
                </c:pt>
                <c:pt idx="3">
                  <c:v>2550</c:v>
                </c:pt>
                <c:pt idx="4">
                  <c:v>3800</c:v>
                </c:pt>
                <c:pt idx="5">
                  <c:v>3950</c:v>
                </c:pt>
                <c:pt idx="6">
                  <c:v>4550</c:v>
                </c:pt>
                <c:pt idx="7">
                  <c:v>5450</c:v>
                </c:pt>
                <c:pt idx="8">
                  <c:v>6050</c:v>
                </c:pt>
                <c:pt idx="9">
                  <c:v>6350</c:v>
                </c:pt>
                <c:pt idx="10">
                  <c:v>6350</c:v>
                </c:pt>
                <c:pt idx="11">
                  <c:v>6350</c:v>
                </c:pt>
                <c:pt idx="12">
                  <c:v>6650</c:v>
                </c:pt>
                <c:pt idx="13">
                  <c:v>6350</c:v>
                </c:pt>
                <c:pt idx="14">
                  <c:v>6350</c:v>
                </c:pt>
                <c:pt idx="15">
                  <c:v>6050</c:v>
                </c:pt>
                <c:pt idx="16">
                  <c:v>5750</c:v>
                </c:pt>
                <c:pt idx="17">
                  <c:v>4650</c:v>
                </c:pt>
                <c:pt idx="18">
                  <c:v>3750</c:v>
                </c:pt>
                <c:pt idx="19">
                  <c:v>3450</c:v>
                </c:pt>
                <c:pt idx="20">
                  <c:v>2850</c:v>
                </c:pt>
                <c:pt idx="21">
                  <c:v>1950</c:v>
                </c:pt>
                <c:pt idx="22">
                  <c:v>1350</c:v>
                </c:pt>
                <c:pt idx="23">
                  <c:v>1050</c:v>
                </c:pt>
                <c:pt idx="24">
                  <c:v>1050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78-6846-8F0A-EB15E9674F65}"/>
            </c:ext>
          </c:extLst>
        </c:ser>
        <c:ser>
          <c:idx val="2"/>
          <c:order val="1"/>
          <c:tx>
            <c:strRef>
              <c:f>'P18'!$D$3</c:f>
              <c:strCache>
                <c:ptCount val="1"/>
                <c:pt idx="0">
                  <c:v>Cobranza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'P18'!$B$4:$B$28</c:f>
              <c:numCache>
                <c:formatCode>m/d/yy</c:formatCode>
                <c:ptCount val="25"/>
                <c:pt idx="0">
                  <c:v>45565</c:v>
                </c:pt>
                <c:pt idx="1">
                  <c:v>45572</c:v>
                </c:pt>
                <c:pt idx="2">
                  <c:v>45579</c:v>
                </c:pt>
                <c:pt idx="3">
                  <c:v>45586</c:v>
                </c:pt>
                <c:pt idx="4">
                  <c:v>45593</c:v>
                </c:pt>
                <c:pt idx="5">
                  <c:v>45600</c:v>
                </c:pt>
                <c:pt idx="6">
                  <c:v>45607</c:v>
                </c:pt>
                <c:pt idx="7">
                  <c:v>45614</c:v>
                </c:pt>
                <c:pt idx="8">
                  <c:v>45621</c:v>
                </c:pt>
                <c:pt idx="9">
                  <c:v>45628</c:v>
                </c:pt>
                <c:pt idx="10">
                  <c:v>45635</c:v>
                </c:pt>
                <c:pt idx="11">
                  <c:v>45642</c:v>
                </c:pt>
                <c:pt idx="12">
                  <c:v>45649</c:v>
                </c:pt>
                <c:pt idx="13">
                  <c:v>45656</c:v>
                </c:pt>
                <c:pt idx="14">
                  <c:v>45663</c:v>
                </c:pt>
                <c:pt idx="15">
                  <c:v>45670</c:v>
                </c:pt>
                <c:pt idx="16">
                  <c:v>45677</c:v>
                </c:pt>
                <c:pt idx="17">
                  <c:v>45684</c:v>
                </c:pt>
                <c:pt idx="18">
                  <c:v>45691</c:v>
                </c:pt>
                <c:pt idx="19">
                  <c:v>45698</c:v>
                </c:pt>
                <c:pt idx="20">
                  <c:v>45705</c:v>
                </c:pt>
                <c:pt idx="21">
                  <c:v>45712</c:v>
                </c:pt>
                <c:pt idx="22">
                  <c:v>45719</c:v>
                </c:pt>
                <c:pt idx="23">
                  <c:v>45726</c:v>
                </c:pt>
                <c:pt idx="24">
                  <c:v>45733</c:v>
                </c:pt>
              </c:numCache>
            </c:numRef>
          </c:cat>
          <c:val>
            <c:numRef>
              <c:f>'P18'!$D$4:$D$28</c:f>
              <c:numCache>
                <c:formatCode>_("$"* #,##0.00_);_("$"* \(#,##0.00\);_("$"* "-"??_);_(@_)</c:formatCode>
                <c:ptCount val="25"/>
                <c:pt idx="0">
                  <c:v>0</c:v>
                </c:pt>
                <c:pt idx="1">
                  <c:v>1350</c:v>
                </c:pt>
                <c:pt idx="2">
                  <c:v>1650</c:v>
                </c:pt>
                <c:pt idx="3">
                  <c:v>2550</c:v>
                </c:pt>
                <c:pt idx="4">
                  <c:v>4300</c:v>
                </c:pt>
                <c:pt idx="5">
                  <c:v>4650</c:v>
                </c:pt>
                <c:pt idx="6">
                  <c:v>3550</c:v>
                </c:pt>
                <c:pt idx="7">
                  <c:v>5150</c:v>
                </c:pt>
                <c:pt idx="8">
                  <c:v>4950</c:v>
                </c:pt>
                <c:pt idx="9">
                  <c:v>4450</c:v>
                </c:pt>
                <c:pt idx="10">
                  <c:v>5450</c:v>
                </c:pt>
                <c:pt idx="11">
                  <c:v>5450</c:v>
                </c:pt>
                <c:pt idx="12">
                  <c:v>3250</c:v>
                </c:pt>
                <c:pt idx="13">
                  <c:v>5200</c:v>
                </c:pt>
                <c:pt idx="14">
                  <c:v>0</c:v>
                </c:pt>
                <c:pt idx="15">
                  <c:v>2650</c:v>
                </c:pt>
                <c:pt idx="16">
                  <c:v>2000</c:v>
                </c:pt>
                <c:pt idx="17">
                  <c:v>1100</c:v>
                </c:pt>
                <c:pt idx="18">
                  <c:v>600</c:v>
                </c:pt>
                <c:pt idx="19">
                  <c:v>0</c:v>
                </c:pt>
                <c:pt idx="20">
                  <c:v>1100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78-6846-8F0A-EB15E9674F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989984"/>
        <c:axId val="1601586976"/>
      </c:lineChart>
      <c:dateAx>
        <c:axId val="16019899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586976"/>
        <c:crosses val="autoZero"/>
        <c:auto val="1"/>
        <c:lblOffset val="100"/>
        <c:baseTimeUnit val="days"/>
      </c:dateAx>
      <c:valAx>
        <c:axId val="160158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98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'P18'!$F$3</c:f>
              <c:strCache>
                <c:ptCount val="1"/>
                <c:pt idx="0">
                  <c:v>% de Deuda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'P18'!$B$4:$B$28</c:f>
              <c:numCache>
                <c:formatCode>m/d/yy</c:formatCode>
                <c:ptCount val="25"/>
                <c:pt idx="0">
                  <c:v>45565</c:v>
                </c:pt>
                <c:pt idx="1">
                  <c:v>45572</c:v>
                </c:pt>
                <c:pt idx="2">
                  <c:v>45579</c:v>
                </c:pt>
                <c:pt idx="3">
                  <c:v>45586</c:v>
                </c:pt>
                <c:pt idx="4">
                  <c:v>45593</c:v>
                </c:pt>
                <c:pt idx="5">
                  <c:v>45600</c:v>
                </c:pt>
                <c:pt idx="6">
                  <c:v>45607</c:v>
                </c:pt>
                <c:pt idx="7">
                  <c:v>45614</c:v>
                </c:pt>
                <c:pt idx="8">
                  <c:v>45621</c:v>
                </c:pt>
                <c:pt idx="9">
                  <c:v>45628</c:v>
                </c:pt>
                <c:pt idx="10">
                  <c:v>45635</c:v>
                </c:pt>
                <c:pt idx="11">
                  <c:v>45642</c:v>
                </c:pt>
                <c:pt idx="12">
                  <c:v>45649</c:v>
                </c:pt>
                <c:pt idx="13">
                  <c:v>45656</c:v>
                </c:pt>
                <c:pt idx="14">
                  <c:v>45663</c:v>
                </c:pt>
                <c:pt idx="15">
                  <c:v>45670</c:v>
                </c:pt>
                <c:pt idx="16">
                  <c:v>45677</c:v>
                </c:pt>
                <c:pt idx="17">
                  <c:v>45684</c:v>
                </c:pt>
                <c:pt idx="18">
                  <c:v>45691</c:v>
                </c:pt>
                <c:pt idx="19">
                  <c:v>45698</c:v>
                </c:pt>
                <c:pt idx="20">
                  <c:v>45705</c:v>
                </c:pt>
                <c:pt idx="21">
                  <c:v>45712</c:v>
                </c:pt>
                <c:pt idx="22">
                  <c:v>45719</c:v>
                </c:pt>
                <c:pt idx="23">
                  <c:v>45726</c:v>
                </c:pt>
                <c:pt idx="24">
                  <c:v>45733</c:v>
                </c:pt>
              </c:numCache>
            </c:numRef>
          </c:cat>
          <c:val>
            <c:numRef>
              <c:f>'P18'!$F$4:$F$28</c:f>
              <c:numCache>
                <c:formatCode>0.00%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4.2918454935622317E-3</c:v>
                </c:pt>
                <c:pt idx="8">
                  <c:v>4.0885860306643949E-2</c:v>
                </c:pt>
                <c:pt idx="9">
                  <c:v>8.683473389355742E-2</c:v>
                </c:pt>
                <c:pt idx="10">
                  <c:v>9.5124851367419744E-2</c:v>
                </c:pt>
                <c:pt idx="11">
                  <c:v>0.1012396694214876</c:v>
                </c:pt>
                <c:pt idx="12">
                  <c:v>0.15077202543142598</c:v>
                </c:pt>
                <c:pt idx="13">
                  <c:v>0.15390879478827363</c:v>
                </c:pt>
                <c:pt idx="14">
                  <c:v>0.23321033210332104</c:v>
                </c:pt>
                <c:pt idx="15">
                  <c:v>0.26016260162601629</c:v>
                </c:pt>
                <c:pt idx="16">
                  <c:v>0.28849780012570708</c:v>
                </c:pt>
                <c:pt idx="17">
                  <c:v>0.31472684085510688</c:v>
                </c:pt>
                <c:pt idx="18">
                  <c:v>0.33712336554860717</c:v>
                </c:pt>
                <c:pt idx="19">
                  <c:v>0.36214442013129106</c:v>
                </c:pt>
                <c:pt idx="20">
                  <c:v>0.36976127320954905</c:v>
                </c:pt>
                <c:pt idx="21">
                  <c:v>0.4039136979427998</c:v>
                </c:pt>
                <c:pt idx="22">
                  <c:v>0.4039136979427998</c:v>
                </c:pt>
                <c:pt idx="23">
                  <c:v>0.4039136979427998</c:v>
                </c:pt>
                <c:pt idx="24">
                  <c:v>0.4039136979427998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91-DE4C-AEB0-F21F4AF437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944288"/>
        <c:axId val="1869815472"/>
      </c:lineChart>
      <c:dateAx>
        <c:axId val="18509442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15472"/>
        <c:crosses val="autoZero"/>
        <c:auto val="1"/>
        <c:lblOffset val="100"/>
        <c:baseTimeUnit val="days"/>
      </c:dateAx>
      <c:valAx>
        <c:axId val="18698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4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</a:t>
            </a:r>
            <a:r>
              <a:rPr lang="en-US" baseline="0"/>
              <a:t> Vs Cobranza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'P19'!$C$3</c:f>
              <c:strCache>
                <c:ptCount val="1"/>
                <c:pt idx="0">
                  <c:v>Meta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'P19'!$B$4:$B$28</c:f>
              <c:numCache>
                <c:formatCode>m/d/yy</c:formatCode>
                <c:ptCount val="25"/>
                <c:pt idx="0">
                  <c:v>45565</c:v>
                </c:pt>
                <c:pt idx="1">
                  <c:v>45572</c:v>
                </c:pt>
                <c:pt idx="2">
                  <c:v>45579</c:v>
                </c:pt>
                <c:pt idx="3">
                  <c:v>45586</c:v>
                </c:pt>
                <c:pt idx="4">
                  <c:v>45593</c:v>
                </c:pt>
                <c:pt idx="5">
                  <c:v>45600</c:v>
                </c:pt>
                <c:pt idx="6">
                  <c:v>45607</c:v>
                </c:pt>
                <c:pt idx="7">
                  <c:v>45614</c:v>
                </c:pt>
                <c:pt idx="8">
                  <c:v>45621</c:v>
                </c:pt>
                <c:pt idx="9">
                  <c:v>45628</c:v>
                </c:pt>
                <c:pt idx="10">
                  <c:v>45635</c:v>
                </c:pt>
                <c:pt idx="11">
                  <c:v>45642</c:v>
                </c:pt>
                <c:pt idx="12">
                  <c:v>45649</c:v>
                </c:pt>
                <c:pt idx="13">
                  <c:v>45656</c:v>
                </c:pt>
                <c:pt idx="14">
                  <c:v>45663</c:v>
                </c:pt>
                <c:pt idx="15">
                  <c:v>45670</c:v>
                </c:pt>
                <c:pt idx="16">
                  <c:v>45677</c:v>
                </c:pt>
                <c:pt idx="17">
                  <c:v>45684</c:v>
                </c:pt>
                <c:pt idx="18">
                  <c:v>45691</c:v>
                </c:pt>
                <c:pt idx="19">
                  <c:v>45698</c:v>
                </c:pt>
                <c:pt idx="20">
                  <c:v>45705</c:v>
                </c:pt>
                <c:pt idx="21">
                  <c:v>45712</c:v>
                </c:pt>
                <c:pt idx="22">
                  <c:v>45719</c:v>
                </c:pt>
                <c:pt idx="23">
                  <c:v>45726</c:v>
                </c:pt>
                <c:pt idx="24">
                  <c:v>45733</c:v>
                </c:pt>
              </c:numCache>
            </c:numRef>
          </c:cat>
          <c:val>
            <c:numRef>
              <c:f>'P19'!$C$4:$C$28</c:f>
              <c:numCache>
                <c:formatCode>_("$"* #,##0.00_);_("$"* \(#,##0.00\);_("$"* "-"??_);_(@_)</c:formatCode>
                <c:ptCount val="25"/>
                <c:pt idx="0">
                  <c:v>300</c:v>
                </c:pt>
                <c:pt idx="1">
                  <c:v>1500</c:v>
                </c:pt>
                <c:pt idx="2">
                  <c:v>3000</c:v>
                </c:pt>
                <c:pt idx="3">
                  <c:v>4500</c:v>
                </c:pt>
                <c:pt idx="4">
                  <c:v>6000</c:v>
                </c:pt>
                <c:pt idx="5">
                  <c:v>7500</c:v>
                </c:pt>
                <c:pt idx="6">
                  <c:v>7500</c:v>
                </c:pt>
                <c:pt idx="7">
                  <c:v>7500</c:v>
                </c:pt>
                <c:pt idx="8">
                  <c:v>7500</c:v>
                </c:pt>
                <c:pt idx="9">
                  <c:v>7500</c:v>
                </c:pt>
                <c:pt idx="10">
                  <c:v>7500</c:v>
                </c:pt>
                <c:pt idx="11">
                  <c:v>7500</c:v>
                </c:pt>
                <c:pt idx="12">
                  <c:v>7500</c:v>
                </c:pt>
                <c:pt idx="13">
                  <c:v>7500</c:v>
                </c:pt>
                <c:pt idx="14">
                  <c:v>7200</c:v>
                </c:pt>
                <c:pt idx="15">
                  <c:v>5700</c:v>
                </c:pt>
                <c:pt idx="16">
                  <c:v>4500</c:v>
                </c:pt>
                <c:pt idx="17">
                  <c:v>3000</c:v>
                </c:pt>
                <c:pt idx="18">
                  <c:v>1200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47-7E4C-AF6F-D811512083F9}"/>
            </c:ext>
          </c:extLst>
        </c:ser>
        <c:ser>
          <c:idx val="2"/>
          <c:order val="1"/>
          <c:tx>
            <c:strRef>
              <c:f>'P19'!$D$3</c:f>
              <c:strCache>
                <c:ptCount val="1"/>
                <c:pt idx="0">
                  <c:v>Cobranza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'P19'!$B$4:$B$28</c:f>
              <c:numCache>
                <c:formatCode>m/d/yy</c:formatCode>
                <c:ptCount val="25"/>
                <c:pt idx="0">
                  <c:v>45565</c:v>
                </c:pt>
                <c:pt idx="1">
                  <c:v>45572</c:v>
                </c:pt>
                <c:pt idx="2">
                  <c:v>45579</c:v>
                </c:pt>
                <c:pt idx="3">
                  <c:v>45586</c:v>
                </c:pt>
                <c:pt idx="4">
                  <c:v>45593</c:v>
                </c:pt>
                <c:pt idx="5">
                  <c:v>45600</c:v>
                </c:pt>
                <c:pt idx="6">
                  <c:v>45607</c:v>
                </c:pt>
                <c:pt idx="7">
                  <c:v>45614</c:v>
                </c:pt>
                <c:pt idx="8">
                  <c:v>45621</c:v>
                </c:pt>
                <c:pt idx="9">
                  <c:v>45628</c:v>
                </c:pt>
                <c:pt idx="10">
                  <c:v>45635</c:v>
                </c:pt>
                <c:pt idx="11">
                  <c:v>45642</c:v>
                </c:pt>
                <c:pt idx="12">
                  <c:v>45649</c:v>
                </c:pt>
                <c:pt idx="13">
                  <c:v>45656</c:v>
                </c:pt>
                <c:pt idx="14">
                  <c:v>45663</c:v>
                </c:pt>
                <c:pt idx="15">
                  <c:v>45670</c:v>
                </c:pt>
                <c:pt idx="16">
                  <c:v>45677</c:v>
                </c:pt>
                <c:pt idx="17">
                  <c:v>45684</c:v>
                </c:pt>
                <c:pt idx="18">
                  <c:v>45691</c:v>
                </c:pt>
                <c:pt idx="19">
                  <c:v>45698</c:v>
                </c:pt>
                <c:pt idx="20">
                  <c:v>45705</c:v>
                </c:pt>
                <c:pt idx="21">
                  <c:v>45712</c:v>
                </c:pt>
                <c:pt idx="22">
                  <c:v>45719</c:v>
                </c:pt>
                <c:pt idx="23">
                  <c:v>45726</c:v>
                </c:pt>
                <c:pt idx="24">
                  <c:v>45733</c:v>
                </c:pt>
              </c:numCache>
            </c:numRef>
          </c:cat>
          <c:val>
            <c:numRef>
              <c:f>'P19'!$D$4:$D$28</c:f>
              <c:numCache>
                <c:formatCode>_("$"* #,##0.00_);_("$"* \(#,##0.00\);_("$"* "-"??_);_(@_)</c:formatCode>
                <c:ptCount val="25"/>
                <c:pt idx="0">
                  <c:v>900</c:v>
                </c:pt>
                <c:pt idx="1">
                  <c:v>1500</c:v>
                </c:pt>
                <c:pt idx="2">
                  <c:v>2700</c:v>
                </c:pt>
                <c:pt idx="3">
                  <c:v>4200</c:v>
                </c:pt>
                <c:pt idx="4">
                  <c:v>6000</c:v>
                </c:pt>
                <c:pt idx="5">
                  <c:v>7500</c:v>
                </c:pt>
                <c:pt idx="6">
                  <c:v>0</c:v>
                </c:pt>
                <c:pt idx="7">
                  <c:v>11400</c:v>
                </c:pt>
                <c:pt idx="8">
                  <c:v>1500</c:v>
                </c:pt>
                <c:pt idx="9">
                  <c:v>2700</c:v>
                </c:pt>
                <c:pt idx="10">
                  <c:v>900</c:v>
                </c:pt>
                <c:pt idx="11">
                  <c:v>900</c:v>
                </c:pt>
                <c:pt idx="12">
                  <c:v>3000</c:v>
                </c:pt>
                <c:pt idx="13">
                  <c:v>600</c:v>
                </c:pt>
                <c:pt idx="14">
                  <c:v>900</c:v>
                </c:pt>
                <c:pt idx="15">
                  <c:v>300</c:v>
                </c:pt>
                <c:pt idx="16">
                  <c:v>300</c:v>
                </c:pt>
                <c:pt idx="17">
                  <c:v>600</c:v>
                </c:pt>
                <c:pt idx="18">
                  <c:v>0</c:v>
                </c:pt>
                <c:pt idx="19">
                  <c:v>1500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47-7E4C-AF6F-D81151208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989984"/>
        <c:axId val="1601586976"/>
      </c:lineChart>
      <c:dateAx>
        <c:axId val="16019899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586976"/>
        <c:crosses val="autoZero"/>
        <c:auto val="1"/>
        <c:lblOffset val="100"/>
        <c:baseTimeUnit val="days"/>
      </c:dateAx>
      <c:valAx>
        <c:axId val="160158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98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'P19'!$F$3</c:f>
              <c:strCache>
                <c:ptCount val="1"/>
                <c:pt idx="0">
                  <c:v>% de Deuda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'P19'!$B$4:$B$28</c:f>
              <c:numCache>
                <c:formatCode>m/d/yy</c:formatCode>
                <c:ptCount val="25"/>
                <c:pt idx="0">
                  <c:v>45565</c:v>
                </c:pt>
                <c:pt idx="1">
                  <c:v>45572</c:v>
                </c:pt>
                <c:pt idx="2">
                  <c:v>45579</c:v>
                </c:pt>
                <c:pt idx="3">
                  <c:v>45586</c:v>
                </c:pt>
                <c:pt idx="4">
                  <c:v>45593</c:v>
                </c:pt>
                <c:pt idx="5">
                  <c:v>45600</c:v>
                </c:pt>
                <c:pt idx="6">
                  <c:v>45607</c:v>
                </c:pt>
                <c:pt idx="7">
                  <c:v>45614</c:v>
                </c:pt>
                <c:pt idx="8">
                  <c:v>45621</c:v>
                </c:pt>
                <c:pt idx="9">
                  <c:v>45628</c:v>
                </c:pt>
                <c:pt idx="10">
                  <c:v>45635</c:v>
                </c:pt>
                <c:pt idx="11">
                  <c:v>45642</c:v>
                </c:pt>
                <c:pt idx="12">
                  <c:v>45649</c:v>
                </c:pt>
                <c:pt idx="13">
                  <c:v>45656</c:v>
                </c:pt>
                <c:pt idx="14">
                  <c:v>45663</c:v>
                </c:pt>
                <c:pt idx="15">
                  <c:v>45670</c:v>
                </c:pt>
                <c:pt idx="16">
                  <c:v>45677</c:v>
                </c:pt>
                <c:pt idx="17">
                  <c:v>45684</c:v>
                </c:pt>
                <c:pt idx="18">
                  <c:v>45691</c:v>
                </c:pt>
                <c:pt idx="19">
                  <c:v>45698</c:v>
                </c:pt>
                <c:pt idx="20">
                  <c:v>45705</c:v>
                </c:pt>
                <c:pt idx="21">
                  <c:v>45712</c:v>
                </c:pt>
                <c:pt idx="22">
                  <c:v>45719</c:v>
                </c:pt>
                <c:pt idx="23">
                  <c:v>45726</c:v>
                </c:pt>
                <c:pt idx="24">
                  <c:v>45733</c:v>
                </c:pt>
              </c:numCache>
            </c:numRef>
          </c:cat>
          <c:val>
            <c:numRef>
              <c:f>'P19'!$F$4:$F$28</c:f>
              <c:numCache>
                <c:formatCode>0.00%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0.24752475247524752</c:v>
                </c:pt>
                <c:pt idx="7">
                  <c:v>9.5238095238095233E-2</c:v>
                </c:pt>
                <c:pt idx="8">
                  <c:v>0.2119205298013245</c:v>
                </c:pt>
                <c:pt idx="9">
                  <c:v>0.27272727272727271</c:v>
                </c:pt>
                <c:pt idx="10">
                  <c:v>0.34825870646766172</c:v>
                </c:pt>
                <c:pt idx="11">
                  <c:v>0.40707964601769914</c:v>
                </c:pt>
                <c:pt idx="12">
                  <c:v>0.42629482071713148</c:v>
                </c:pt>
                <c:pt idx="13">
                  <c:v>0.47101449275362317</c:v>
                </c:pt>
                <c:pt idx="14">
                  <c:v>0.5033333333333333</c:v>
                </c:pt>
                <c:pt idx="15">
                  <c:v>0.52978056426332287</c:v>
                </c:pt>
                <c:pt idx="16">
                  <c:v>0.54790419161676651</c:v>
                </c:pt>
                <c:pt idx="17">
                  <c:v>0.55523255813953487</c:v>
                </c:pt>
                <c:pt idx="18">
                  <c:v>0.56034482758620685</c:v>
                </c:pt>
                <c:pt idx="19">
                  <c:v>0.54597701149425293</c:v>
                </c:pt>
                <c:pt idx="20">
                  <c:v>0.54597701149425293</c:v>
                </c:pt>
                <c:pt idx="21">
                  <c:v>0.54597701149425293</c:v>
                </c:pt>
                <c:pt idx="22">
                  <c:v>0.54597701149425293</c:v>
                </c:pt>
                <c:pt idx="23">
                  <c:v>0.54597701149425293</c:v>
                </c:pt>
                <c:pt idx="24">
                  <c:v>0.54597701149425293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00-C348-9D3C-D41C6BA5D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944288"/>
        <c:axId val="1869815472"/>
      </c:lineChart>
      <c:dateAx>
        <c:axId val="18509442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15472"/>
        <c:crosses val="autoZero"/>
        <c:auto val="1"/>
        <c:lblOffset val="100"/>
        <c:baseTimeUnit val="days"/>
      </c:dateAx>
      <c:valAx>
        <c:axId val="18698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4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</a:t>
            </a:r>
            <a:r>
              <a:rPr lang="en-US" baseline="0"/>
              <a:t> Vs Cobranza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'P20'!$C$3</c:f>
              <c:strCache>
                <c:ptCount val="1"/>
                <c:pt idx="0">
                  <c:v>Meta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'P20'!$B$4:$B$27</c:f>
              <c:numCache>
                <c:formatCode>m/d/yy</c:formatCode>
                <c:ptCount val="24"/>
                <c:pt idx="0">
                  <c:v>45572</c:v>
                </c:pt>
                <c:pt idx="1">
                  <c:v>45579</c:v>
                </c:pt>
                <c:pt idx="2">
                  <c:v>45586</c:v>
                </c:pt>
                <c:pt idx="3">
                  <c:v>45593</c:v>
                </c:pt>
                <c:pt idx="4">
                  <c:v>45600</c:v>
                </c:pt>
                <c:pt idx="5">
                  <c:v>45607</c:v>
                </c:pt>
                <c:pt idx="6">
                  <c:v>45614</c:v>
                </c:pt>
                <c:pt idx="7">
                  <c:v>45621</c:v>
                </c:pt>
                <c:pt idx="8">
                  <c:v>45628</c:v>
                </c:pt>
                <c:pt idx="9">
                  <c:v>45635</c:v>
                </c:pt>
                <c:pt idx="10">
                  <c:v>45642</c:v>
                </c:pt>
                <c:pt idx="11">
                  <c:v>45649</c:v>
                </c:pt>
                <c:pt idx="12">
                  <c:v>45656</c:v>
                </c:pt>
                <c:pt idx="13">
                  <c:v>45663</c:v>
                </c:pt>
                <c:pt idx="14">
                  <c:v>45670</c:v>
                </c:pt>
                <c:pt idx="15">
                  <c:v>45677</c:v>
                </c:pt>
                <c:pt idx="16">
                  <c:v>45684</c:v>
                </c:pt>
                <c:pt idx="17">
                  <c:v>45691</c:v>
                </c:pt>
                <c:pt idx="18">
                  <c:v>45698</c:v>
                </c:pt>
                <c:pt idx="19">
                  <c:v>45705</c:v>
                </c:pt>
                <c:pt idx="20">
                  <c:v>45712</c:v>
                </c:pt>
                <c:pt idx="21">
                  <c:v>45719</c:v>
                </c:pt>
                <c:pt idx="22">
                  <c:v>45726</c:v>
                </c:pt>
                <c:pt idx="23">
                  <c:v>45733</c:v>
                </c:pt>
              </c:numCache>
            </c:numRef>
          </c:cat>
          <c:val>
            <c:numRef>
              <c:f>'P20'!$C$4:$C$27</c:f>
              <c:numCache>
                <c:formatCode>_("$"* #,##0.00_);_("$"* \(#,##0.00\);_("$"* "-"??_);_(@_)</c:formatCode>
                <c:ptCount val="24"/>
                <c:pt idx="0">
                  <c:v>1500</c:v>
                </c:pt>
                <c:pt idx="1">
                  <c:v>2700</c:v>
                </c:pt>
                <c:pt idx="2">
                  <c:v>4200</c:v>
                </c:pt>
                <c:pt idx="3">
                  <c:v>5700</c:v>
                </c:pt>
                <c:pt idx="4">
                  <c:v>6900</c:v>
                </c:pt>
                <c:pt idx="5">
                  <c:v>7200</c:v>
                </c:pt>
                <c:pt idx="6">
                  <c:v>8100</c:v>
                </c:pt>
                <c:pt idx="7">
                  <c:v>9000</c:v>
                </c:pt>
                <c:pt idx="8">
                  <c:v>9000</c:v>
                </c:pt>
                <c:pt idx="9">
                  <c:v>9000</c:v>
                </c:pt>
                <c:pt idx="10">
                  <c:v>9050</c:v>
                </c:pt>
                <c:pt idx="11">
                  <c:v>9100</c:v>
                </c:pt>
                <c:pt idx="12">
                  <c:v>8550</c:v>
                </c:pt>
                <c:pt idx="13">
                  <c:v>8350</c:v>
                </c:pt>
                <c:pt idx="14">
                  <c:v>8450</c:v>
                </c:pt>
                <c:pt idx="15">
                  <c:v>7700</c:v>
                </c:pt>
                <c:pt idx="16">
                  <c:v>6900</c:v>
                </c:pt>
                <c:pt idx="17">
                  <c:v>6600</c:v>
                </c:pt>
                <c:pt idx="18">
                  <c:v>6050</c:v>
                </c:pt>
                <c:pt idx="19">
                  <c:v>6150</c:v>
                </c:pt>
                <c:pt idx="20">
                  <c:v>5500</c:v>
                </c:pt>
                <c:pt idx="21">
                  <c:v>5300</c:v>
                </c:pt>
                <c:pt idx="22">
                  <c:v>5300</c:v>
                </c:pt>
                <c:pt idx="23">
                  <c:v>5950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CF-5944-B815-5208C60BD38E}"/>
            </c:ext>
          </c:extLst>
        </c:ser>
        <c:ser>
          <c:idx val="2"/>
          <c:order val="1"/>
          <c:tx>
            <c:strRef>
              <c:f>'P20'!$D$3</c:f>
              <c:strCache>
                <c:ptCount val="1"/>
                <c:pt idx="0">
                  <c:v>Cobranza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'P20'!$B$4:$B$27</c:f>
              <c:numCache>
                <c:formatCode>m/d/yy</c:formatCode>
                <c:ptCount val="24"/>
                <c:pt idx="0">
                  <c:v>45572</c:v>
                </c:pt>
                <c:pt idx="1">
                  <c:v>45579</c:v>
                </c:pt>
                <c:pt idx="2">
                  <c:v>45586</c:v>
                </c:pt>
                <c:pt idx="3">
                  <c:v>45593</c:v>
                </c:pt>
                <c:pt idx="4">
                  <c:v>45600</c:v>
                </c:pt>
                <c:pt idx="5">
                  <c:v>45607</c:v>
                </c:pt>
                <c:pt idx="6">
                  <c:v>45614</c:v>
                </c:pt>
                <c:pt idx="7">
                  <c:v>45621</c:v>
                </c:pt>
                <c:pt idx="8">
                  <c:v>45628</c:v>
                </c:pt>
                <c:pt idx="9">
                  <c:v>45635</c:v>
                </c:pt>
                <c:pt idx="10">
                  <c:v>45642</c:v>
                </c:pt>
                <c:pt idx="11">
                  <c:v>45649</c:v>
                </c:pt>
                <c:pt idx="12">
                  <c:v>45656</c:v>
                </c:pt>
                <c:pt idx="13">
                  <c:v>45663</c:v>
                </c:pt>
                <c:pt idx="14">
                  <c:v>45670</c:v>
                </c:pt>
                <c:pt idx="15">
                  <c:v>45677</c:v>
                </c:pt>
                <c:pt idx="16">
                  <c:v>45684</c:v>
                </c:pt>
                <c:pt idx="17">
                  <c:v>45691</c:v>
                </c:pt>
                <c:pt idx="18">
                  <c:v>45698</c:v>
                </c:pt>
                <c:pt idx="19">
                  <c:v>45705</c:v>
                </c:pt>
                <c:pt idx="20">
                  <c:v>45712</c:v>
                </c:pt>
                <c:pt idx="21">
                  <c:v>45719</c:v>
                </c:pt>
                <c:pt idx="22">
                  <c:v>45726</c:v>
                </c:pt>
                <c:pt idx="23">
                  <c:v>45733</c:v>
                </c:pt>
              </c:numCache>
            </c:numRef>
          </c:cat>
          <c:val>
            <c:numRef>
              <c:f>'P20'!$D$4:$D$27</c:f>
              <c:numCache>
                <c:formatCode>_("$"* #,##0.00_);_("$"* \(#,##0.00\);_("$"* "-"??_);_(@_)</c:formatCode>
                <c:ptCount val="24"/>
                <c:pt idx="0">
                  <c:v>1500</c:v>
                </c:pt>
                <c:pt idx="1">
                  <c:v>2700</c:v>
                </c:pt>
                <c:pt idx="2">
                  <c:v>4200</c:v>
                </c:pt>
                <c:pt idx="3">
                  <c:v>5400</c:v>
                </c:pt>
                <c:pt idx="4">
                  <c:v>7100</c:v>
                </c:pt>
                <c:pt idx="5">
                  <c:v>6800</c:v>
                </c:pt>
                <c:pt idx="6">
                  <c:v>0</c:v>
                </c:pt>
                <c:pt idx="7">
                  <c:v>16730</c:v>
                </c:pt>
                <c:pt idx="8">
                  <c:v>8500</c:v>
                </c:pt>
                <c:pt idx="9">
                  <c:v>8200</c:v>
                </c:pt>
                <c:pt idx="10">
                  <c:v>8450</c:v>
                </c:pt>
                <c:pt idx="11">
                  <c:v>7000</c:v>
                </c:pt>
                <c:pt idx="12">
                  <c:v>7350</c:v>
                </c:pt>
                <c:pt idx="13">
                  <c:v>6550</c:v>
                </c:pt>
                <c:pt idx="14">
                  <c:v>6550</c:v>
                </c:pt>
                <c:pt idx="15">
                  <c:v>6750</c:v>
                </c:pt>
                <c:pt idx="16">
                  <c:v>5900</c:v>
                </c:pt>
                <c:pt idx="17">
                  <c:v>6050</c:v>
                </c:pt>
                <c:pt idx="18">
                  <c:v>6100</c:v>
                </c:pt>
                <c:pt idx="19">
                  <c:v>6310</c:v>
                </c:pt>
                <c:pt idx="20">
                  <c:v>4800</c:v>
                </c:pt>
                <c:pt idx="21">
                  <c:v>4400</c:v>
                </c:pt>
                <c:pt idx="22">
                  <c:v>7150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CF-5944-B815-5208C60BD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989984"/>
        <c:axId val="1601586976"/>
      </c:lineChart>
      <c:dateAx>
        <c:axId val="16019899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586976"/>
        <c:crosses val="autoZero"/>
        <c:auto val="1"/>
        <c:lblOffset val="100"/>
        <c:baseTimeUnit val="days"/>
      </c:dateAx>
      <c:valAx>
        <c:axId val="160158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98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'P20'!$F$3</c:f>
              <c:strCache>
                <c:ptCount val="1"/>
                <c:pt idx="0">
                  <c:v>% de Deuda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'P20'!$B$4:$B$27</c:f>
              <c:numCache>
                <c:formatCode>m/d/yy</c:formatCode>
                <c:ptCount val="24"/>
                <c:pt idx="0">
                  <c:v>45572</c:v>
                </c:pt>
                <c:pt idx="1">
                  <c:v>45579</c:v>
                </c:pt>
                <c:pt idx="2">
                  <c:v>45586</c:v>
                </c:pt>
                <c:pt idx="3">
                  <c:v>45593</c:v>
                </c:pt>
                <c:pt idx="4">
                  <c:v>45600</c:v>
                </c:pt>
                <c:pt idx="5">
                  <c:v>45607</c:v>
                </c:pt>
                <c:pt idx="6">
                  <c:v>45614</c:v>
                </c:pt>
                <c:pt idx="7">
                  <c:v>45621</c:v>
                </c:pt>
                <c:pt idx="8">
                  <c:v>45628</c:v>
                </c:pt>
                <c:pt idx="9">
                  <c:v>45635</c:v>
                </c:pt>
                <c:pt idx="10">
                  <c:v>45642</c:v>
                </c:pt>
                <c:pt idx="11">
                  <c:v>45649</c:v>
                </c:pt>
                <c:pt idx="12">
                  <c:v>45656</c:v>
                </c:pt>
                <c:pt idx="13">
                  <c:v>45663</c:v>
                </c:pt>
                <c:pt idx="14">
                  <c:v>45670</c:v>
                </c:pt>
                <c:pt idx="15">
                  <c:v>45677</c:v>
                </c:pt>
                <c:pt idx="16">
                  <c:v>45684</c:v>
                </c:pt>
                <c:pt idx="17">
                  <c:v>45691</c:v>
                </c:pt>
                <c:pt idx="18">
                  <c:v>45698</c:v>
                </c:pt>
                <c:pt idx="19">
                  <c:v>45705</c:v>
                </c:pt>
                <c:pt idx="20">
                  <c:v>45712</c:v>
                </c:pt>
                <c:pt idx="21">
                  <c:v>45719</c:v>
                </c:pt>
                <c:pt idx="22">
                  <c:v>45726</c:v>
                </c:pt>
                <c:pt idx="23">
                  <c:v>45733</c:v>
                </c:pt>
              </c:numCache>
            </c:numRef>
          </c:cat>
          <c:val>
            <c:numRef>
              <c:f>'P20'!$F$4:$F$27</c:f>
              <c:numCache>
                <c:formatCode>0.00%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2.1276595744680851E-2</c:v>
                </c:pt>
                <c:pt idx="4">
                  <c:v>4.7619047619047623E-3</c:v>
                </c:pt>
                <c:pt idx="5">
                  <c:v>1.7730496453900711E-2</c:v>
                </c:pt>
                <c:pt idx="6">
                  <c:v>0.23691460055096419</c:v>
                </c:pt>
                <c:pt idx="7">
                  <c:v>1.9205298013245033E-2</c:v>
                </c:pt>
                <c:pt idx="8">
                  <c:v>2.5230202578268877E-2</c:v>
                </c:pt>
                <c:pt idx="9">
                  <c:v>3.4281200631911535E-2</c:v>
                </c:pt>
                <c:pt idx="10">
                  <c:v>3.8286109191430544E-2</c:v>
                </c:pt>
                <c:pt idx="11">
                  <c:v>5.9791282995702882E-2</c:v>
                </c:pt>
                <c:pt idx="12">
                  <c:v>6.7444444444444446E-2</c:v>
                </c:pt>
                <c:pt idx="13">
                  <c:v>8.0020335536349768E-2</c:v>
                </c:pt>
                <c:pt idx="14">
                  <c:v>9.1479400749063675E-2</c:v>
                </c:pt>
                <c:pt idx="15">
                  <c:v>9.362445414847162E-2</c:v>
                </c:pt>
                <c:pt idx="16">
                  <c:v>9.6540362438220756E-2</c:v>
                </c:pt>
                <c:pt idx="17">
                  <c:v>9.5859374999999997E-2</c:v>
                </c:pt>
                <c:pt idx="18">
                  <c:v>9.1160014919806048E-2</c:v>
                </c:pt>
                <c:pt idx="19">
                  <c:v>8.6019971469329534E-2</c:v>
                </c:pt>
                <c:pt idx="20">
                  <c:v>8.7577213452299241E-2</c:v>
                </c:pt>
                <c:pt idx="21">
                  <c:v>9.0463576158940393E-2</c:v>
                </c:pt>
                <c:pt idx="22">
                  <c:v>7.5559820857325655E-2</c:v>
                </c:pt>
                <c:pt idx="23">
                  <c:v>0.10946070878274268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84-7D42-B38F-47CA32F008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944288"/>
        <c:axId val="1869815472"/>
      </c:lineChart>
      <c:dateAx>
        <c:axId val="18509442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15472"/>
        <c:crosses val="autoZero"/>
        <c:auto val="1"/>
        <c:lblOffset val="100"/>
        <c:baseTimeUnit val="days"/>
      </c:dateAx>
      <c:valAx>
        <c:axId val="18698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4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</a:t>
            </a:r>
            <a:r>
              <a:rPr lang="en-US" baseline="0"/>
              <a:t> Vs Cobranza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'P21'!$C$3</c:f>
              <c:strCache>
                <c:ptCount val="1"/>
                <c:pt idx="0">
                  <c:v>Meta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'P21'!$B$4:$B$27</c:f>
              <c:numCache>
                <c:formatCode>m/d/yy</c:formatCode>
                <c:ptCount val="24"/>
                <c:pt idx="0">
                  <c:v>45572</c:v>
                </c:pt>
                <c:pt idx="1">
                  <c:v>45579</c:v>
                </c:pt>
                <c:pt idx="2">
                  <c:v>45586</c:v>
                </c:pt>
                <c:pt idx="3">
                  <c:v>45593</c:v>
                </c:pt>
                <c:pt idx="4">
                  <c:v>45600</c:v>
                </c:pt>
                <c:pt idx="5">
                  <c:v>45607</c:v>
                </c:pt>
                <c:pt idx="6">
                  <c:v>45614</c:v>
                </c:pt>
                <c:pt idx="7">
                  <c:v>45621</c:v>
                </c:pt>
                <c:pt idx="8">
                  <c:v>45628</c:v>
                </c:pt>
                <c:pt idx="9">
                  <c:v>45635</c:v>
                </c:pt>
                <c:pt idx="10">
                  <c:v>45642</c:v>
                </c:pt>
                <c:pt idx="11">
                  <c:v>45649</c:v>
                </c:pt>
                <c:pt idx="12">
                  <c:v>45656</c:v>
                </c:pt>
                <c:pt idx="13">
                  <c:v>45663</c:v>
                </c:pt>
                <c:pt idx="14">
                  <c:v>45670</c:v>
                </c:pt>
                <c:pt idx="15">
                  <c:v>45677</c:v>
                </c:pt>
                <c:pt idx="16">
                  <c:v>45684</c:v>
                </c:pt>
                <c:pt idx="17">
                  <c:v>45691</c:v>
                </c:pt>
                <c:pt idx="18">
                  <c:v>45698</c:v>
                </c:pt>
                <c:pt idx="19">
                  <c:v>45705</c:v>
                </c:pt>
                <c:pt idx="20">
                  <c:v>45712</c:v>
                </c:pt>
                <c:pt idx="21">
                  <c:v>45719</c:v>
                </c:pt>
                <c:pt idx="22">
                  <c:v>45726</c:v>
                </c:pt>
                <c:pt idx="23">
                  <c:v>45733</c:v>
                </c:pt>
              </c:numCache>
            </c:numRef>
          </c:cat>
          <c:val>
            <c:numRef>
              <c:f>'P21'!$C$4:$C$27</c:f>
              <c:numCache>
                <c:formatCode>_("$"* #,##0.00_);_("$"* \(#,##0.00\);_("$"* "-"??_);_(@_)</c:formatCode>
                <c:ptCount val="24"/>
                <c:pt idx="0">
                  <c:v>300</c:v>
                </c:pt>
                <c:pt idx="1">
                  <c:v>1800</c:v>
                </c:pt>
                <c:pt idx="2">
                  <c:v>3300</c:v>
                </c:pt>
                <c:pt idx="3">
                  <c:v>4200</c:v>
                </c:pt>
                <c:pt idx="4">
                  <c:v>5800</c:v>
                </c:pt>
                <c:pt idx="5">
                  <c:v>5100</c:v>
                </c:pt>
                <c:pt idx="6">
                  <c:v>5100</c:v>
                </c:pt>
                <c:pt idx="7">
                  <c:v>5700</c:v>
                </c:pt>
                <c:pt idx="8">
                  <c:v>5700</c:v>
                </c:pt>
                <c:pt idx="9">
                  <c:v>6000</c:v>
                </c:pt>
                <c:pt idx="10">
                  <c:v>6000</c:v>
                </c:pt>
                <c:pt idx="11">
                  <c:v>6000</c:v>
                </c:pt>
                <c:pt idx="12">
                  <c:v>6500</c:v>
                </c:pt>
                <c:pt idx="13">
                  <c:v>6500</c:v>
                </c:pt>
                <c:pt idx="14">
                  <c:v>6350</c:v>
                </c:pt>
                <c:pt idx="15">
                  <c:v>6500</c:v>
                </c:pt>
                <c:pt idx="16">
                  <c:v>5300</c:v>
                </c:pt>
                <c:pt idx="17">
                  <c:v>5000</c:v>
                </c:pt>
                <c:pt idx="18">
                  <c:v>5000</c:v>
                </c:pt>
                <c:pt idx="19">
                  <c:v>4700</c:v>
                </c:pt>
                <c:pt idx="20">
                  <c:v>4700</c:v>
                </c:pt>
                <c:pt idx="21">
                  <c:v>4100</c:v>
                </c:pt>
                <c:pt idx="22">
                  <c:v>4100</c:v>
                </c:pt>
                <c:pt idx="23">
                  <c:v>3800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0D-8940-BDED-D8915AB46AF2}"/>
            </c:ext>
          </c:extLst>
        </c:ser>
        <c:ser>
          <c:idx val="2"/>
          <c:order val="1"/>
          <c:tx>
            <c:strRef>
              <c:f>'P21'!$D$3</c:f>
              <c:strCache>
                <c:ptCount val="1"/>
                <c:pt idx="0">
                  <c:v>Cobranza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'P21'!$B$4:$B$27</c:f>
              <c:numCache>
                <c:formatCode>m/d/yy</c:formatCode>
                <c:ptCount val="24"/>
                <c:pt idx="0">
                  <c:v>45572</c:v>
                </c:pt>
                <c:pt idx="1">
                  <c:v>45579</c:v>
                </c:pt>
                <c:pt idx="2">
                  <c:v>45586</c:v>
                </c:pt>
                <c:pt idx="3">
                  <c:v>45593</c:v>
                </c:pt>
                <c:pt idx="4">
                  <c:v>45600</c:v>
                </c:pt>
                <c:pt idx="5">
                  <c:v>45607</c:v>
                </c:pt>
                <c:pt idx="6">
                  <c:v>45614</c:v>
                </c:pt>
                <c:pt idx="7">
                  <c:v>45621</c:v>
                </c:pt>
                <c:pt idx="8">
                  <c:v>45628</c:v>
                </c:pt>
                <c:pt idx="9">
                  <c:v>45635</c:v>
                </c:pt>
                <c:pt idx="10">
                  <c:v>45642</c:v>
                </c:pt>
                <c:pt idx="11">
                  <c:v>45649</c:v>
                </c:pt>
                <c:pt idx="12">
                  <c:v>45656</c:v>
                </c:pt>
                <c:pt idx="13">
                  <c:v>45663</c:v>
                </c:pt>
                <c:pt idx="14">
                  <c:v>45670</c:v>
                </c:pt>
                <c:pt idx="15">
                  <c:v>45677</c:v>
                </c:pt>
                <c:pt idx="16">
                  <c:v>45684</c:v>
                </c:pt>
                <c:pt idx="17">
                  <c:v>45691</c:v>
                </c:pt>
                <c:pt idx="18">
                  <c:v>45698</c:v>
                </c:pt>
                <c:pt idx="19">
                  <c:v>45705</c:v>
                </c:pt>
                <c:pt idx="20">
                  <c:v>45712</c:v>
                </c:pt>
                <c:pt idx="21">
                  <c:v>45719</c:v>
                </c:pt>
                <c:pt idx="22">
                  <c:v>45726</c:v>
                </c:pt>
                <c:pt idx="23">
                  <c:v>45733</c:v>
                </c:pt>
              </c:numCache>
            </c:numRef>
          </c:cat>
          <c:val>
            <c:numRef>
              <c:f>'P21'!$D$4:$D$27</c:f>
              <c:numCache>
                <c:formatCode>_("$"* #,##0.00_);_("$"* \(#,##0.00\);_("$"* "-"??_);_(@_)</c:formatCode>
                <c:ptCount val="24"/>
                <c:pt idx="0">
                  <c:v>300</c:v>
                </c:pt>
                <c:pt idx="1">
                  <c:v>1800</c:v>
                </c:pt>
                <c:pt idx="2">
                  <c:v>3300</c:v>
                </c:pt>
                <c:pt idx="3">
                  <c:v>4200</c:v>
                </c:pt>
                <c:pt idx="4">
                  <c:v>4800</c:v>
                </c:pt>
                <c:pt idx="5">
                  <c:v>4500</c:v>
                </c:pt>
                <c:pt idx="6">
                  <c:v>5700</c:v>
                </c:pt>
                <c:pt idx="7">
                  <c:v>5400</c:v>
                </c:pt>
                <c:pt idx="8">
                  <c:v>6000</c:v>
                </c:pt>
                <c:pt idx="9">
                  <c:v>6000</c:v>
                </c:pt>
                <c:pt idx="10">
                  <c:v>6000</c:v>
                </c:pt>
                <c:pt idx="11">
                  <c:v>6000</c:v>
                </c:pt>
                <c:pt idx="12">
                  <c:v>4950</c:v>
                </c:pt>
                <c:pt idx="13">
                  <c:v>5800</c:v>
                </c:pt>
                <c:pt idx="14">
                  <c:v>6550</c:v>
                </c:pt>
                <c:pt idx="15">
                  <c:v>1850</c:v>
                </c:pt>
                <c:pt idx="16">
                  <c:v>4600</c:v>
                </c:pt>
                <c:pt idx="17">
                  <c:v>1950</c:v>
                </c:pt>
                <c:pt idx="18">
                  <c:v>1300</c:v>
                </c:pt>
                <c:pt idx="19">
                  <c:v>2300</c:v>
                </c:pt>
                <c:pt idx="20">
                  <c:v>950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0D-8940-BDED-D8915AB46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989984"/>
        <c:axId val="1601586976"/>
      </c:lineChart>
      <c:dateAx>
        <c:axId val="16019899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586976"/>
        <c:crosses val="autoZero"/>
        <c:auto val="1"/>
        <c:lblOffset val="100"/>
        <c:baseTimeUnit val="days"/>
      </c:dateAx>
      <c:valAx>
        <c:axId val="160158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98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'P21'!$F$3</c:f>
              <c:strCache>
                <c:ptCount val="1"/>
                <c:pt idx="0">
                  <c:v>% de Deuda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'P21'!$B$4:$B$27</c:f>
              <c:numCache>
                <c:formatCode>m/d/yy</c:formatCode>
                <c:ptCount val="24"/>
                <c:pt idx="0">
                  <c:v>45572</c:v>
                </c:pt>
                <c:pt idx="1">
                  <c:v>45579</c:v>
                </c:pt>
                <c:pt idx="2">
                  <c:v>45586</c:v>
                </c:pt>
                <c:pt idx="3">
                  <c:v>45593</c:v>
                </c:pt>
                <c:pt idx="4">
                  <c:v>45600</c:v>
                </c:pt>
                <c:pt idx="5">
                  <c:v>45607</c:v>
                </c:pt>
                <c:pt idx="6">
                  <c:v>45614</c:v>
                </c:pt>
                <c:pt idx="7">
                  <c:v>45621</c:v>
                </c:pt>
                <c:pt idx="8">
                  <c:v>45628</c:v>
                </c:pt>
                <c:pt idx="9">
                  <c:v>45635</c:v>
                </c:pt>
                <c:pt idx="10">
                  <c:v>45642</c:v>
                </c:pt>
                <c:pt idx="11">
                  <c:v>45649</c:v>
                </c:pt>
                <c:pt idx="12">
                  <c:v>45656</c:v>
                </c:pt>
                <c:pt idx="13">
                  <c:v>45663</c:v>
                </c:pt>
                <c:pt idx="14">
                  <c:v>45670</c:v>
                </c:pt>
                <c:pt idx="15">
                  <c:v>45677</c:v>
                </c:pt>
                <c:pt idx="16">
                  <c:v>45684</c:v>
                </c:pt>
                <c:pt idx="17">
                  <c:v>45691</c:v>
                </c:pt>
                <c:pt idx="18">
                  <c:v>45698</c:v>
                </c:pt>
                <c:pt idx="19">
                  <c:v>45705</c:v>
                </c:pt>
                <c:pt idx="20">
                  <c:v>45712</c:v>
                </c:pt>
                <c:pt idx="21">
                  <c:v>45719</c:v>
                </c:pt>
                <c:pt idx="22">
                  <c:v>45726</c:v>
                </c:pt>
                <c:pt idx="23">
                  <c:v>45733</c:v>
                </c:pt>
              </c:numCache>
            </c:numRef>
          </c:cat>
          <c:val>
            <c:numRef>
              <c:f>'P21'!$F$4:$F$27</c:f>
              <c:numCache>
                <c:formatCode>0.00%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6.4935064935064929E-2</c:v>
                </c:pt>
                <c:pt idx="5">
                  <c:v>7.8048780487804878E-2</c:v>
                </c:pt>
                <c:pt idx="6">
                  <c:v>3.90625E-2</c:v>
                </c:pt>
                <c:pt idx="7">
                  <c:v>4.1533546325878593E-2</c:v>
                </c:pt>
                <c:pt idx="8">
                  <c:v>2.7027027027027029E-2</c:v>
                </c:pt>
                <c:pt idx="9">
                  <c:v>2.3255813953488372E-2</c:v>
                </c:pt>
                <c:pt idx="10">
                  <c:v>2.0408163265306121E-2</c:v>
                </c:pt>
                <c:pt idx="11">
                  <c:v>1.8181818181818181E-2</c:v>
                </c:pt>
                <c:pt idx="12">
                  <c:v>4.1463414634146344E-2</c:v>
                </c:pt>
                <c:pt idx="13">
                  <c:v>4.779411764705882E-2</c:v>
                </c:pt>
                <c:pt idx="14">
                  <c:v>4.10221923335575E-2</c:v>
                </c:pt>
                <c:pt idx="15">
                  <c:v>9.5238095238095233E-2</c:v>
                </c:pt>
                <c:pt idx="16">
                  <c:v>9.7504352872896105E-2</c:v>
                </c:pt>
                <c:pt idx="17">
                  <c:v>0.12561711464618761</c:v>
                </c:pt>
                <c:pt idx="18">
                  <c:v>0.15756630265210608</c:v>
                </c:pt>
                <c:pt idx="19">
                  <c:v>0.17402082300446206</c:v>
                </c:pt>
                <c:pt idx="20">
                  <c:v>0.20180009474182853</c:v>
                </c:pt>
                <c:pt idx="21">
                  <c:v>0.23164614683082535</c:v>
                </c:pt>
                <c:pt idx="22">
                  <c:v>0.25934065934065936</c:v>
                </c:pt>
                <c:pt idx="23">
                  <c:v>0.28328370905997446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5C-014F-BDAF-2E0FF175D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944288"/>
        <c:axId val="1869815472"/>
      </c:lineChart>
      <c:dateAx>
        <c:axId val="18509442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15472"/>
        <c:crosses val="autoZero"/>
        <c:auto val="1"/>
        <c:lblOffset val="100"/>
        <c:baseTimeUnit val="days"/>
      </c:dateAx>
      <c:valAx>
        <c:axId val="18698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4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</a:t>
            </a:r>
            <a:r>
              <a:rPr lang="en-US" baseline="0"/>
              <a:t> Vs Cobranza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'P22'!$C$3</c:f>
              <c:strCache>
                <c:ptCount val="1"/>
                <c:pt idx="0">
                  <c:v>Meta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'P22'!$B$4:$B$27</c:f>
              <c:numCache>
                <c:formatCode>m/d/yy</c:formatCode>
                <c:ptCount val="24"/>
                <c:pt idx="0">
                  <c:v>45572</c:v>
                </c:pt>
                <c:pt idx="1">
                  <c:v>45579</c:v>
                </c:pt>
                <c:pt idx="2">
                  <c:v>45586</c:v>
                </c:pt>
                <c:pt idx="3">
                  <c:v>45593</c:v>
                </c:pt>
                <c:pt idx="4">
                  <c:v>45600</c:v>
                </c:pt>
                <c:pt idx="5">
                  <c:v>45607</c:v>
                </c:pt>
                <c:pt idx="6">
                  <c:v>45614</c:v>
                </c:pt>
                <c:pt idx="7">
                  <c:v>45621</c:v>
                </c:pt>
                <c:pt idx="8">
                  <c:v>45628</c:v>
                </c:pt>
                <c:pt idx="9">
                  <c:v>45635</c:v>
                </c:pt>
                <c:pt idx="10">
                  <c:v>45642</c:v>
                </c:pt>
                <c:pt idx="11">
                  <c:v>45649</c:v>
                </c:pt>
                <c:pt idx="12">
                  <c:v>45656</c:v>
                </c:pt>
                <c:pt idx="13">
                  <c:v>45663</c:v>
                </c:pt>
                <c:pt idx="14">
                  <c:v>45670</c:v>
                </c:pt>
                <c:pt idx="15">
                  <c:v>45677</c:v>
                </c:pt>
                <c:pt idx="16">
                  <c:v>45684</c:v>
                </c:pt>
                <c:pt idx="17">
                  <c:v>45691</c:v>
                </c:pt>
                <c:pt idx="18">
                  <c:v>45698</c:v>
                </c:pt>
                <c:pt idx="19">
                  <c:v>45705</c:v>
                </c:pt>
                <c:pt idx="20">
                  <c:v>45712</c:v>
                </c:pt>
                <c:pt idx="21">
                  <c:v>45719</c:v>
                </c:pt>
                <c:pt idx="22">
                  <c:v>45726</c:v>
                </c:pt>
                <c:pt idx="23">
                  <c:v>45733</c:v>
                </c:pt>
              </c:numCache>
            </c:numRef>
          </c:cat>
          <c:val>
            <c:numRef>
              <c:f>'P22'!$C$4:$C$27</c:f>
              <c:numCache>
                <c:formatCode>_("$"* #,##0.00_);_("$"* \(#,##0.00\);_("$"* "-"??_);_(@_)</c:formatCode>
                <c:ptCount val="24"/>
                <c:pt idx="0">
                  <c:v>1800</c:v>
                </c:pt>
                <c:pt idx="1">
                  <c:v>2400</c:v>
                </c:pt>
                <c:pt idx="2">
                  <c:v>3900</c:v>
                </c:pt>
                <c:pt idx="3">
                  <c:v>5100</c:v>
                </c:pt>
                <c:pt idx="4">
                  <c:v>5400</c:v>
                </c:pt>
                <c:pt idx="5">
                  <c:v>6000</c:v>
                </c:pt>
                <c:pt idx="6">
                  <c:v>6900</c:v>
                </c:pt>
                <c:pt idx="7">
                  <c:v>7200</c:v>
                </c:pt>
                <c:pt idx="8">
                  <c:v>7800</c:v>
                </c:pt>
                <c:pt idx="9">
                  <c:v>8100</c:v>
                </c:pt>
                <c:pt idx="10">
                  <c:v>8400</c:v>
                </c:pt>
                <c:pt idx="11">
                  <c:v>8400</c:v>
                </c:pt>
                <c:pt idx="12">
                  <c:v>7850</c:v>
                </c:pt>
                <c:pt idx="13">
                  <c:v>8050</c:v>
                </c:pt>
                <c:pt idx="14">
                  <c:v>8450</c:v>
                </c:pt>
                <c:pt idx="15">
                  <c:v>7950</c:v>
                </c:pt>
                <c:pt idx="16">
                  <c:v>7850</c:v>
                </c:pt>
                <c:pt idx="17">
                  <c:v>8200</c:v>
                </c:pt>
                <c:pt idx="18">
                  <c:v>9200</c:v>
                </c:pt>
                <c:pt idx="19">
                  <c:v>9500</c:v>
                </c:pt>
                <c:pt idx="20">
                  <c:v>9800</c:v>
                </c:pt>
                <c:pt idx="21">
                  <c:v>9200</c:v>
                </c:pt>
                <c:pt idx="22">
                  <c:v>9200</c:v>
                </c:pt>
                <c:pt idx="23">
                  <c:v>9700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1C-C446-9AFE-F1B9A141AC1A}"/>
            </c:ext>
          </c:extLst>
        </c:ser>
        <c:ser>
          <c:idx val="2"/>
          <c:order val="1"/>
          <c:tx>
            <c:strRef>
              <c:f>'P22'!$D$3</c:f>
              <c:strCache>
                <c:ptCount val="1"/>
                <c:pt idx="0">
                  <c:v>Cobranza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'P22'!$B$4:$B$27</c:f>
              <c:numCache>
                <c:formatCode>m/d/yy</c:formatCode>
                <c:ptCount val="24"/>
                <c:pt idx="0">
                  <c:v>45572</c:v>
                </c:pt>
                <c:pt idx="1">
                  <c:v>45579</c:v>
                </c:pt>
                <c:pt idx="2">
                  <c:v>45586</c:v>
                </c:pt>
                <c:pt idx="3">
                  <c:v>45593</c:v>
                </c:pt>
                <c:pt idx="4">
                  <c:v>45600</c:v>
                </c:pt>
                <c:pt idx="5">
                  <c:v>45607</c:v>
                </c:pt>
                <c:pt idx="6">
                  <c:v>45614</c:v>
                </c:pt>
                <c:pt idx="7">
                  <c:v>45621</c:v>
                </c:pt>
                <c:pt idx="8">
                  <c:v>45628</c:v>
                </c:pt>
                <c:pt idx="9">
                  <c:v>45635</c:v>
                </c:pt>
                <c:pt idx="10">
                  <c:v>45642</c:v>
                </c:pt>
                <c:pt idx="11">
                  <c:v>45649</c:v>
                </c:pt>
                <c:pt idx="12">
                  <c:v>45656</c:v>
                </c:pt>
                <c:pt idx="13">
                  <c:v>45663</c:v>
                </c:pt>
                <c:pt idx="14">
                  <c:v>45670</c:v>
                </c:pt>
                <c:pt idx="15">
                  <c:v>45677</c:v>
                </c:pt>
                <c:pt idx="16">
                  <c:v>45684</c:v>
                </c:pt>
                <c:pt idx="17">
                  <c:v>45691</c:v>
                </c:pt>
                <c:pt idx="18">
                  <c:v>45698</c:v>
                </c:pt>
                <c:pt idx="19">
                  <c:v>45705</c:v>
                </c:pt>
                <c:pt idx="20">
                  <c:v>45712</c:v>
                </c:pt>
                <c:pt idx="21">
                  <c:v>45719</c:v>
                </c:pt>
                <c:pt idx="22">
                  <c:v>45726</c:v>
                </c:pt>
                <c:pt idx="23">
                  <c:v>45733</c:v>
                </c:pt>
              </c:numCache>
            </c:numRef>
          </c:cat>
          <c:val>
            <c:numRef>
              <c:f>'P22'!$D$4:$D$27</c:f>
              <c:numCache>
                <c:formatCode>_("$"* #,##0.00_);_("$"* \(#,##0.00\);_("$"* "-"??_);_(@_)</c:formatCode>
                <c:ptCount val="24"/>
                <c:pt idx="0">
                  <c:v>1200</c:v>
                </c:pt>
                <c:pt idx="1">
                  <c:v>1800</c:v>
                </c:pt>
                <c:pt idx="2">
                  <c:v>3300</c:v>
                </c:pt>
                <c:pt idx="3">
                  <c:v>4500</c:v>
                </c:pt>
                <c:pt idx="4">
                  <c:v>4500</c:v>
                </c:pt>
                <c:pt idx="5">
                  <c:v>6000</c:v>
                </c:pt>
                <c:pt idx="6">
                  <c:v>6000</c:v>
                </c:pt>
                <c:pt idx="7">
                  <c:v>6400</c:v>
                </c:pt>
                <c:pt idx="8">
                  <c:v>6900</c:v>
                </c:pt>
                <c:pt idx="9">
                  <c:v>7100</c:v>
                </c:pt>
                <c:pt idx="10">
                  <c:v>7500</c:v>
                </c:pt>
                <c:pt idx="11">
                  <c:v>7500</c:v>
                </c:pt>
                <c:pt idx="12">
                  <c:v>9000</c:v>
                </c:pt>
                <c:pt idx="13">
                  <c:v>7750</c:v>
                </c:pt>
                <c:pt idx="14">
                  <c:v>8150</c:v>
                </c:pt>
                <c:pt idx="15">
                  <c:v>8250</c:v>
                </c:pt>
                <c:pt idx="16">
                  <c:v>8150</c:v>
                </c:pt>
                <c:pt idx="17">
                  <c:v>8200</c:v>
                </c:pt>
                <c:pt idx="18">
                  <c:v>9200</c:v>
                </c:pt>
                <c:pt idx="19">
                  <c:v>9500</c:v>
                </c:pt>
                <c:pt idx="20">
                  <c:v>10150</c:v>
                </c:pt>
                <c:pt idx="21">
                  <c:v>9450</c:v>
                </c:pt>
                <c:pt idx="22">
                  <c:v>12000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1C-C446-9AFE-F1B9A141AC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989984"/>
        <c:axId val="1601586976"/>
      </c:lineChart>
      <c:dateAx>
        <c:axId val="16019899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586976"/>
        <c:crosses val="autoZero"/>
        <c:auto val="1"/>
        <c:lblOffset val="100"/>
        <c:baseTimeUnit val="days"/>
      </c:dateAx>
      <c:valAx>
        <c:axId val="160158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98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'P22'!$F$3</c:f>
              <c:strCache>
                <c:ptCount val="1"/>
                <c:pt idx="0">
                  <c:v>% de Deuda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'P22'!$B$4:$B$27</c:f>
              <c:numCache>
                <c:formatCode>m/d/yy</c:formatCode>
                <c:ptCount val="24"/>
                <c:pt idx="0">
                  <c:v>45572</c:v>
                </c:pt>
                <c:pt idx="1">
                  <c:v>45579</c:v>
                </c:pt>
                <c:pt idx="2">
                  <c:v>45586</c:v>
                </c:pt>
                <c:pt idx="3">
                  <c:v>45593</c:v>
                </c:pt>
                <c:pt idx="4">
                  <c:v>45600</c:v>
                </c:pt>
                <c:pt idx="5">
                  <c:v>45607</c:v>
                </c:pt>
                <c:pt idx="6">
                  <c:v>45614</c:v>
                </c:pt>
                <c:pt idx="7">
                  <c:v>45621</c:v>
                </c:pt>
                <c:pt idx="8">
                  <c:v>45628</c:v>
                </c:pt>
                <c:pt idx="9">
                  <c:v>45635</c:v>
                </c:pt>
                <c:pt idx="10">
                  <c:v>45642</c:v>
                </c:pt>
                <c:pt idx="11">
                  <c:v>45649</c:v>
                </c:pt>
                <c:pt idx="12">
                  <c:v>45656</c:v>
                </c:pt>
                <c:pt idx="13">
                  <c:v>45663</c:v>
                </c:pt>
                <c:pt idx="14">
                  <c:v>45670</c:v>
                </c:pt>
                <c:pt idx="15">
                  <c:v>45677</c:v>
                </c:pt>
                <c:pt idx="16">
                  <c:v>45684</c:v>
                </c:pt>
                <c:pt idx="17">
                  <c:v>45691</c:v>
                </c:pt>
                <c:pt idx="18">
                  <c:v>45698</c:v>
                </c:pt>
                <c:pt idx="19">
                  <c:v>45705</c:v>
                </c:pt>
                <c:pt idx="20">
                  <c:v>45712</c:v>
                </c:pt>
                <c:pt idx="21">
                  <c:v>45719</c:v>
                </c:pt>
                <c:pt idx="22">
                  <c:v>45726</c:v>
                </c:pt>
                <c:pt idx="23">
                  <c:v>45733</c:v>
                </c:pt>
              </c:numCache>
            </c:numRef>
          </c:cat>
          <c:val>
            <c:numRef>
              <c:f>'P22'!$F$4:$F$27</c:f>
              <c:numCache>
                <c:formatCode>0.00%</c:formatCode>
                <c:ptCount val="24"/>
                <c:pt idx="0">
                  <c:v>0.33333333333333331</c:v>
                </c:pt>
                <c:pt idx="1">
                  <c:v>0.2857142857142857</c:v>
                </c:pt>
                <c:pt idx="2">
                  <c:v>0.22222222222222221</c:v>
                </c:pt>
                <c:pt idx="3">
                  <c:v>0.18181818181818182</c:v>
                </c:pt>
                <c:pt idx="4">
                  <c:v>0.17741935483870969</c:v>
                </c:pt>
                <c:pt idx="5">
                  <c:v>0.13414634146341464</c:v>
                </c:pt>
                <c:pt idx="6">
                  <c:v>0.13333333333333333</c:v>
                </c:pt>
                <c:pt idx="7">
                  <c:v>0.12919896640826872</c:v>
                </c:pt>
                <c:pt idx="8">
                  <c:v>0.12688172043010754</c:v>
                </c:pt>
                <c:pt idx="9">
                  <c:v>0.12637362637362637</c:v>
                </c:pt>
                <c:pt idx="10">
                  <c:v>0.12380952380952381</c:v>
                </c:pt>
                <c:pt idx="11">
                  <c:v>0.12184873949579832</c:v>
                </c:pt>
                <c:pt idx="12">
                  <c:v>9.5268138801261823E-2</c:v>
                </c:pt>
                <c:pt idx="13">
                  <c:v>8.9919816723940435E-2</c:v>
                </c:pt>
                <c:pt idx="14">
                  <c:v>8.5117493472584863E-2</c:v>
                </c:pt>
                <c:pt idx="15">
                  <c:v>7.5699132111861134E-2</c:v>
                </c:pt>
                <c:pt idx="16">
                  <c:v>6.7682653518601518E-2</c:v>
                </c:pt>
                <c:pt idx="17">
                  <c:v>6.3048016701461373E-2</c:v>
                </c:pt>
                <c:pt idx="18">
                  <c:v>5.8549825513765023E-2</c:v>
                </c:pt>
                <c:pt idx="19">
                  <c:v>5.4532322137955939E-2</c:v>
                </c:pt>
                <c:pt idx="20">
                  <c:v>4.8566610455311972E-2</c:v>
                </c:pt>
                <c:pt idx="21">
                  <c:v>4.4140997141949828E-2</c:v>
                </c:pt>
                <c:pt idx="22">
                  <c:v>2.4902490249024904E-2</c:v>
                </c:pt>
                <c:pt idx="23">
                  <c:v>7.8537000283527073E-2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94-224D-8426-454081E83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944288"/>
        <c:axId val="1869815472"/>
      </c:lineChart>
      <c:dateAx>
        <c:axId val="18509442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15472"/>
        <c:crosses val="autoZero"/>
        <c:auto val="1"/>
        <c:lblOffset val="100"/>
        <c:baseTimeUnit val="days"/>
      </c:dateAx>
      <c:valAx>
        <c:axId val="18698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4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</a:t>
            </a:r>
            <a:r>
              <a:rPr lang="en-US" baseline="0"/>
              <a:t> Vs Cobranza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'P23'!$C$3</c:f>
              <c:strCache>
                <c:ptCount val="1"/>
                <c:pt idx="0">
                  <c:v>Meta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'P23'!$B$4:$B$25</c:f>
              <c:numCache>
                <c:formatCode>m/d/yy</c:formatCode>
                <c:ptCount val="22"/>
                <c:pt idx="0">
                  <c:v>45586</c:v>
                </c:pt>
                <c:pt idx="1">
                  <c:v>45593</c:v>
                </c:pt>
                <c:pt idx="2">
                  <c:v>45600</c:v>
                </c:pt>
                <c:pt idx="3">
                  <c:v>45607</c:v>
                </c:pt>
                <c:pt idx="4">
                  <c:v>45614</c:v>
                </c:pt>
                <c:pt idx="5">
                  <c:v>45621</c:v>
                </c:pt>
                <c:pt idx="6">
                  <c:v>45628</c:v>
                </c:pt>
                <c:pt idx="7">
                  <c:v>45635</c:v>
                </c:pt>
                <c:pt idx="8">
                  <c:v>45642</c:v>
                </c:pt>
                <c:pt idx="9">
                  <c:v>45649</c:v>
                </c:pt>
                <c:pt idx="10">
                  <c:v>45656</c:v>
                </c:pt>
                <c:pt idx="11">
                  <c:v>45663</c:v>
                </c:pt>
                <c:pt idx="12">
                  <c:v>45670</c:v>
                </c:pt>
                <c:pt idx="13">
                  <c:v>45677</c:v>
                </c:pt>
                <c:pt idx="14">
                  <c:v>45684</c:v>
                </c:pt>
                <c:pt idx="15">
                  <c:v>45691</c:v>
                </c:pt>
                <c:pt idx="16">
                  <c:v>45698</c:v>
                </c:pt>
                <c:pt idx="17">
                  <c:v>45705</c:v>
                </c:pt>
                <c:pt idx="18">
                  <c:v>45712</c:v>
                </c:pt>
                <c:pt idx="19">
                  <c:v>45719</c:v>
                </c:pt>
                <c:pt idx="20">
                  <c:v>45726</c:v>
                </c:pt>
                <c:pt idx="21">
                  <c:v>45733</c:v>
                </c:pt>
              </c:numCache>
            </c:numRef>
          </c:cat>
          <c:val>
            <c:numRef>
              <c:f>'P23'!$C$4:$C$25</c:f>
              <c:numCache>
                <c:formatCode>_("$"* #,##0.00_);_("$"* \(#,##0.00\);_("$"* "-"??_);_(@_)</c:formatCode>
                <c:ptCount val="22"/>
                <c:pt idx="0">
                  <c:v>0</c:v>
                </c:pt>
                <c:pt idx="1">
                  <c:v>600</c:v>
                </c:pt>
                <c:pt idx="2">
                  <c:v>900</c:v>
                </c:pt>
                <c:pt idx="3">
                  <c:v>900</c:v>
                </c:pt>
                <c:pt idx="4">
                  <c:v>1800</c:v>
                </c:pt>
                <c:pt idx="5">
                  <c:v>2100</c:v>
                </c:pt>
                <c:pt idx="6">
                  <c:v>2100</c:v>
                </c:pt>
                <c:pt idx="7">
                  <c:v>2100</c:v>
                </c:pt>
                <c:pt idx="8">
                  <c:v>2100</c:v>
                </c:pt>
                <c:pt idx="9">
                  <c:v>2100</c:v>
                </c:pt>
                <c:pt idx="10">
                  <c:v>2100</c:v>
                </c:pt>
                <c:pt idx="11">
                  <c:v>2100</c:v>
                </c:pt>
                <c:pt idx="12">
                  <c:v>2100</c:v>
                </c:pt>
                <c:pt idx="13">
                  <c:v>2100</c:v>
                </c:pt>
                <c:pt idx="14">
                  <c:v>2100</c:v>
                </c:pt>
                <c:pt idx="15">
                  <c:v>1500</c:v>
                </c:pt>
                <c:pt idx="16">
                  <c:v>1200</c:v>
                </c:pt>
                <c:pt idx="17">
                  <c:v>900</c:v>
                </c:pt>
                <c:pt idx="18">
                  <c:v>300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A5-BA4F-94C0-F4A055AB4D38}"/>
            </c:ext>
          </c:extLst>
        </c:ser>
        <c:ser>
          <c:idx val="2"/>
          <c:order val="1"/>
          <c:tx>
            <c:strRef>
              <c:f>'P23'!$D$3</c:f>
              <c:strCache>
                <c:ptCount val="1"/>
                <c:pt idx="0">
                  <c:v>Cobranza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'P23'!$B$4:$B$25</c:f>
              <c:numCache>
                <c:formatCode>m/d/yy</c:formatCode>
                <c:ptCount val="22"/>
                <c:pt idx="0">
                  <c:v>45586</c:v>
                </c:pt>
                <c:pt idx="1">
                  <c:v>45593</c:v>
                </c:pt>
                <c:pt idx="2">
                  <c:v>45600</c:v>
                </c:pt>
                <c:pt idx="3">
                  <c:v>45607</c:v>
                </c:pt>
                <c:pt idx="4">
                  <c:v>45614</c:v>
                </c:pt>
                <c:pt idx="5">
                  <c:v>45621</c:v>
                </c:pt>
                <c:pt idx="6">
                  <c:v>45628</c:v>
                </c:pt>
                <c:pt idx="7">
                  <c:v>45635</c:v>
                </c:pt>
                <c:pt idx="8">
                  <c:v>45642</c:v>
                </c:pt>
                <c:pt idx="9">
                  <c:v>45649</c:v>
                </c:pt>
                <c:pt idx="10">
                  <c:v>45656</c:v>
                </c:pt>
                <c:pt idx="11">
                  <c:v>45663</c:v>
                </c:pt>
                <c:pt idx="12">
                  <c:v>45670</c:v>
                </c:pt>
                <c:pt idx="13">
                  <c:v>45677</c:v>
                </c:pt>
                <c:pt idx="14">
                  <c:v>45684</c:v>
                </c:pt>
                <c:pt idx="15">
                  <c:v>45691</c:v>
                </c:pt>
                <c:pt idx="16">
                  <c:v>45698</c:v>
                </c:pt>
                <c:pt idx="17">
                  <c:v>45705</c:v>
                </c:pt>
                <c:pt idx="18">
                  <c:v>45712</c:v>
                </c:pt>
                <c:pt idx="19">
                  <c:v>45719</c:v>
                </c:pt>
                <c:pt idx="20">
                  <c:v>45726</c:v>
                </c:pt>
                <c:pt idx="21">
                  <c:v>45733</c:v>
                </c:pt>
              </c:numCache>
            </c:numRef>
          </c:cat>
          <c:val>
            <c:numRef>
              <c:f>'P23'!$D$4:$D$25</c:f>
              <c:numCache>
                <c:formatCode>_("$"* #,##0.00_);_("$"* \(#,##0.00\);_("$"* "-"??_);_(@_)</c:formatCode>
                <c:ptCount val="22"/>
                <c:pt idx="0">
                  <c:v>0</c:v>
                </c:pt>
                <c:pt idx="1">
                  <c:v>600</c:v>
                </c:pt>
                <c:pt idx="2">
                  <c:v>900</c:v>
                </c:pt>
                <c:pt idx="3">
                  <c:v>600</c:v>
                </c:pt>
                <c:pt idx="4">
                  <c:v>1800</c:v>
                </c:pt>
                <c:pt idx="5">
                  <c:v>600</c:v>
                </c:pt>
                <c:pt idx="6">
                  <c:v>900</c:v>
                </c:pt>
                <c:pt idx="7">
                  <c:v>2400</c:v>
                </c:pt>
                <c:pt idx="8">
                  <c:v>600</c:v>
                </c:pt>
                <c:pt idx="9">
                  <c:v>1950</c:v>
                </c:pt>
                <c:pt idx="10">
                  <c:v>150</c:v>
                </c:pt>
                <c:pt idx="11">
                  <c:v>900</c:v>
                </c:pt>
                <c:pt idx="12">
                  <c:v>600</c:v>
                </c:pt>
                <c:pt idx="13">
                  <c:v>1800</c:v>
                </c:pt>
                <c:pt idx="14">
                  <c:v>1600</c:v>
                </c:pt>
                <c:pt idx="15">
                  <c:v>2700</c:v>
                </c:pt>
                <c:pt idx="16">
                  <c:v>1500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A5-BA4F-94C0-F4A055AB4D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989984"/>
        <c:axId val="1601586976"/>
      </c:lineChart>
      <c:dateAx>
        <c:axId val="16019899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586976"/>
        <c:crosses val="autoZero"/>
        <c:auto val="1"/>
        <c:lblOffset val="100"/>
        <c:baseTimeUnit val="days"/>
      </c:dateAx>
      <c:valAx>
        <c:axId val="160158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98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'P23'!$F$3</c:f>
              <c:strCache>
                <c:ptCount val="1"/>
                <c:pt idx="0">
                  <c:v>% de Deuda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'P23'!$B$4:$B$25</c:f>
              <c:numCache>
                <c:formatCode>m/d/yy</c:formatCode>
                <c:ptCount val="22"/>
                <c:pt idx="0">
                  <c:v>45586</c:v>
                </c:pt>
                <c:pt idx="1">
                  <c:v>45593</c:v>
                </c:pt>
                <c:pt idx="2">
                  <c:v>45600</c:v>
                </c:pt>
                <c:pt idx="3">
                  <c:v>45607</c:v>
                </c:pt>
                <c:pt idx="4">
                  <c:v>45614</c:v>
                </c:pt>
                <c:pt idx="5">
                  <c:v>45621</c:v>
                </c:pt>
                <c:pt idx="6">
                  <c:v>45628</c:v>
                </c:pt>
                <c:pt idx="7">
                  <c:v>45635</c:v>
                </c:pt>
                <c:pt idx="8">
                  <c:v>45642</c:v>
                </c:pt>
                <c:pt idx="9">
                  <c:v>45649</c:v>
                </c:pt>
                <c:pt idx="10">
                  <c:v>45656</c:v>
                </c:pt>
                <c:pt idx="11">
                  <c:v>45663</c:v>
                </c:pt>
                <c:pt idx="12">
                  <c:v>45670</c:v>
                </c:pt>
                <c:pt idx="13">
                  <c:v>45677</c:v>
                </c:pt>
                <c:pt idx="14">
                  <c:v>45684</c:v>
                </c:pt>
                <c:pt idx="15">
                  <c:v>45691</c:v>
                </c:pt>
                <c:pt idx="16">
                  <c:v>45698</c:v>
                </c:pt>
                <c:pt idx="17">
                  <c:v>45705</c:v>
                </c:pt>
                <c:pt idx="18">
                  <c:v>45712</c:v>
                </c:pt>
                <c:pt idx="19">
                  <c:v>45719</c:v>
                </c:pt>
                <c:pt idx="20">
                  <c:v>45726</c:v>
                </c:pt>
                <c:pt idx="21">
                  <c:v>45733</c:v>
                </c:pt>
              </c:numCache>
            </c:numRef>
          </c:cat>
          <c:val>
            <c:numRef>
              <c:f>'P23'!$F$4:$F$25</c:f>
              <c:numCache>
                <c:formatCode>0.00%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0.125</c:v>
                </c:pt>
                <c:pt idx="4">
                  <c:v>7.1428571428571425E-2</c:v>
                </c:pt>
                <c:pt idx="5">
                  <c:v>0.2857142857142857</c:v>
                </c:pt>
                <c:pt idx="6">
                  <c:v>0.35714285714285715</c:v>
                </c:pt>
                <c:pt idx="7">
                  <c:v>0.25714285714285712</c:v>
                </c:pt>
                <c:pt idx="8">
                  <c:v>0.33333333333333331</c:v>
                </c:pt>
                <c:pt idx="9">
                  <c:v>0.29591836734693877</c:v>
                </c:pt>
                <c:pt idx="10">
                  <c:v>0.375</c:v>
                </c:pt>
                <c:pt idx="11">
                  <c:v>0.3968253968253968</c:v>
                </c:pt>
                <c:pt idx="12">
                  <c:v>0.42857142857142855</c:v>
                </c:pt>
                <c:pt idx="13">
                  <c:v>0.40259740259740262</c:v>
                </c:pt>
                <c:pt idx="14">
                  <c:v>0.3888888888888889</c:v>
                </c:pt>
                <c:pt idx="15">
                  <c:v>0.32209737827715357</c:v>
                </c:pt>
                <c:pt idx="16">
                  <c:v>0.29749103942652327</c:v>
                </c:pt>
                <c:pt idx="17">
                  <c:v>0.31944444444444442</c:v>
                </c:pt>
                <c:pt idx="18">
                  <c:v>0.32646048109965636</c:v>
                </c:pt>
                <c:pt idx="19">
                  <c:v>0.32646048109965636</c:v>
                </c:pt>
                <c:pt idx="20">
                  <c:v>0.32646048109965636</c:v>
                </c:pt>
                <c:pt idx="21">
                  <c:v>0.32646048109965636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79-CF43-AA7D-4EAB13FFBB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944288"/>
        <c:axId val="1869815472"/>
      </c:lineChart>
      <c:dateAx>
        <c:axId val="18509442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15472"/>
        <c:crosses val="autoZero"/>
        <c:auto val="1"/>
        <c:lblOffset val="100"/>
        <c:baseTimeUnit val="days"/>
      </c:dateAx>
      <c:valAx>
        <c:axId val="18698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4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</a:t>
            </a:r>
            <a:r>
              <a:rPr lang="en-US" baseline="0"/>
              <a:t> Vs Cobranza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'P24'!$C$3</c:f>
              <c:strCache>
                <c:ptCount val="1"/>
                <c:pt idx="0">
                  <c:v>Meta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'P24'!$B$4:$B$26</c:f>
              <c:numCache>
                <c:formatCode>m/d/yy</c:formatCode>
                <c:ptCount val="23"/>
                <c:pt idx="0">
                  <c:v>45579</c:v>
                </c:pt>
                <c:pt idx="1">
                  <c:v>45586</c:v>
                </c:pt>
                <c:pt idx="2">
                  <c:v>45593</c:v>
                </c:pt>
                <c:pt idx="3">
                  <c:v>45600</c:v>
                </c:pt>
                <c:pt idx="4">
                  <c:v>45607</c:v>
                </c:pt>
                <c:pt idx="5">
                  <c:v>45614</c:v>
                </c:pt>
                <c:pt idx="6">
                  <c:v>45621</c:v>
                </c:pt>
                <c:pt idx="7">
                  <c:v>45628</c:v>
                </c:pt>
                <c:pt idx="8">
                  <c:v>45635</c:v>
                </c:pt>
                <c:pt idx="9">
                  <c:v>45642</c:v>
                </c:pt>
                <c:pt idx="10">
                  <c:v>45649</c:v>
                </c:pt>
                <c:pt idx="11">
                  <c:v>45656</c:v>
                </c:pt>
                <c:pt idx="12">
                  <c:v>45663</c:v>
                </c:pt>
                <c:pt idx="13">
                  <c:v>45670</c:v>
                </c:pt>
                <c:pt idx="14">
                  <c:v>45677</c:v>
                </c:pt>
                <c:pt idx="15">
                  <c:v>45684</c:v>
                </c:pt>
                <c:pt idx="16">
                  <c:v>45691</c:v>
                </c:pt>
                <c:pt idx="17">
                  <c:v>45698</c:v>
                </c:pt>
                <c:pt idx="18">
                  <c:v>45705</c:v>
                </c:pt>
                <c:pt idx="19">
                  <c:v>45712</c:v>
                </c:pt>
                <c:pt idx="20">
                  <c:v>45719</c:v>
                </c:pt>
                <c:pt idx="21">
                  <c:v>45726</c:v>
                </c:pt>
                <c:pt idx="22">
                  <c:v>45733</c:v>
                </c:pt>
              </c:numCache>
            </c:numRef>
          </c:cat>
          <c:val>
            <c:numRef>
              <c:f>'P24'!$C$4:$C$26</c:f>
              <c:numCache>
                <c:formatCode>_("$"* #,##0.00_);_("$"* \(#,##0.00\);_("$"* "-"??_);_(@_)</c:formatCode>
                <c:ptCount val="23"/>
                <c:pt idx="0">
                  <c:v>600</c:v>
                </c:pt>
                <c:pt idx="1">
                  <c:v>1200</c:v>
                </c:pt>
                <c:pt idx="2">
                  <c:v>2100</c:v>
                </c:pt>
                <c:pt idx="3">
                  <c:v>3300</c:v>
                </c:pt>
                <c:pt idx="4">
                  <c:v>3900</c:v>
                </c:pt>
                <c:pt idx="5">
                  <c:v>4200</c:v>
                </c:pt>
                <c:pt idx="6">
                  <c:v>4800</c:v>
                </c:pt>
                <c:pt idx="7">
                  <c:v>6000</c:v>
                </c:pt>
                <c:pt idx="8">
                  <c:v>7200</c:v>
                </c:pt>
                <c:pt idx="9">
                  <c:v>7800</c:v>
                </c:pt>
                <c:pt idx="10">
                  <c:v>8500</c:v>
                </c:pt>
                <c:pt idx="11">
                  <c:v>8850</c:v>
                </c:pt>
                <c:pt idx="12">
                  <c:v>9250</c:v>
                </c:pt>
                <c:pt idx="13">
                  <c:v>9350</c:v>
                </c:pt>
                <c:pt idx="14">
                  <c:v>9450</c:v>
                </c:pt>
                <c:pt idx="15">
                  <c:v>9500</c:v>
                </c:pt>
                <c:pt idx="16">
                  <c:v>9200</c:v>
                </c:pt>
                <c:pt idx="17">
                  <c:v>8600</c:v>
                </c:pt>
                <c:pt idx="18">
                  <c:v>8600</c:v>
                </c:pt>
                <c:pt idx="19">
                  <c:v>8300</c:v>
                </c:pt>
                <c:pt idx="20">
                  <c:v>7700</c:v>
                </c:pt>
                <c:pt idx="21">
                  <c:v>6500</c:v>
                </c:pt>
                <c:pt idx="22">
                  <c:v>5300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79-4943-8257-4954219BAA49}"/>
            </c:ext>
          </c:extLst>
        </c:ser>
        <c:ser>
          <c:idx val="2"/>
          <c:order val="1"/>
          <c:tx>
            <c:strRef>
              <c:f>'P24'!$D$3</c:f>
              <c:strCache>
                <c:ptCount val="1"/>
                <c:pt idx="0">
                  <c:v>Cobranza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'P24'!$B$4:$B$26</c:f>
              <c:numCache>
                <c:formatCode>m/d/yy</c:formatCode>
                <c:ptCount val="23"/>
                <c:pt idx="0">
                  <c:v>45579</c:v>
                </c:pt>
                <c:pt idx="1">
                  <c:v>45586</c:v>
                </c:pt>
                <c:pt idx="2">
                  <c:v>45593</c:v>
                </c:pt>
                <c:pt idx="3">
                  <c:v>45600</c:v>
                </c:pt>
                <c:pt idx="4">
                  <c:v>45607</c:v>
                </c:pt>
                <c:pt idx="5">
                  <c:v>45614</c:v>
                </c:pt>
                <c:pt idx="6">
                  <c:v>45621</c:v>
                </c:pt>
                <c:pt idx="7">
                  <c:v>45628</c:v>
                </c:pt>
                <c:pt idx="8">
                  <c:v>45635</c:v>
                </c:pt>
                <c:pt idx="9">
                  <c:v>45642</c:v>
                </c:pt>
                <c:pt idx="10">
                  <c:v>45649</c:v>
                </c:pt>
                <c:pt idx="11">
                  <c:v>45656</c:v>
                </c:pt>
                <c:pt idx="12">
                  <c:v>45663</c:v>
                </c:pt>
                <c:pt idx="13">
                  <c:v>45670</c:v>
                </c:pt>
                <c:pt idx="14">
                  <c:v>45677</c:v>
                </c:pt>
                <c:pt idx="15">
                  <c:v>45684</c:v>
                </c:pt>
                <c:pt idx="16">
                  <c:v>45691</c:v>
                </c:pt>
                <c:pt idx="17">
                  <c:v>45698</c:v>
                </c:pt>
                <c:pt idx="18">
                  <c:v>45705</c:v>
                </c:pt>
                <c:pt idx="19">
                  <c:v>45712</c:v>
                </c:pt>
                <c:pt idx="20">
                  <c:v>45719</c:v>
                </c:pt>
                <c:pt idx="21">
                  <c:v>45726</c:v>
                </c:pt>
                <c:pt idx="22">
                  <c:v>45733</c:v>
                </c:pt>
              </c:numCache>
            </c:numRef>
          </c:cat>
          <c:val>
            <c:numRef>
              <c:f>'P24'!$D$4:$D$26</c:f>
              <c:numCache>
                <c:formatCode>_("$"* #,##0.00_);_("$"* \(#,##0.00\);_("$"* "-"??_);_(@_)</c:formatCode>
                <c:ptCount val="23"/>
                <c:pt idx="0">
                  <c:v>600</c:v>
                </c:pt>
                <c:pt idx="1">
                  <c:v>1200</c:v>
                </c:pt>
                <c:pt idx="2">
                  <c:v>2100</c:v>
                </c:pt>
                <c:pt idx="3">
                  <c:v>3300</c:v>
                </c:pt>
                <c:pt idx="4">
                  <c:v>3900</c:v>
                </c:pt>
                <c:pt idx="5">
                  <c:v>4200</c:v>
                </c:pt>
                <c:pt idx="6">
                  <c:v>4800</c:v>
                </c:pt>
                <c:pt idx="7">
                  <c:v>6000</c:v>
                </c:pt>
                <c:pt idx="8">
                  <c:v>7200</c:v>
                </c:pt>
                <c:pt idx="9">
                  <c:v>7200</c:v>
                </c:pt>
                <c:pt idx="10">
                  <c:v>7300</c:v>
                </c:pt>
                <c:pt idx="11">
                  <c:v>8250</c:v>
                </c:pt>
                <c:pt idx="12">
                  <c:v>8950</c:v>
                </c:pt>
                <c:pt idx="13">
                  <c:v>9550</c:v>
                </c:pt>
                <c:pt idx="14">
                  <c:v>6350</c:v>
                </c:pt>
                <c:pt idx="15">
                  <c:v>7400</c:v>
                </c:pt>
                <c:pt idx="16">
                  <c:v>8250</c:v>
                </c:pt>
                <c:pt idx="17">
                  <c:v>6950</c:v>
                </c:pt>
                <c:pt idx="18">
                  <c:v>5450</c:v>
                </c:pt>
                <c:pt idx="19">
                  <c:v>5700</c:v>
                </c:pt>
                <c:pt idx="20">
                  <c:v>5400</c:v>
                </c:pt>
                <c:pt idx="21">
                  <c:v>5350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79-4943-8257-4954219BAA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989984"/>
        <c:axId val="1601586976"/>
      </c:lineChart>
      <c:dateAx>
        <c:axId val="16019899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586976"/>
        <c:crosses val="autoZero"/>
        <c:auto val="1"/>
        <c:lblOffset val="100"/>
        <c:baseTimeUnit val="days"/>
      </c:dateAx>
      <c:valAx>
        <c:axId val="160158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98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'P24'!$F$3</c:f>
              <c:strCache>
                <c:ptCount val="1"/>
                <c:pt idx="0">
                  <c:v>% de Deuda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'P24'!$B$4:$B$26</c:f>
              <c:numCache>
                <c:formatCode>m/d/yy</c:formatCode>
                <c:ptCount val="23"/>
                <c:pt idx="0">
                  <c:v>45579</c:v>
                </c:pt>
                <c:pt idx="1">
                  <c:v>45586</c:v>
                </c:pt>
                <c:pt idx="2">
                  <c:v>45593</c:v>
                </c:pt>
                <c:pt idx="3">
                  <c:v>45600</c:v>
                </c:pt>
                <c:pt idx="4">
                  <c:v>45607</c:v>
                </c:pt>
                <c:pt idx="5">
                  <c:v>45614</c:v>
                </c:pt>
                <c:pt idx="6">
                  <c:v>45621</c:v>
                </c:pt>
                <c:pt idx="7">
                  <c:v>45628</c:v>
                </c:pt>
                <c:pt idx="8">
                  <c:v>45635</c:v>
                </c:pt>
                <c:pt idx="9">
                  <c:v>45642</c:v>
                </c:pt>
                <c:pt idx="10">
                  <c:v>45649</c:v>
                </c:pt>
                <c:pt idx="11">
                  <c:v>45656</c:v>
                </c:pt>
                <c:pt idx="12">
                  <c:v>45663</c:v>
                </c:pt>
                <c:pt idx="13">
                  <c:v>45670</c:v>
                </c:pt>
                <c:pt idx="14">
                  <c:v>45677</c:v>
                </c:pt>
                <c:pt idx="15">
                  <c:v>45684</c:v>
                </c:pt>
                <c:pt idx="16">
                  <c:v>45691</c:v>
                </c:pt>
                <c:pt idx="17">
                  <c:v>45698</c:v>
                </c:pt>
                <c:pt idx="18">
                  <c:v>45705</c:v>
                </c:pt>
                <c:pt idx="19">
                  <c:v>45712</c:v>
                </c:pt>
                <c:pt idx="20">
                  <c:v>45719</c:v>
                </c:pt>
                <c:pt idx="21">
                  <c:v>45726</c:v>
                </c:pt>
                <c:pt idx="22">
                  <c:v>45733</c:v>
                </c:pt>
              </c:numCache>
            </c:numRef>
          </c:cat>
          <c:val>
            <c:numRef>
              <c:f>'P24'!$F$4:$F$26</c:f>
              <c:numCache>
                <c:formatCode>0.00%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1.4598540145985401E-2</c:v>
                </c:pt>
                <c:pt idx="10">
                  <c:v>3.6290322580645164E-2</c:v>
                </c:pt>
                <c:pt idx="11">
                  <c:v>4.1060735671514116E-2</c:v>
                </c:pt>
                <c:pt idx="12">
                  <c:v>3.9881831610044313E-2</c:v>
                </c:pt>
                <c:pt idx="13">
                  <c:v>3.2446463335496431E-2</c:v>
                </c:pt>
                <c:pt idx="14">
                  <c:v>6.4739884393063579E-2</c:v>
                </c:pt>
                <c:pt idx="15">
                  <c:v>8.020833333333334E-2</c:v>
                </c:pt>
                <c:pt idx="16">
                  <c:v>8.2224334600760451E-2</c:v>
                </c:pt>
                <c:pt idx="17">
                  <c:v>9.0509666080843584E-2</c:v>
                </c:pt>
                <c:pt idx="18">
                  <c:v>0.10988562091503268</c:v>
                </c:pt>
                <c:pt idx="19">
                  <c:v>0.12280030604437643</c:v>
                </c:pt>
                <c:pt idx="20">
                  <c:v>0.13258670520231214</c:v>
                </c:pt>
                <c:pt idx="21">
                  <c:v>0.13457556935817805</c:v>
                </c:pt>
                <c:pt idx="22">
                  <c:v>0.16511318242343542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F8-2541-A9A7-559548EE9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944288"/>
        <c:axId val="1869815472"/>
      </c:lineChart>
      <c:dateAx>
        <c:axId val="18509442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15472"/>
        <c:crosses val="autoZero"/>
        <c:auto val="1"/>
        <c:lblOffset val="100"/>
        <c:baseTimeUnit val="days"/>
      </c:dateAx>
      <c:valAx>
        <c:axId val="18698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4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</a:t>
            </a:r>
            <a:r>
              <a:rPr lang="en-US" baseline="0"/>
              <a:t> Vs Cobranza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'P25'!$C$3</c:f>
              <c:strCache>
                <c:ptCount val="1"/>
                <c:pt idx="0">
                  <c:v>Meta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'P25'!$B$4:$B$26</c:f>
              <c:numCache>
                <c:formatCode>m/d/yy</c:formatCode>
                <c:ptCount val="23"/>
                <c:pt idx="0">
                  <c:v>45579</c:v>
                </c:pt>
                <c:pt idx="1">
                  <c:v>45586</c:v>
                </c:pt>
                <c:pt idx="2">
                  <c:v>45593</c:v>
                </c:pt>
                <c:pt idx="3">
                  <c:v>45600</c:v>
                </c:pt>
                <c:pt idx="4">
                  <c:v>45607</c:v>
                </c:pt>
                <c:pt idx="5">
                  <c:v>45614</c:v>
                </c:pt>
                <c:pt idx="6">
                  <c:v>45621</c:v>
                </c:pt>
                <c:pt idx="7">
                  <c:v>45628</c:v>
                </c:pt>
                <c:pt idx="8">
                  <c:v>45635</c:v>
                </c:pt>
                <c:pt idx="9">
                  <c:v>45642</c:v>
                </c:pt>
                <c:pt idx="10">
                  <c:v>45649</c:v>
                </c:pt>
                <c:pt idx="11">
                  <c:v>45656</c:v>
                </c:pt>
                <c:pt idx="12">
                  <c:v>45663</c:v>
                </c:pt>
                <c:pt idx="13">
                  <c:v>45670</c:v>
                </c:pt>
                <c:pt idx="14">
                  <c:v>45677</c:v>
                </c:pt>
                <c:pt idx="15">
                  <c:v>45684</c:v>
                </c:pt>
                <c:pt idx="16">
                  <c:v>45691</c:v>
                </c:pt>
                <c:pt idx="17">
                  <c:v>45698</c:v>
                </c:pt>
                <c:pt idx="18">
                  <c:v>45705</c:v>
                </c:pt>
                <c:pt idx="19">
                  <c:v>45712</c:v>
                </c:pt>
                <c:pt idx="20">
                  <c:v>45719</c:v>
                </c:pt>
                <c:pt idx="21">
                  <c:v>45726</c:v>
                </c:pt>
                <c:pt idx="22">
                  <c:v>45733</c:v>
                </c:pt>
              </c:numCache>
            </c:numRef>
          </c:cat>
          <c:val>
            <c:numRef>
              <c:f>'P25'!$C$4:$C$26</c:f>
              <c:numCache>
                <c:formatCode>_("$"* #,##0.00_);_("$"* \(#,##0.00\);_("$"* "-"??_);_(@_)</c:formatCode>
                <c:ptCount val="23"/>
                <c:pt idx="0">
                  <c:v>1500</c:v>
                </c:pt>
                <c:pt idx="1">
                  <c:v>3100</c:v>
                </c:pt>
                <c:pt idx="2">
                  <c:v>3500</c:v>
                </c:pt>
                <c:pt idx="3">
                  <c:v>3800</c:v>
                </c:pt>
                <c:pt idx="4">
                  <c:v>4400</c:v>
                </c:pt>
                <c:pt idx="5">
                  <c:v>4400</c:v>
                </c:pt>
                <c:pt idx="6">
                  <c:v>4700</c:v>
                </c:pt>
                <c:pt idx="7">
                  <c:v>4700</c:v>
                </c:pt>
                <c:pt idx="8">
                  <c:v>5000</c:v>
                </c:pt>
                <c:pt idx="9">
                  <c:v>5600</c:v>
                </c:pt>
                <c:pt idx="10">
                  <c:v>5600</c:v>
                </c:pt>
                <c:pt idx="11">
                  <c:v>5400</c:v>
                </c:pt>
                <c:pt idx="12">
                  <c:v>6150</c:v>
                </c:pt>
                <c:pt idx="13">
                  <c:v>6300</c:v>
                </c:pt>
                <c:pt idx="14">
                  <c:v>5900</c:v>
                </c:pt>
                <c:pt idx="15">
                  <c:v>6350</c:v>
                </c:pt>
                <c:pt idx="16">
                  <c:v>6650</c:v>
                </c:pt>
                <c:pt idx="17">
                  <c:v>6050</c:v>
                </c:pt>
                <c:pt idx="18">
                  <c:v>6050</c:v>
                </c:pt>
                <c:pt idx="19">
                  <c:v>6050</c:v>
                </c:pt>
                <c:pt idx="20">
                  <c:v>6700</c:v>
                </c:pt>
                <c:pt idx="21">
                  <c:v>6700</c:v>
                </c:pt>
                <c:pt idx="22">
                  <c:v>6400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B2-834F-A25F-0FFF1A6B986F}"/>
            </c:ext>
          </c:extLst>
        </c:ser>
        <c:ser>
          <c:idx val="2"/>
          <c:order val="1"/>
          <c:tx>
            <c:strRef>
              <c:f>'P25'!$D$3</c:f>
              <c:strCache>
                <c:ptCount val="1"/>
                <c:pt idx="0">
                  <c:v>Cobranza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'P25'!$B$4:$B$26</c:f>
              <c:numCache>
                <c:formatCode>m/d/yy</c:formatCode>
                <c:ptCount val="23"/>
                <c:pt idx="0">
                  <c:v>45579</c:v>
                </c:pt>
                <c:pt idx="1">
                  <c:v>45586</c:v>
                </c:pt>
                <c:pt idx="2">
                  <c:v>45593</c:v>
                </c:pt>
                <c:pt idx="3">
                  <c:v>45600</c:v>
                </c:pt>
                <c:pt idx="4">
                  <c:v>45607</c:v>
                </c:pt>
                <c:pt idx="5">
                  <c:v>45614</c:v>
                </c:pt>
                <c:pt idx="6">
                  <c:v>45621</c:v>
                </c:pt>
                <c:pt idx="7">
                  <c:v>45628</c:v>
                </c:pt>
                <c:pt idx="8">
                  <c:v>45635</c:v>
                </c:pt>
                <c:pt idx="9">
                  <c:v>45642</c:v>
                </c:pt>
                <c:pt idx="10">
                  <c:v>45649</c:v>
                </c:pt>
                <c:pt idx="11">
                  <c:v>45656</c:v>
                </c:pt>
                <c:pt idx="12">
                  <c:v>45663</c:v>
                </c:pt>
                <c:pt idx="13">
                  <c:v>45670</c:v>
                </c:pt>
                <c:pt idx="14">
                  <c:v>45677</c:v>
                </c:pt>
                <c:pt idx="15">
                  <c:v>45684</c:v>
                </c:pt>
                <c:pt idx="16">
                  <c:v>45691</c:v>
                </c:pt>
                <c:pt idx="17">
                  <c:v>45698</c:v>
                </c:pt>
                <c:pt idx="18">
                  <c:v>45705</c:v>
                </c:pt>
                <c:pt idx="19">
                  <c:v>45712</c:v>
                </c:pt>
                <c:pt idx="20">
                  <c:v>45719</c:v>
                </c:pt>
                <c:pt idx="21">
                  <c:v>45726</c:v>
                </c:pt>
                <c:pt idx="22">
                  <c:v>45733</c:v>
                </c:pt>
              </c:numCache>
            </c:numRef>
          </c:cat>
          <c:val>
            <c:numRef>
              <c:f>'P25'!$D$4:$D$26</c:f>
              <c:numCache>
                <c:formatCode>_("$"* #,##0.00_);_("$"* \(#,##0.00\);_("$"* "-"??_);_(@_)</c:formatCode>
                <c:ptCount val="23"/>
                <c:pt idx="0">
                  <c:v>1500</c:v>
                </c:pt>
                <c:pt idx="1">
                  <c:v>2100</c:v>
                </c:pt>
                <c:pt idx="2">
                  <c:v>3500</c:v>
                </c:pt>
                <c:pt idx="3">
                  <c:v>3800</c:v>
                </c:pt>
                <c:pt idx="4">
                  <c:v>4800</c:v>
                </c:pt>
                <c:pt idx="5">
                  <c:v>4100</c:v>
                </c:pt>
                <c:pt idx="6">
                  <c:v>4600</c:v>
                </c:pt>
                <c:pt idx="7">
                  <c:v>4700</c:v>
                </c:pt>
                <c:pt idx="8">
                  <c:v>5000</c:v>
                </c:pt>
                <c:pt idx="9">
                  <c:v>5600</c:v>
                </c:pt>
                <c:pt idx="10">
                  <c:v>5600</c:v>
                </c:pt>
                <c:pt idx="11">
                  <c:v>5400</c:v>
                </c:pt>
                <c:pt idx="12">
                  <c:v>6150</c:v>
                </c:pt>
                <c:pt idx="13">
                  <c:v>6600</c:v>
                </c:pt>
                <c:pt idx="14">
                  <c:v>7300</c:v>
                </c:pt>
                <c:pt idx="15">
                  <c:v>5950</c:v>
                </c:pt>
                <c:pt idx="16">
                  <c:v>6650</c:v>
                </c:pt>
                <c:pt idx="17">
                  <c:v>6350</c:v>
                </c:pt>
                <c:pt idx="18">
                  <c:v>4000</c:v>
                </c:pt>
                <c:pt idx="19">
                  <c:v>5400</c:v>
                </c:pt>
                <c:pt idx="20">
                  <c:v>4950</c:v>
                </c:pt>
                <c:pt idx="21">
                  <c:v>5250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B2-834F-A25F-0FFF1A6B9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989984"/>
        <c:axId val="1601586976"/>
      </c:lineChart>
      <c:dateAx>
        <c:axId val="16019899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586976"/>
        <c:crosses val="autoZero"/>
        <c:auto val="1"/>
        <c:lblOffset val="100"/>
        <c:baseTimeUnit val="days"/>
      </c:dateAx>
      <c:valAx>
        <c:axId val="160158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98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'P25'!$F$3</c:f>
              <c:strCache>
                <c:ptCount val="1"/>
                <c:pt idx="0">
                  <c:v>% de Deuda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'P25'!$B$4:$B$26</c:f>
              <c:numCache>
                <c:formatCode>m/d/yy</c:formatCode>
                <c:ptCount val="23"/>
                <c:pt idx="0">
                  <c:v>45579</c:v>
                </c:pt>
                <c:pt idx="1">
                  <c:v>45586</c:v>
                </c:pt>
                <c:pt idx="2">
                  <c:v>45593</c:v>
                </c:pt>
                <c:pt idx="3">
                  <c:v>45600</c:v>
                </c:pt>
                <c:pt idx="4">
                  <c:v>45607</c:v>
                </c:pt>
                <c:pt idx="5">
                  <c:v>45614</c:v>
                </c:pt>
                <c:pt idx="6">
                  <c:v>45621</c:v>
                </c:pt>
                <c:pt idx="7">
                  <c:v>45628</c:v>
                </c:pt>
                <c:pt idx="8">
                  <c:v>45635</c:v>
                </c:pt>
                <c:pt idx="9">
                  <c:v>45642</c:v>
                </c:pt>
                <c:pt idx="10">
                  <c:v>45649</c:v>
                </c:pt>
                <c:pt idx="11">
                  <c:v>45656</c:v>
                </c:pt>
                <c:pt idx="12">
                  <c:v>45663</c:v>
                </c:pt>
                <c:pt idx="13">
                  <c:v>45670</c:v>
                </c:pt>
                <c:pt idx="14">
                  <c:v>45677</c:v>
                </c:pt>
                <c:pt idx="15">
                  <c:v>45684</c:v>
                </c:pt>
                <c:pt idx="16">
                  <c:v>45691</c:v>
                </c:pt>
                <c:pt idx="17">
                  <c:v>45698</c:v>
                </c:pt>
                <c:pt idx="18">
                  <c:v>45705</c:v>
                </c:pt>
                <c:pt idx="19">
                  <c:v>45712</c:v>
                </c:pt>
                <c:pt idx="20">
                  <c:v>45719</c:v>
                </c:pt>
                <c:pt idx="21">
                  <c:v>45726</c:v>
                </c:pt>
                <c:pt idx="22">
                  <c:v>45733</c:v>
                </c:pt>
              </c:numCache>
            </c:numRef>
          </c:cat>
          <c:val>
            <c:numRef>
              <c:f>'P25'!$F$4:$F$26</c:f>
              <c:numCache>
                <c:formatCode>0.00%</c:formatCode>
                <c:ptCount val="23"/>
                <c:pt idx="0">
                  <c:v>0</c:v>
                </c:pt>
                <c:pt idx="1">
                  <c:v>0.21739130434782608</c:v>
                </c:pt>
                <c:pt idx="2">
                  <c:v>0.12345679012345678</c:v>
                </c:pt>
                <c:pt idx="3">
                  <c:v>8.4033613445378158E-2</c:v>
                </c:pt>
                <c:pt idx="4">
                  <c:v>3.6809815950920248E-2</c:v>
                </c:pt>
                <c:pt idx="5">
                  <c:v>4.3478260869565216E-2</c:v>
                </c:pt>
                <c:pt idx="6">
                  <c:v>3.937007874015748E-2</c:v>
                </c:pt>
                <c:pt idx="7">
                  <c:v>3.3222591362126248E-2</c:v>
                </c:pt>
                <c:pt idx="8">
                  <c:v>2.8490028490028491E-2</c:v>
                </c:pt>
                <c:pt idx="9">
                  <c:v>2.4570024570024569E-2</c:v>
                </c:pt>
                <c:pt idx="10">
                  <c:v>2.159827213822894E-2</c:v>
                </c:pt>
                <c:pt idx="11">
                  <c:v>1.9342359767891684E-2</c:v>
                </c:pt>
                <c:pt idx="12">
                  <c:v>1.728608470181504E-2</c:v>
                </c:pt>
                <c:pt idx="13">
                  <c:v>1.0911925175370226E-2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1.5239096163951655E-2</c:v>
                </c:pt>
                <c:pt idx="19">
                  <c:v>2.0750988142292492E-2</c:v>
                </c:pt>
                <c:pt idx="20">
                  <c:v>3.5681186283595921E-2</c:v>
                </c:pt>
                <c:pt idx="21">
                  <c:v>4.6247818499127402E-2</c:v>
                </c:pt>
                <c:pt idx="22">
                  <c:v>9.6694214876033052E-2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86-C94F-843C-9F2F094F1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944288"/>
        <c:axId val="1869815472"/>
      </c:lineChart>
      <c:dateAx>
        <c:axId val="18509442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15472"/>
        <c:crosses val="autoZero"/>
        <c:auto val="1"/>
        <c:lblOffset val="100"/>
        <c:baseTimeUnit val="days"/>
      </c:dateAx>
      <c:valAx>
        <c:axId val="18698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4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</a:t>
            </a:r>
            <a:r>
              <a:rPr lang="en-US" baseline="0"/>
              <a:t> Vs Cobranza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'P26'!$C$3</c:f>
              <c:strCache>
                <c:ptCount val="1"/>
                <c:pt idx="0">
                  <c:v>Meta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'P26'!$B$4:$B$26</c:f>
              <c:numCache>
                <c:formatCode>m/d/yy</c:formatCode>
                <c:ptCount val="23"/>
                <c:pt idx="0">
                  <c:v>45579</c:v>
                </c:pt>
                <c:pt idx="1">
                  <c:v>45586</c:v>
                </c:pt>
                <c:pt idx="2">
                  <c:v>45593</c:v>
                </c:pt>
                <c:pt idx="3">
                  <c:v>45600</c:v>
                </c:pt>
                <c:pt idx="4">
                  <c:v>45607</c:v>
                </c:pt>
                <c:pt idx="5">
                  <c:v>45614</c:v>
                </c:pt>
                <c:pt idx="6">
                  <c:v>45621</c:v>
                </c:pt>
                <c:pt idx="7">
                  <c:v>45628</c:v>
                </c:pt>
                <c:pt idx="8">
                  <c:v>45635</c:v>
                </c:pt>
                <c:pt idx="9">
                  <c:v>45642</c:v>
                </c:pt>
                <c:pt idx="10">
                  <c:v>45649</c:v>
                </c:pt>
                <c:pt idx="11">
                  <c:v>45656</c:v>
                </c:pt>
                <c:pt idx="12">
                  <c:v>45663</c:v>
                </c:pt>
                <c:pt idx="13">
                  <c:v>45670</c:v>
                </c:pt>
                <c:pt idx="14">
                  <c:v>45677</c:v>
                </c:pt>
                <c:pt idx="15">
                  <c:v>45684</c:v>
                </c:pt>
                <c:pt idx="16">
                  <c:v>45691</c:v>
                </c:pt>
                <c:pt idx="17">
                  <c:v>45698</c:v>
                </c:pt>
                <c:pt idx="18">
                  <c:v>45705</c:v>
                </c:pt>
                <c:pt idx="19">
                  <c:v>45712</c:v>
                </c:pt>
                <c:pt idx="20">
                  <c:v>45719</c:v>
                </c:pt>
                <c:pt idx="21">
                  <c:v>45726</c:v>
                </c:pt>
                <c:pt idx="22">
                  <c:v>45733</c:v>
                </c:pt>
              </c:numCache>
            </c:numRef>
          </c:cat>
          <c:val>
            <c:numRef>
              <c:f>'P26'!$C$4:$C$26</c:f>
              <c:numCache>
                <c:formatCode>_("$"* #,##0.00_);_("$"* \(#,##0.00\);_("$"* "-"??_);_(@_)</c:formatCode>
                <c:ptCount val="23"/>
                <c:pt idx="0">
                  <c:v>600</c:v>
                </c:pt>
                <c:pt idx="1">
                  <c:v>2100</c:v>
                </c:pt>
                <c:pt idx="2">
                  <c:v>2400</c:v>
                </c:pt>
                <c:pt idx="3">
                  <c:v>3300</c:v>
                </c:pt>
                <c:pt idx="4">
                  <c:v>4200</c:v>
                </c:pt>
                <c:pt idx="5">
                  <c:v>4500</c:v>
                </c:pt>
                <c:pt idx="6">
                  <c:v>4800</c:v>
                </c:pt>
                <c:pt idx="7">
                  <c:v>5100</c:v>
                </c:pt>
                <c:pt idx="8">
                  <c:v>5700</c:v>
                </c:pt>
                <c:pt idx="9">
                  <c:v>5700</c:v>
                </c:pt>
                <c:pt idx="10">
                  <c:v>5750</c:v>
                </c:pt>
                <c:pt idx="11">
                  <c:v>6100</c:v>
                </c:pt>
                <c:pt idx="12">
                  <c:v>6550</c:v>
                </c:pt>
                <c:pt idx="13">
                  <c:v>6950</c:v>
                </c:pt>
                <c:pt idx="14">
                  <c:v>7100</c:v>
                </c:pt>
                <c:pt idx="15">
                  <c:v>6500</c:v>
                </c:pt>
                <c:pt idx="16">
                  <c:v>6500</c:v>
                </c:pt>
                <c:pt idx="17">
                  <c:v>6200</c:v>
                </c:pt>
                <c:pt idx="18">
                  <c:v>5900</c:v>
                </c:pt>
                <c:pt idx="19">
                  <c:v>5600</c:v>
                </c:pt>
                <c:pt idx="20">
                  <c:v>5300</c:v>
                </c:pt>
                <c:pt idx="21">
                  <c:v>5000</c:v>
                </c:pt>
                <c:pt idx="22">
                  <c:v>4400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C0-4049-972A-3229D574D650}"/>
            </c:ext>
          </c:extLst>
        </c:ser>
        <c:ser>
          <c:idx val="2"/>
          <c:order val="1"/>
          <c:tx>
            <c:strRef>
              <c:f>'P26'!$D$3</c:f>
              <c:strCache>
                <c:ptCount val="1"/>
                <c:pt idx="0">
                  <c:v>Cobranza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'P26'!$B$4:$B$26</c:f>
              <c:numCache>
                <c:formatCode>m/d/yy</c:formatCode>
                <c:ptCount val="23"/>
                <c:pt idx="0">
                  <c:v>45579</c:v>
                </c:pt>
                <c:pt idx="1">
                  <c:v>45586</c:v>
                </c:pt>
                <c:pt idx="2">
                  <c:v>45593</c:v>
                </c:pt>
                <c:pt idx="3">
                  <c:v>45600</c:v>
                </c:pt>
                <c:pt idx="4">
                  <c:v>45607</c:v>
                </c:pt>
                <c:pt idx="5">
                  <c:v>45614</c:v>
                </c:pt>
                <c:pt idx="6">
                  <c:v>45621</c:v>
                </c:pt>
                <c:pt idx="7">
                  <c:v>45628</c:v>
                </c:pt>
                <c:pt idx="8">
                  <c:v>45635</c:v>
                </c:pt>
                <c:pt idx="9">
                  <c:v>45642</c:v>
                </c:pt>
                <c:pt idx="10">
                  <c:v>45649</c:v>
                </c:pt>
                <c:pt idx="11">
                  <c:v>45656</c:v>
                </c:pt>
                <c:pt idx="12">
                  <c:v>45663</c:v>
                </c:pt>
                <c:pt idx="13">
                  <c:v>45670</c:v>
                </c:pt>
                <c:pt idx="14">
                  <c:v>45677</c:v>
                </c:pt>
                <c:pt idx="15">
                  <c:v>45684</c:v>
                </c:pt>
                <c:pt idx="16">
                  <c:v>45691</c:v>
                </c:pt>
                <c:pt idx="17">
                  <c:v>45698</c:v>
                </c:pt>
                <c:pt idx="18">
                  <c:v>45705</c:v>
                </c:pt>
                <c:pt idx="19">
                  <c:v>45712</c:v>
                </c:pt>
                <c:pt idx="20">
                  <c:v>45719</c:v>
                </c:pt>
                <c:pt idx="21">
                  <c:v>45726</c:v>
                </c:pt>
                <c:pt idx="22">
                  <c:v>45733</c:v>
                </c:pt>
              </c:numCache>
            </c:numRef>
          </c:cat>
          <c:val>
            <c:numRef>
              <c:f>'P26'!$D$4:$D$26</c:f>
              <c:numCache>
                <c:formatCode>_("$"* #,##0.00_);_("$"* \(#,##0.00\);_("$"* "-"??_);_(@_)</c:formatCode>
                <c:ptCount val="23"/>
                <c:pt idx="0">
                  <c:v>600</c:v>
                </c:pt>
                <c:pt idx="1">
                  <c:v>2100</c:v>
                </c:pt>
                <c:pt idx="2">
                  <c:v>2400</c:v>
                </c:pt>
                <c:pt idx="3">
                  <c:v>3300</c:v>
                </c:pt>
                <c:pt idx="4">
                  <c:v>4200</c:v>
                </c:pt>
                <c:pt idx="5">
                  <c:v>4500</c:v>
                </c:pt>
                <c:pt idx="6">
                  <c:v>4800</c:v>
                </c:pt>
                <c:pt idx="7">
                  <c:v>5100</c:v>
                </c:pt>
                <c:pt idx="8">
                  <c:v>5700</c:v>
                </c:pt>
                <c:pt idx="9">
                  <c:v>5700</c:v>
                </c:pt>
                <c:pt idx="10">
                  <c:v>5750</c:v>
                </c:pt>
                <c:pt idx="11">
                  <c:v>6100</c:v>
                </c:pt>
                <c:pt idx="12">
                  <c:v>6500</c:v>
                </c:pt>
                <c:pt idx="13">
                  <c:v>6950</c:v>
                </c:pt>
                <c:pt idx="14">
                  <c:v>0</c:v>
                </c:pt>
                <c:pt idx="15">
                  <c:v>8050</c:v>
                </c:pt>
                <c:pt idx="16">
                  <c:v>3150</c:v>
                </c:pt>
                <c:pt idx="17">
                  <c:v>0</c:v>
                </c:pt>
                <c:pt idx="18">
                  <c:v>2150</c:v>
                </c:pt>
                <c:pt idx="19">
                  <c:v>3300</c:v>
                </c:pt>
                <c:pt idx="20">
                  <c:v>1300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C0-4049-972A-3229D574D6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989984"/>
        <c:axId val="1601586976"/>
      </c:lineChart>
      <c:dateAx>
        <c:axId val="16019899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586976"/>
        <c:crosses val="autoZero"/>
        <c:auto val="1"/>
        <c:lblOffset val="100"/>
        <c:baseTimeUnit val="days"/>
      </c:dateAx>
      <c:valAx>
        <c:axId val="160158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98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'P26'!$F$3</c:f>
              <c:strCache>
                <c:ptCount val="1"/>
                <c:pt idx="0">
                  <c:v>% de Deuda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'P26'!$B$4:$B$26</c:f>
              <c:numCache>
                <c:formatCode>m/d/yy</c:formatCode>
                <c:ptCount val="23"/>
                <c:pt idx="0">
                  <c:v>45579</c:v>
                </c:pt>
                <c:pt idx="1">
                  <c:v>45586</c:v>
                </c:pt>
                <c:pt idx="2">
                  <c:v>45593</c:v>
                </c:pt>
                <c:pt idx="3">
                  <c:v>45600</c:v>
                </c:pt>
                <c:pt idx="4">
                  <c:v>45607</c:v>
                </c:pt>
                <c:pt idx="5">
                  <c:v>45614</c:v>
                </c:pt>
                <c:pt idx="6">
                  <c:v>45621</c:v>
                </c:pt>
                <c:pt idx="7">
                  <c:v>45628</c:v>
                </c:pt>
                <c:pt idx="8">
                  <c:v>45635</c:v>
                </c:pt>
                <c:pt idx="9">
                  <c:v>45642</c:v>
                </c:pt>
                <c:pt idx="10">
                  <c:v>45649</c:v>
                </c:pt>
                <c:pt idx="11">
                  <c:v>45656</c:v>
                </c:pt>
                <c:pt idx="12">
                  <c:v>45663</c:v>
                </c:pt>
                <c:pt idx="13">
                  <c:v>45670</c:v>
                </c:pt>
                <c:pt idx="14">
                  <c:v>45677</c:v>
                </c:pt>
                <c:pt idx="15">
                  <c:v>45684</c:v>
                </c:pt>
                <c:pt idx="16">
                  <c:v>45691</c:v>
                </c:pt>
                <c:pt idx="17">
                  <c:v>45698</c:v>
                </c:pt>
                <c:pt idx="18">
                  <c:v>45705</c:v>
                </c:pt>
                <c:pt idx="19">
                  <c:v>45712</c:v>
                </c:pt>
                <c:pt idx="20">
                  <c:v>45719</c:v>
                </c:pt>
                <c:pt idx="21">
                  <c:v>45726</c:v>
                </c:pt>
                <c:pt idx="22">
                  <c:v>45733</c:v>
                </c:pt>
              </c:numCache>
            </c:numRef>
          </c:cat>
          <c:val>
            <c:numRef>
              <c:f>'P26'!$F$4:$F$26</c:f>
              <c:numCache>
                <c:formatCode>0.00%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8.8028169014084509E-4</c:v>
                </c:pt>
                <c:pt idx="13">
                  <c:v>7.8431372549019605E-4</c:v>
                </c:pt>
                <c:pt idx="14">
                  <c:v>0.10091743119266056</c:v>
                </c:pt>
                <c:pt idx="15">
                  <c:v>7.2398190045248875E-2</c:v>
                </c:pt>
                <c:pt idx="16">
                  <c:v>0.10673822301729279</c:v>
                </c:pt>
                <c:pt idx="17">
                  <c:v>0.1682398667406996</c:v>
                </c:pt>
                <c:pt idx="18">
                  <c:v>0.1969775924960917</c:v>
                </c:pt>
                <c:pt idx="19">
                  <c:v>0.2087641555883801</c:v>
                </c:pt>
                <c:pt idx="20">
                  <c:v>0.2358446420215255</c:v>
                </c:pt>
                <c:pt idx="21">
                  <c:v>0.27000447027268665</c:v>
                </c:pt>
                <c:pt idx="22">
                  <c:v>0.29763440860215051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A2-8C48-BAB8-40E0B94A4D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944288"/>
        <c:axId val="1869815472"/>
      </c:lineChart>
      <c:dateAx>
        <c:axId val="18509442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15472"/>
        <c:crosses val="autoZero"/>
        <c:auto val="1"/>
        <c:lblOffset val="100"/>
        <c:baseTimeUnit val="days"/>
      </c:dateAx>
      <c:valAx>
        <c:axId val="18698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4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</a:t>
            </a:r>
            <a:r>
              <a:rPr lang="en-US" baseline="0"/>
              <a:t> Vs Cobranza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'P27'!$C$3</c:f>
              <c:strCache>
                <c:ptCount val="1"/>
                <c:pt idx="0">
                  <c:v>Meta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'P27'!$B$4:$B$25</c:f>
              <c:numCache>
                <c:formatCode>m/d/yy</c:formatCode>
                <c:ptCount val="22"/>
                <c:pt idx="0">
                  <c:v>45586</c:v>
                </c:pt>
                <c:pt idx="1">
                  <c:v>45593</c:v>
                </c:pt>
                <c:pt idx="2">
                  <c:v>45600</c:v>
                </c:pt>
                <c:pt idx="3">
                  <c:v>45607</c:v>
                </c:pt>
                <c:pt idx="4">
                  <c:v>45614</c:v>
                </c:pt>
                <c:pt idx="5">
                  <c:v>45621</c:v>
                </c:pt>
                <c:pt idx="6">
                  <c:v>45628</c:v>
                </c:pt>
                <c:pt idx="7">
                  <c:v>45635</c:v>
                </c:pt>
                <c:pt idx="8">
                  <c:v>45642</c:v>
                </c:pt>
                <c:pt idx="9">
                  <c:v>45649</c:v>
                </c:pt>
                <c:pt idx="10">
                  <c:v>45656</c:v>
                </c:pt>
                <c:pt idx="11">
                  <c:v>45663</c:v>
                </c:pt>
                <c:pt idx="12">
                  <c:v>45670</c:v>
                </c:pt>
                <c:pt idx="13">
                  <c:v>45677</c:v>
                </c:pt>
                <c:pt idx="14">
                  <c:v>45684</c:v>
                </c:pt>
                <c:pt idx="15">
                  <c:v>45691</c:v>
                </c:pt>
                <c:pt idx="16">
                  <c:v>45698</c:v>
                </c:pt>
                <c:pt idx="17">
                  <c:v>45705</c:v>
                </c:pt>
                <c:pt idx="18">
                  <c:v>45712</c:v>
                </c:pt>
                <c:pt idx="19">
                  <c:v>45719</c:v>
                </c:pt>
                <c:pt idx="20">
                  <c:v>45726</c:v>
                </c:pt>
                <c:pt idx="21">
                  <c:v>45733</c:v>
                </c:pt>
              </c:numCache>
            </c:numRef>
          </c:cat>
          <c:val>
            <c:numRef>
              <c:f>'P27'!$C$4:$C$25</c:f>
              <c:numCache>
                <c:formatCode>_("$"* #,##0.00_);_("$"* \(#,##0.00\);_("$"* "-"??_);_(@_)</c:formatCode>
                <c:ptCount val="22"/>
                <c:pt idx="0">
                  <c:v>1200</c:v>
                </c:pt>
                <c:pt idx="1">
                  <c:v>2400</c:v>
                </c:pt>
                <c:pt idx="2">
                  <c:v>3600</c:v>
                </c:pt>
                <c:pt idx="3">
                  <c:v>3900</c:v>
                </c:pt>
                <c:pt idx="4">
                  <c:v>5100</c:v>
                </c:pt>
                <c:pt idx="5">
                  <c:v>5400</c:v>
                </c:pt>
                <c:pt idx="6">
                  <c:v>6900</c:v>
                </c:pt>
                <c:pt idx="7">
                  <c:v>6900</c:v>
                </c:pt>
                <c:pt idx="8">
                  <c:v>6900</c:v>
                </c:pt>
                <c:pt idx="9">
                  <c:v>6900</c:v>
                </c:pt>
                <c:pt idx="10">
                  <c:v>6900</c:v>
                </c:pt>
                <c:pt idx="11">
                  <c:v>6900</c:v>
                </c:pt>
                <c:pt idx="12">
                  <c:v>6900</c:v>
                </c:pt>
                <c:pt idx="13">
                  <c:v>6900</c:v>
                </c:pt>
                <c:pt idx="14">
                  <c:v>5400</c:v>
                </c:pt>
                <c:pt idx="15">
                  <c:v>4500</c:v>
                </c:pt>
                <c:pt idx="16">
                  <c:v>3300</c:v>
                </c:pt>
                <c:pt idx="17">
                  <c:v>3000</c:v>
                </c:pt>
                <c:pt idx="18">
                  <c:v>1800</c:v>
                </c:pt>
                <c:pt idx="19">
                  <c:v>1500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42-8443-9A8E-10047FE957DC}"/>
            </c:ext>
          </c:extLst>
        </c:ser>
        <c:ser>
          <c:idx val="2"/>
          <c:order val="1"/>
          <c:tx>
            <c:strRef>
              <c:f>'P27'!$D$3</c:f>
              <c:strCache>
                <c:ptCount val="1"/>
                <c:pt idx="0">
                  <c:v>Cobranza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'P27'!$B$4:$B$25</c:f>
              <c:numCache>
                <c:formatCode>m/d/yy</c:formatCode>
                <c:ptCount val="22"/>
                <c:pt idx="0">
                  <c:v>45586</c:v>
                </c:pt>
                <c:pt idx="1">
                  <c:v>45593</c:v>
                </c:pt>
                <c:pt idx="2">
                  <c:v>45600</c:v>
                </c:pt>
                <c:pt idx="3">
                  <c:v>45607</c:v>
                </c:pt>
                <c:pt idx="4">
                  <c:v>45614</c:v>
                </c:pt>
                <c:pt idx="5">
                  <c:v>45621</c:v>
                </c:pt>
                <c:pt idx="6">
                  <c:v>45628</c:v>
                </c:pt>
                <c:pt idx="7">
                  <c:v>45635</c:v>
                </c:pt>
                <c:pt idx="8">
                  <c:v>45642</c:v>
                </c:pt>
                <c:pt idx="9">
                  <c:v>45649</c:v>
                </c:pt>
                <c:pt idx="10">
                  <c:v>45656</c:v>
                </c:pt>
                <c:pt idx="11">
                  <c:v>45663</c:v>
                </c:pt>
                <c:pt idx="12">
                  <c:v>45670</c:v>
                </c:pt>
                <c:pt idx="13">
                  <c:v>45677</c:v>
                </c:pt>
                <c:pt idx="14">
                  <c:v>45684</c:v>
                </c:pt>
                <c:pt idx="15">
                  <c:v>45691</c:v>
                </c:pt>
                <c:pt idx="16">
                  <c:v>45698</c:v>
                </c:pt>
                <c:pt idx="17">
                  <c:v>45705</c:v>
                </c:pt>
                <c:pt idx="18">
                  <c:v>45712</c:v>
                </c:pt>
                <c:pt idx="19">
                  <c:v>45719</c:v>
                </c:pt>
                <c:pt idx="20">
                  <c:v>45726</c:v>
                </c:pt>
                <c:pt idx="21">
                  <c:v>45733</c:v>
                </c:pt>
              </c:numCache>
            </c:numRef>
          </c:cat>
          <c:val>
            <c:numRef>
              <c:f>'P27'!$D$4:$D$25</c:f>
              <c:numCache>
                <c:formatCode>_("$"* #,##0.00_);_("$"* \(#,##0.00\);_("$"* "-"??_);_(@_)</c:formatCode>
                <c:ptCount val="22"/>
                <c:pt idx="0">
                  <c:v>1200</c:v>
                </c:pt>
                <c:pt idx="1">
                  <c:v>2400</c:v>
                </c:pt>
                <c:pt idx="2">
                  <c:v>3900</c:v>
                </c:pt>
                <c:pt idx="3">
                  <c:v>3600</c:v>
                </c:pt>
                <c:pt idx="4">
                  <c:v>4800</c:v>
                </c:pt>
                <c:pt idx="5">
                  <c:v>5400</c:v>
                </c:pt>
                <c:pt idx="6">
                  <c:v>5400</c:v>
                </c:pt>
                <c:pt idx="7">
                  <c:v>5100</c:v>
                </c:pt>
                <c:pt idx="8">
                  <c:v>5400</c:v>
                </c:pt>
                <c:pt idx="9">
                  <c:v>3300</c:v>
                </c:pt>
                <c:pt idx="10">
                  <c:v>3000</c:v>
                </c:pt>
                <c:pt idx="11">
                  <c:v>2800</c:v>
                </c:pt>
                <c:pt idx="12">
                  <c:v>0</c:v>
                </c:pt>
                <c:pt idx="13">
                  <c:v>0</c:v>
                </c:pt>
                <c:pt idx="14">
                  <c:v>3000</c:v>
                </c:pt>
                <c:pt idx="15">
                  <c:v>0</c:v>
                </c:pt>
                <c:pt idx="16">
                  <c:v>900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42-8443-9A8E-10047FE957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989984"/>
        <c:axId val="1601586976"/>
      </c:lineChart>
      <c:dateAx>
        <c:axId val="16019899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586976"/>
        <c:crosses val="autoZero"/>
        <c:auto val="1"/>
        <c:lblOffset val="100"/>
        <c:baseTimeUnit val="days"/>
      </c:dateAx>
      <c:valAx>
        <c:axId val="160158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98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'P27'!$F$3</c:f>
              <c:strCache>
                <c:ptCount val="1"/>
                <c:pt idx="0">
                  <c:v>% de Deuda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'P27'!$B$4:$B$25</c:f>
              <c:numCache>
                <c:formatCode>m/d/yy</c:formatCode>
                <c:ptCount val="22"/>
                <c:pt idx="0">
                  <c:v>45586</c:v>
                </c:pt>
                <c:pt idx="1">
                  <c:v>45593</c:v>
                </c:pt>
                <c:pt idx="2">
                  <c:v>45600</c:v>
                </c:pt>
                <c:pt idx="3">
                  <c:v>45607</c:v>
                </c:pt>
                <c:pt idx="4">
                  <c:v>45614</c:v>
                </c:pt>
                <c:pt idx="5">
                  <c:v>45621</c:v>
                </c:pt>
                <c:pt idx="6">
                  <c:v>45628</c:v>
                </c:pt>
                <c:pt idx="7">
                  <c:v>45635</c:v>
                </c:pt>
                <c:pt idx="8">
                  <c:v>45642</c:v>
                </c:pt>
                <c:pt idx="9">
                  <c:v>45649</c:v>
                </c:pt>
                <c:pt idx="10">
                  <c:v>45656</c:v>
                </c:pt>
                <c:pt idx="11">
                  <c:v>45663</c:v>
                </c:pt>
                <c:pt idx="12">
                  <c:v>45670</c:v>
                </c:pt>
                <c:pt idx="13">
                  <c:v>45677</c:v>
                </c:pt>
                <c:pt idx="14">
                  <c:v>45684</c:v>
                </c:pt>
                <c:pt idx="15">
                  <c:v>45691</c:v>
                </c:pt>
                <c:pt idx="16">
                  <c:v>45698</c:v>
                </c:pt>
                <c:pt idx="17">
                  <c:v>45705</c:v>
                </c:pt>
                <c:pt idx="18">
                  <c:v>45712</c:v>
                </c:pt>
                <c:pt idx="19">
                  <c:v>45719</c:v>
                </c:pt>
                <c:pt idx="20">
                  <c:v>45726</c:v>
                </c:pt>
                <c:pt idx="21">
                  <c:v>45733</c:v>
                </c:pt>
              </c:numCache>
            </c:numRef>
          </c:cat>
          <c:val>
            <c:numRef>
              <c:f>'P27'!$F$4:$F$25</c:f>
              <c:numCache>
                <c:formatCode>0.00%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1.8518518518518517E-2</c:v>
                </c:pt>
                <c:pt idx="5">
                  <c:v>1.3888888888888888E-2</c:v>
                </c:pt>
                <c:pt idx="6">
                  <c:v>6.3157894736842107E-2</c:v>
                </c:pt>
                <c:pt idx="7">
                  <c:v>0.10169491525423729</c:v>
                </c:pt>
                <c:pt idx="8">
                  <c:v>0.12056737588652482</c:v>
                </c:pt>
                <c:pt idx="9">
                  <c:v>0.17682926829268292</c:v>
                </c:pt>
                <c:pt idx="10">
                  <c:v>0.22459893048128343</c:v>
                </c:pt>
                <c:pt idx="11">
                  <c:v>0.26507936507936508</c:v>
                </c:pt>
                <c:pt idx="12">
                  <c:v>0.33762517882689558</c:v>
                </c:pt>
                <c:pt idx="13">
                  <c:v>0.39713541666666669</c:v>
                </c:pt>
                <c:pt idx="14">
                  <c:v>0.4002433090024331</c:v>
                </c:pt>
                <c:pt idx="15">
                  <c:v>0.43137254901960786</c:v>
                </c:pt>
                <c:pt idx="16">
                  <c:v>0.44222222222222224</c:v>
                </c:pt>
                <c:pt idx="17">
                  <c:v>0.46021505376344085</c:v>
                </c:pt>
                <c:pt idx="18">
                  <c:v>0.47046413502109707</c:v>
                </c:pt>
                <c:pt idx="19">
                  <c:v>0.47871235721703009</c:v>
                </c:pt>
                <c:pt idx="20">
                  <c:v>0.47871235721703009</c:v>
                </c:pt>
                <c:pt idx="21">
                  <c:v>0.47871235721703009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EA-6F46-A29E-492D66AECC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944288"/>
        <c:axId val="1869815472"/>
      </c:lineChart>
      <c:dateAx>
        <c:axId val="18509442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15472"/>
        <c:crosses val="autoZero"/>
        <c:auto val="1"/>
        <c:lblOffset val="100"/>
        <c:baseTimeUnit val="days"/>
      </c:dateAx>
      <c:valAx>
        <c:axId val="18698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4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</a:t>
            </a:r>
            <a:r>
              <a:rPr lang="en-US" baseline="0"/>
              <a:t> Vs Cobranza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'P28'!$C$3</c:f>
              <c:strCache>
                <c:ptCount val="1"/>
                <c:pt idx="0">
                  <c:v>Meta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'P28'!$B$4:$B$25</c:f>
              <c:numCache>
                <c:formatCode>m/d/yy</c:formatCode>
                <c:ptCount val="22"/>
                <c:pt idx="0">
                  <c:v>45586</c:v>
                </c:pt>
                <c:pt idx="1">
                  <c:v>45593</c:v>
                </c:pt>
                <c:pt idx="2">
                  <c:v>45600</c:v>
                </c:pt>
                <c:pt idx="3">
                  <c:v>45607</c:v>
                </c:pt>
                <c:pt idx="4">
                  <c:v>45614</c:v>
                </c:pt>
                <c:pt idx="5">
                  <c:v>45621</c:v>
                </c:pt>
                <c:pt idx="6">
                  <c:v>45628</c:v>
                </c:pt>
                <c:pt idx="7">
                  <c:v>45635</c:v>
                </c:pt>
                <c:pt idx="8">
                  <c:v>45642</c:v>
                </c:pt>
                <c:pt idx="9">
                  <c:v>45649</c:v>
                </c:pt>
                <c:pt idx="10">
                  <c:v>45656</c:v>
                </c:pt>
                <c:pt idx="11">
                  <c:v>45663</c:v>
                </c:pt>
                <c:pt idx="12">
                  <c:v>45670</c:v>
                </c:pt>
                <c:pt idx="13">
                  <c:v>45677</c:v>
                </c:pt>
                <c:pt idx="14">
                  <c:v>45684</c:v>
                </c:pt>
                <c:pt idx="15">
                  <c:v>45691</c:v>
                </c:pt>
                <c:pt idx="16">
                  <c:v>45698</c:v>
                </c:pt>
                <c:pt idx="17">
                  <c:v>45705</c:v>
                </c:pt>
                <c:pt idx="18">
                  <c:v>45712</c:v>
                </c:pt>
                <c:pt idx="19">
                  <c:v>45719</c:v>
                </c:pt>
                <c:pt idx="20">
                  <c:v>45726</c:v>
                </c:pt>
                <c:pt idx="21">
                  <c:v>45733</c:v>
                </c:pt>
              </c:numCache>
            </c:numRef>
          </c:cat>
          <c:val>
            <c:numRef>
              <c:f>'P28'!$C$4:$C$25</c:f>
              <c:numCache>
                <c:formatCode>_("$"* #,##0.00_);_("$"* \(#,##0.00\);_("$"* "-"??_);_(@_)</c:formatCode>
                <c:ptCount val="22"/>
                <c:pt idx="0">
                  <c:v>250</c:v>
                </c:pt>
                <c:pt idx="1">
                  <c:v>250</c:v>
                </c:pt>
                <c:pt idx="2">
                  <c:v>550</c:v>
                </c:pt>
                <c:pt idx="3">
                  <c:v>1450</c:v>
                </c:pt>
                <c:pt idx="4">
                  <c:v>1450</c:v>
                </c:pt>
                <c:pt idx="5">
                  <c:v>1450</c:v>
                </c:pt>
                <c:pt idx="6">
                  <c:v>2500</c:v>
                </c:pt>
                <c:pt idx="7">
                  <c:v>3400</c:v>
                </c:pt>
                <c:pt idx="8">
                  <c:v>3400</c:v>
                </c:pt>
                <c:pt idx="9">
                  <c:v>3800</c:v>
                </c:pt>
                <c:pt idx="10">
                  <c:v>3800</c:v>
                </c:pt>
                <c:pt idx="11">
                  <c:v>3800</c:v>
                </c:pt>
                <c:pt idx="12">
                  <c:v>3800</c:v>
                </c:pt>
                <c:pt idx="13">
                  <c:v>3850</c:v>
                </c:pt>
                <c:pt idx="14">
                  <c:v>3850</c:v>
                </c:pt>
                <c:pt idx="15">
                  <c:v>4000</c:v>
                </c:pt>
                <c:pt idx="16">
                  <c:v>3750</c:v>
                </c:pt>
                <c:pt idx="17">
                  <c:v>4400</c:v>
                </c:pt>
                <c:pt idx="18">
                  <c:v>4400</c:v>
                </c:pt>
                <c:pt idx="19">
                  <c:v>4150</c:v>
                </c:pt>
                <c:pt idx="20">
                  <c:v>5100</c:v>
                </c:pt>
                <c:pt idx="21">
                  <c:v>4800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30-9C45-8170-C87A8D583819}"/>
            </c:ext>
          </c:extLst>
        </c:ser>
        <c:ser>
          <c:idx val="2"/>
          <c:order val="1"/>
          <c:tx>
            <c:strRef>
              <c:f>'P28'!$D$3</c:f>
              <c:strCache>
                <c:ptCount val="1"/>
                <c:pt idx="0">
                  <c:v>Cobranza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'P28'!$B$4:$B$25</c:f>
              <c:numCache>
                <c:formatCode>m/d/yy</c:formatCode>
                <c:ptCount val="22"/>
                <c:pt idx="0">
                  <c:v>45586</c:v>
                </c:pt>
                <c:pt idx="1">
                  <c:v>45593</c:v>
                </c:pt>
                <c:pt idx="2">
                  <c:v>45600</c:v>
                </c:pt>
                <c:pt idx="3">
                  <c:v>45607</c:v>
                </c:pt>
                <c:pt idx="4">
                  <c:v>45614</c:v>
                </c:pt>
                <c:pt idx="5">
                  <c:v>45621</c:v>
                </c:pt>
                <c:pt idx="6">
                  <c:v>45628</c:v>
                </c:pt>
                <c:pt idx="7">
                  <c:v>45635</c:v>
                </c:pt>
                <c:pt idx="8">
                  <c:v>45642</c:v>
                </c:pt>
                <c:pt idx="9">
                  <c:v>45649</c:v>
                </c:pt>
                <c:pt idx="10">
                  <c:v>45656</c:v>
                </c:pt>
                <c:pt idx="11">
                  <c:v>45663</c:v>
                </c:pt>
                <c:pt idx="12">
                  <c:v>45670</c:v>
                </c:pt>
                <c:pt idx="13">
                  <c:v>45677</c:v>
                </c:pt>
                <c:pt idx="14">
                  <c:v>45684</c:v>
                </c:pt>
                <c:pt idx="15">
                  <c:v>45691</c:v>
                </c:pt>
                <c:pt idx="16">
                  <c:v>45698</c:v>
                </c:pt>
                <c:pt idx="17">
                  <c:v>45705</c:v>
                </c:pt>
                <c:pt idx="18">
                  <c:v>45712</c:v>
                </c:pt>
                <c:pt idx="19">
                  <c:v>45719</c:v>
                </c:pt>
                <c:pt idx="20">
                  <c:v>45726</c:v>
                </c:pt>
                <c:pt idx="21">
                  <c:v>45733</c:v>
                </c:pt>
              </c:numCache>
            </c:numRef>
          </c:cat>
          <c:val>
            <c:numRef>
              <c:f>'P28'!$D$4:$D$25</c:f>
              <c:numCache>
                <c:formatCode>_("$"* #,##0.00_);_("$"* \(#,##0.00\);_("$"* "-"??_);_(@_)</c:formatCode>
                <c:ptCount val="22"/>
                <c:pt idx="0">
                  <c:v>250</c:v>
                </c:pt>
                <c:pt idx="1">
                  <c:v>250</c:v>
                </c:pt>
                <c:pt idx="2">
                  <c:v>550</c:v>
                </c:pt>
                <c:pt idx="3">
                  <c:v>1450</c:v>
                </c:pt>
                <c:pt idx="4">
                  <c:v>1450</c:v>
                </c:pt>
                <c:pt idx="5">
                  <c:v>1450</c:v>
                </c:pt>
                <c:pt idx="6">
                  <c:v>2800</c:v>
                </c:pt>
                <c:pt idx="7">
                  <c:v>3100</c:v>
                </c:pt>
                <c:pt idx="8">
                  <c:v>4550</c:v>
                </c:pt>
                <c:pt idx="9">
                  <c:v>3800</c:v>
                </c:pt>
                <c:pt idx="10">
                  <c:v>3800</c:v>
                </c:pt>
                <c:pt idx="11">
                  <c:v>2850</c:v>
                </c:pt>
                <c:pt idx="12">
                  <c:v>3800</c:v>
                </c:pt>
                <c:pt idx="13">
                  <c:v>3850</c:v>
                </c:pt>
                <c:pt idx="14">
                  <c:v>4300</c:v>
                </c:pt>
                <c:pt idx="15">
                  <c:v>4650</c:v>
                </c:pt>
                <c:pt idx="16">
                  <c:v>4300</c:v>
                </c:pt>
                <c:pt idx="17">
                  <c:v>4300</c:v>
                </c:pt>
                <c:pt idx="18">
                  <c:v>4100</c:v>
                </c:pt>
                <c:pt idx="19">
                  <c:v>5150</c:v>
                </c:pt>
                <c:pt idx="20">
                  <c:v>4450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30-9C45-8170-C87A8D583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989984"/>
        <c:axId val="1601586976"/>
      </c:lineChart>
      <c:dateAx>
        <c:axId val="16019899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586976"/>
        <c:crosses val="autoZero"/>
        <c:auto val="1"/>
        <c:lblOffset val="100"/>
        <c:baseTimeUnit val="days"/>
      </c:dateAx>
      <c:valAx>
        <c:axId val="160158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98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'P28'!$F$3</c:f>
              <c:strCache>
                <c:ptCount val="1"/>
                <c:pt idx="0">
                  <c:v>% de Deuda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'P28'!$B$4:$B$25</c:f>
              <c:numCache>
                <c:formatCode>m/d/yy</c:formatCode>
                <c:ptCount val="22"/>
                <c:pt idx="0">
                  <c:v>45586</c:v>
                </c:pt>
                <c:pt idx="1">
                  <c:v>45593</c:v>
                </c:pt>
                <c:pt idx="2">
                  <c:v>45600</c:v>
                </c:pt>
                <c:pt idx="3">
                  <c:v>45607</c:v>
                </c:pt>
                <c:pt idx="4">
                  <c:v>45614</c:v>
                </c:pt>
                <c:pt idx="5">
                  <c:v>45621</c:v>
                </c:pt>
                <c:pt idx="6">
                  <c:v>45628</c:v>
                </c:pt>
                <c:pt idx="7">
                  <c:v>45635</c:v>
                </c:pt>
                <c:pt idx="8">
                  <c:v>45642</c:v>
                </c:pt>
                <c:pt idx="9">
                  <c:v>45649</c:v>
                </c:pt>
                <c:pt idx="10">
                  <c:v>45656</c:v>
                </c:pt>
                <c:pt idx="11">
                  <c:v>45663</c:v>
                </c:pt>
                <c:pt idx="12">
                  <c:v>45670</c:v>
                </c:pt>
                <c:pt idx="13">
                  <c:v>45677</c:v>
                </c:pt>
                <c:pt idx="14">
                  <c:v>45684</c:v>
                </c:pt>
                <c:pt idx="15">
                  <c:v>45691</c:v>
                </c:pt>
                <c:pt idx="16">
                  <c:v>45698</c:v>
                </c:pt>
                <c:pt idx="17">
                  <c:v>45705</c:v>
                </c:pt>
                <c:pt idx="18">
                  <c:v>45712</c:v>
                </c:pt>
                <c:pt idx="19">
                  <c:v>45719</c:v>
                </c:pt>
                <c:pt idx="20">
                  <c:v>45726</c:v>
                </c:pt>
                <c:pt idx="21">
                  <c:v>45733</c:v>
                </c:pt>
              </c:numCache>
            </c:numRef>
          </c:cat>
          <c:val>
            <c:numRef>
              <c:f>'P28'!$F$4:$F$25</c:f>
              <c:numCache>
                <c:formatCode>0.00%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4.398826979472141E-2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E2-0640-ADC0-821C8A124C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944288"/>
        <c:axId val="1869815472"/>
      </c:lineChart>
      <c:dateAx>
        <c:axId val="18509442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15472"/>
        <c:crosses val="autoZero"/>
        <c:auto val="1"/>
        <c:lblOffset val="100"/>
        <c:baseTimeUnit val="days"/>
      </c:dateAx>
      <c:valAx>
        <c:axId val="18698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4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</a:t>
            </a:r>
            <a:r>
              <a:rPr lang="en-US" baseline="0"/>
              <a:t> Vs Cobranza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'P29'!$C$3</c:f>
              <c:strCache>
                <c:ptCount val="1"/>
                <c:pt idx="0">
                  <c:v>Meta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'P29'!$B$4:$B$25</c:f>
              <c:numCache>
                <c:formatCode>m/d/yy</c:formatCode>
                <c:ptCount val="22"/>
                <c:pt idx="0">
                  <c:v>45586</c:v>
                </c:pt>
                <c:pt idx="1">
                  <c:v>45593</c:v>
                </c:pt>
                <c:pt idx="2">
                  <c:v>45600</c:v>
                </c:pt>
                <c:pt idx="3">
                  <c:v>45607</c:v>
                </c:pt>
                <c:pt idx="4">
                  <c:v>45614</c:v>
                </c:pt>
                <c:pt idx="5">
                  <c:v>45621</c:v>
                </c:pt>
                <c:pt idx="6">
                  <c:v>45628</c:v>
                </c:pt>
                <c:pt idx="7">
                  <c:v>45635</c:v>
                </c:pt>
                <c:pt idx="8">
                  <c:v>45642</c:v>
                </c:pt>
                <c:pt idx="9">
                  <c:v>45649</c:v>
                </c:pt>
                <c:pt idx="10">
                  <c:v>45656</c:v>
                </c:pt>
                <c:pt idx="11">
                  <c:v>45663</c:v>
                </c:pt>
                <c:pt idx="12">
                  <c:v>45670</c:v>
                </c:pt>
                <c:pt idx="13">
                  <c:v>45677</c:v>
                </c:pt>
                <c:pt idx="14">
                  <c:v>45684</c:v>
                </c:pt>
                <c:pt idx="15">
                  <c:v>45691</c:v>
                </c:pt>
                <c:pt idx="16">
                  <c:v>45698</c:v>
                </c:pt>
                <c:pt idx="17">
                  <c:v>45705</c:v>
                </c:pt>
                <c:pt idx="18">
                  <c:v>45712</c:v>
                </c:pt>
                <c:pt idx="19">
                  <c:v>45719</c:v>
                </c:pt>
                <c:pt idx="20">
                  <c:v>45726</c:v>
                </c:pt>
                <c:pt idx="21">
                  <c:v>45733</c:v>
                </c:pt>
              </c:numCache>
            </c:numRef>
          </c:cat>
          <c:val>
            <c:numRef>
              <c:f>'P29'!$C$4:$C$25</c:f>
              <c:numCache>
                <c:formatCode>_("$"* #,##0.00_);_("$"* \(#,##0.00\);_("$"* "-"??_);_(@_)</c:formatCode>
                <c:ptCount val="22"/>
                <c:pt idx="0">
                  <c:v>300</c:v>
                </c:pt>
                <c:pt idx="1">
                  <c:v>1200</c:v>
                </c:pt>
                <c:pt idx="2">
                  <c:v>1800</c:v>
                </c:pt>
                <c:pt idx="3">
                  <c:v>1950</c:v>
                </c:pt>
                <c:pt idx="4">
                  <c:v>3350</c:v>
                </c:pt>
                <c:pt idx="5">
                  <c:v>3650</c:v>
                </c:pt>
                <c:pt idx="6">
                  <c:v>4850</c:v>
                </c:pt>
                <c:pt idx="7">
                  <c:v>5750</c:v>
                </c:pt>
                <c:pt idx="8">
                  <c:v>6050</c:v>
                </c:pt>
                <c:pt idx="9">
                  <c:v>6050</c:v>
                </c:pt>
                <c:pt idx="10">
                  <c:v>6050</c:v>
                </c:pt>
                <c:pt idx="11">
                  <c:v>6050</c:v>
                </c:pt>
                <c:pt idx="12">
                  <c:v>6050</c:v>
                </c:pt>
                <c:pt idx="13">
                  <c:v>6050</c:v>
                </c:pt>
                <c:pt idx="14">
                  <c:v>5600</c:v>
                </c:pt>
                <c:pt idx="15">
                  <c:v>4700</c:v>
                </c:pt>
                <c:pt idx="16">
                  <c:v>4100</c:v>
                </c:pt>
                <c:pt idx="17">
                  <c:v>4100</c:v>
                </c:pt>
                <c:pt idx="18">
                  <c:v>2700</c:v>
                </c:pt>
                <c:pt idx="19">
                  <c:v>2400</c:v>
                </c:pt>
                <c:pt idx="20">
                  <c:v>1200</c:v>
                </c:pt>
                <c:pt idx="21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BB-1545-9C3D-6D5088788EC0}"/>
            </c:ext>
          </c:extLst>
        </c:ser>
        <c:ser>
          <c:idx val="2"/>
          <c:order val="1"/>
          <c:tx>
            <c:strRef>
              <c:f>'P29'!$D$3</c:f>
              <c:strCache>
                <c:ptCount val="1"/>
                <c:pt idx="0">
                  <c:v>Cobranza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'P29'!$B$4:$B$25</c:f>
              <c:numCache>
                <c:formatCode>m/d/yy</c:formatCode>
                <c:ptCount val="22"/>
                <c:pt idx="0">
                  <c:v>45586</c:v>
                </c:pt>
                <c:pt idx="1">
                  <c:v>45593</c:v>
                </c:pt>
                <c:pt idx="2">
                  <c:v>45600</c:v>
                </c:pt>
                <c:pt idx="3">
                  <c:v>45607</c:v>
                </c:pt>
                <c:pt idx="4">
                  <c:v>45614</c:v>
                </c:pt>
                <c:pt idx="5">
                  <c:v>45621</c:v>
                </c:pt>
                <c:pt idx="6">
                  <c:v>45628</c:v>
                </c:pt>
                <c:pt idx="7">
                  <c:v>45635</c:v>
                </c:pt>
                <c:pt idx="8">
                  <c:v>45642</c:v>
                </c:pt>
                <c:pt idx="9">
                  <c:v>45649</c:v>
                </c:pt>
                <c:pt idx="10">
                  <c:v>45656</c:v>
                </c:pt>
                <c:pt idx="11">
                  <c:v>45663</c:v>
                </c:pt>
                <c:pt idx="12">
                  <c:v>45670</c:v>
                </c:pt>
                <c:pt idx="13">
                  <c:v>45677</c:v>
                </c:pt>
                <c:pt idx="14">
                  <c:v>45684</c:v>
                </c:pt>
                <c:pt idx="15">
                  <c:v>45691</c:v>
                </c:pt>
                <c:pt idx="16">
                  <c:v>45698</c:v>
                </c:pt>
                <c:pt idx="17">
                  <c:v>45705</c:v>
                </c:pt>
                <c:pt idx="18">
                  <c:v>45712</c:v>
                </c:pt>
                <c:pt idx="19">
                  <c:v>45719</c:v>
                </c:pt>
                <c:pt idx="20">
                  <c:v>45726</c:v>
                </c:pt>
                <c:pt idx="21">
                  <c:v>45733</c:v>
                </c:pt>
              </c:numCache>
            </c:numRef>
          </c:cat>
          <c:val>
            <c:numRef>
              <c:f>'P29'!$D$4:$D$25</c:f>
              <c:numCache>
                <c:formatCode>_("$"* #,##0.00_);_("$"* \(#,##0.00\);_("$"* "-"??_);_(@_)</c:formatCode>
                <c:ptCount val="22"/>
                <c:pt idx="0">
                  <c:v>300</c:v>
                </c:pt>
                <c:pt idx="1">
                  <c:v>1200</c:v>
                </c:pt>
                <c:pt idx="2">
                  <c:v>1800</c:v>
                </c:pt>
                <c:pt idx="3">
                  <c:v>1950</c:v>
                </c:pt>
                <c:pt idx="4">
                  <c:v>3350</c:v>
                </c:pt>
                <c:pt idx="5">
                  <c:v>3850</c:v>
                </c:pt>
                <c:pt idx="6">
                  <c:v>4650</c:v>
                </c:pt>
                <c:pt idx="7">
                  <c:v>5150</c:v>
                </c:pt>
                <c:pt idx="8">
                  <c:v>2550</c:v>
                </c:pt>
                <c:pt idx="9">
                  <c:v>4250</c:v>
                </c:pt>
                <c:pt idx="10">
                  <c:v>2950</c:v>
                </c:pt>
                <c:pt idx="11">
                  <c:v>4650</c:v>
                </c:pt>
                <c:pt idx="12">
                  <c:v>2750</c:v>
                </c:pt>
                <c:pt idx="13">
                  <c:v>1700</c:v>
                </c:pt>
                <c:pt idx="14">
                  <c:v>1400</c:v>
                </c:pt>
                <c:pt idx="15">
                  <c:v>0</c:v>
                </c:pt>
                <c:pt idx="16">
                  <c:v>500</c:v>
                </c:pt>
                <c:pt idx="17">
                  <c:v>700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BB-1545-9C3D-6D5088788E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989984"/>
        <c:axId val="1601586976"/>
      </c:lineChart>
      <c:dateAx>
        <c:axId val="16019899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586976"/>
        <c:crosses val="autoZero"/>
        <c:auto val="1"/>
        <c:lblOffset val="100"/>
        <c:baseTimeUnit val="days"/>
      </c:dateAx>
      <c:valAx>
        <c:axId val="160158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98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'P29'!$F$3</c:f>
              <c:strCache>
                <c:ptCount val="1"/>
                <c:pt idx="0">
                  <c:v>% de Deuda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'P29'!$B$4:$B$25</c:f>
              <c:numCache>
                <c:formatCode>m/d/yy</c:formatCode>
                <c:ptCount val="22"/>
                <c:pt idx="0">
                  <c:v>45586</c:v>
                </c:pt>
                <c:pt idx="1">
                  <c:v>45593</c:v>
                </c:pt>
                <c:pt idx="2">
                  <c:v>45600</c:v>
                </c:pt>
                <c:pt idx="3">
                  <c:v>45607</c:v>
                </c:pt>
                <c:pt idx="4">
                  <c:v>45614</c:v>
                </c:pt>
                <c:pt idx="5">
                  <c:v>45621</c:v>
                </c:pt>
                <c:pt idx="6">
                  <c:v>45628</c:v>
                </c:pt>
                <c:pt idx="7">
                  <c:v>45635</c:v>
                </c:pt>
                <c:pt idx="8">
                  <c:v>45642</c:v>
                </c:pt>
                <c:pt idx="9">
                  <c:v>45649</c:v>
                </c:pt>
                <c:pt idx="10">
                  <c:v>45656</c:v>
                </c:pt>
                <c:pt idx="11">
                  <c:v>45663</c:v>
                </c:pt>
                <c:pt idx="12">
                  <c:v>45670</c:v>
                </c:pt>
                <c:pt idx="13">
                  <c:v>45677</c:v>
                </c:pt>
                <c:pt idx="14">
                  <c:v>45684</c:v>
                </c:pt>
                <c:pt idx="15">
                  <c:v>45691</c:v>
                </c:pt>
                <c:pt idx="16">
                  <c:v>45698</c:v>
                </c:pt>
                <c:pt idx="17">
                  <c:v>45705</c:v>
                </c:pt>
                <c:pt idx="18">
                  <c:v>45712</c:v>
                </c:pt>
                <c:pt idx="19">
                  <c:v>45719</c:v>
                </c:pt>
                <c:pt idx="20">
                  <c:v>45726</c:v>
                </c:pt>
                <c:pt idx="21">
                  <c:v>45733</c:v>
                </c:pt>
              </c:numCache>
            </c:numRef>
          </c:cat>
          <c:val>
            <c:numRef>
              <c:f>'P29'!$F$4:$F$25</c:f>
              <c:numCache>
                <c:formatCode>0.00%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2.6258205689277898E-2</c:v>
                </c:pt>
                <c:pt idx="8">
                  <c:v>0.14186851211072665</c:v>
                </c:pt>
                <c:pt idx="9">
                  <c:v>0.16881258941344779</c:v>
                </c:pt>
                <c:pt idx="10">
                  <c:v>0.21951219512195122</c:v>
                </c:pt>
                <c:pt idx="11">
                  <c:v>0.22104144527098832</c:v>
                </c:pt>
                <c:pt idx="12">
                  <c:v>0.25800376647834272</c:v>
                </c:pt>
                <c:pt idx="13">
                  <c:v>0.305156382079459</c:v>
                </c:pt>
                <c:pt idx="14">
                  <c:v>0.34362934362934361</c:v>
                </c:pt>
                <c:pt idx="15">
                  <c:v>0.38804895608351331</c:v>
                </c:pt>
                <c:pt idx="16">
                  <c:v>0.41536369816451396</c:v>
                </c:pt>
                <c:pt idx="17">
                  <c:v>0.43721828718609146</c:v>
                </c:pt>
                <c:pt idx="18">
                  <c:v>0.45612943372744241</c:v>
                </c:pt>
                <c:pt idx="19">
                  <c:v>0.4719033232628399</c:v>
                </c:pt>
                <c:pt idx="20">
                  <c:v>0.47945205479452052</c:v>
                </c:pt>
                <c:pt idx="21">
                  <c:v>0.48130563798219583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BE-1144-8C77-03BF9694D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944288"/>
        <c:axId val="1869815472"/>
      </c:lineChart>
      <c:dateAx>
        <c:axId val="18509442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15472"/>
        <c:crosses val="autoZero"/>
        <c:auto val="1"/>
        <c:lblOffset val="100"/>
        <c:baseTimeUnit val="days"/>
      </c:dateAx>
      <c:valAx>
        <c:axId val="18698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4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</a:t>
            </a:r>
            <a:r>
              <a:rPr lang="en-US" baseline="0"/>
              <a:t> Vs Cobranza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'P30'!$C$3</c:f>
              <c:strCache>
                <c:ptCount val="1"/>
                <c:pt idx="0">
                  <c:v>Meta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'P30'!$B$4:$B$25</c:f>
              <c:numCache>
                <c:formatCode>m/d/yy</c:formatCode>
                <c:ptCount val="22"/>
                <c:pt idx="0">
                  <c:v>45586</c:v>
                </c:pt>
                <c:pt idx="1">
                  <c:v>45593</c:v>
                </c:pt>
                <c:pt idx="2">
                  <c:v>45600</c:v>
                </c:pt>
                <c:pt idx="3">
                  <c:v>45607</c:v>
                </c:pt>
                <c:pt idx="4">
                  <c:v>45614</c:v>
                </c:pt>
                <c:pt idx="5">
                  <c:v>45621</c:v>
                </c:pt>
                <c:pt idx="6">
                  <c:v>45628</c:v>
                </c:pt>
                <c:pt idx="7">
                  <c:v>45635</c:v>
                </c:pt>
                <c:pt idx="8">
                  <c:v>45642</c:v>
                </c:pt>
                <c:pt idx="9">
                  <c:v>45649</c:v>
                </c:pt>
                <c:pt idx="10">
                  <c:v>45656</c:v>
                </c:pt>
                <c:pt idx="11">
                  <c:v>45663</c:v>
                </c:pt>
                <c:pt idx="12">
                  <c:v>45670</c:v>
                </c:pt>
                <c:pt idx="13">
                  <c:v>45677</c:v>
                </c:pt>
                <c:pt idx="14">
                  <c:v>45684</c:v>
                </c:pt>
                <c:pt idx="15">
                  <c:v>45691</c:v>
                </c:pt>
                <c:pt idx="16">
                  <c:v>45698</c:v>
                </c:pt>
                <c:pt idx="17">
                  <c:v>45705</c:v>
                </c:pt>
                <c:pt idx="18">
                  <c:v>45712</c:v>
                </c:pt>
                <c:pt idx="19">
                  <c:v>45719</c:v>
                </c:pt>
                <c:pt idx="20">
                  <c:v>45726</c:v>
                </c:pt>
                <c:pt idx="21">
                  <c:v>45733</c:v>
                </c:pt>
              </c:numCache>
            </c:numRef>
          </c:cat>
          <c:val>
            <c:numRef>
              <c:f>'P30'!$C$4:$C$25</c:f>
              <c:numCache>
                <c:formatCode>_("$"* #,##0.00_);_("$"* \(#,##0.00\);_("$"* "-"??_);_(@_)</c:formatCode>
                <c:ptCount val="22"/>
                <c:pt idx="0">
                  <c:v>1500</c:v>
                </c:pt>
                <c:pt idx="1">
                  <c:v>3000</c:v>
                </c:pt>
                <c:pt idx="2">
                  <c:v>4400</c:v>
                </c:pt>
                <c:pt idx="3">
                  <c:v>5600</c:v>
                </c:pt>
                <c:pt idx="4">
                  <c:v>6800</c:v>
                </c:pt>
                <c:pt idx="5">
                  <c:v>6800</c:v>
                </c:pt>
                <c:pt idx="6">
                  <c:v>7700</c:v>
                </c:pt>
                <c:pt idx="7">
                  <c:v>7700</c:v>
                </c:pt>
                <c:pt idx="8">
                  <c:v>7700</c:v>
                </c:pt>
                <c:pt idx="9">
                  <c:v>7700</c:v>
                </c:pt>
                <c:pt idx="10">
                  <c:v>7700</c:v>
                </c:pt>
                <c:pt idx="11">
                  <c:v>7700</c:v>
                </c:pt>
                <c:pt idx="12">
                  <c:v>7700</c:v>
                </c:pt>
                <c:pt idx="13">
                  <c:v>7400</c:v>
                </c:pt>
                <c:pt idx="14">
                  <c:v>5900</c:v>
                </c:pt>
                <c:pt idx="15">
                  <c:v>4700</c:v>
                </c:pt>
                <c:pt idx="16">
                  <c:v>3300</c:v>
                </c:pt>
                <c:pt idx="17">
                  <c:v>2100</c:v>
                </c:pt>
                <c:pt idx="18">
                  <c:v>900</c:v>
                </c:pt>
                <c:pt idx="19">
                  <c:v>900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DE-B344-AF81-311086265ED9}"/>
            </c:ext>
          </c:extLst>
        </c:ser>
        <c:ser>
          <c:idx val="1"/>
          <c:order val="1"/>
          <c:tx>
            <c:strRef>
              <c:f>'P30'!$D$3</c:f>
              <c:strCache>
                <c:ptCount val="1"/>
                <c:pt idx="0">
                  <c:v>Cobranza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'P30'!$B$4:$B$25</c:f>
              <c:numCache>
                <c:formatCode>m/d/yy</c:formatCode>
                <c:ptCount val="22"/>
                <c:pt idx="0">
                  <c:v>45586</c:v>
                </c:pt>
                <c:pt idx="1">
                  <c:v>45593</c:v>
                </c:pt>
                <c:pt idx="2">
                  <c:v>45600</c:v>
                </c:pt>
                <c:pt idx="3">
                  <c:v>45607</c:v>
                </c:pt>
                <c:pt idx="4">
                  <c:v>45614</c:v>
                </c:pt>
                <c:pt idx="5">
                  <c:v>45621</c:v>
                </c:pt>
                <c:pt idx="6">
                  <c:v>45628</c:v>
                </c:pt>
                <c:pt idx="7">
                  <c:v>45635</c:v>
                </c:pt>
                <c:pt idx="8">
                  <c:v>45642</c:v>
                </c:pt>
                <c:pt idx="9">
                  <c:v>45649</c:v>
                </c:pt>
                <c:pt idx="10">
                  <c:v>45656</c:v>
                </c:pt>
                <c:pt idx="11">
                  <c:v>45663</c:v>
                </c:pt>
                <c:pt idx="12">
                  <c:v>45670</c:v>
                </c:pt>
                <c:pt idx="13">
                  <c:v>45677</c:v>
                </c:pt>
                <c:pt idx="14">
                  <c:v>45684</c:v>
                </c:pt>
                <c:pt idx="15">
                  <c:v>45691</c:v>
                </c:pt>
                <c:pt idx="16">
                  <c:v>45698</c:v>
                </c:pt>
                <c:pt idx="17">
                  <c:v>45705</c:v>
                </c:pt>
                <c:pt idx="18">
                  <c:v>45712</c:v>
                </c:pt>
                <c:pt idx="19">
                  <c:v>45719</c:v>
                </c:pt>
                <c:pt idx="20">
                  <c:v>45726</c:v>
                </c:pt>
                <c:pt idx="21">
                  <c:v>45733</c:v>
                </c:pt>
              </c:numCache>
            </c:numRef>
          </c:cat>
          <c:val>
            <c:numRef>
              <c:f>'P30'!$D$4:$D$25</c:f>
              <c:numCache>
                <c:formatCode>_("$"* #,##0.00_);_("$"* \(#,##0.00\);_("$"* "-"??_);_(@_)</c:formatCode>
                <c:ptCount val="22"/>
                <c:pt idx="0">
                  <c:v>1500</c:v>
                </c:pt>
                <c:pt idx="1">
                  <c:v>3000</c:v>
                </c:pt>
                <c:pt idx="2">
                  <c:v>4200</c:v>
                </c:pt>
                <c:pt idx="3">
                  <c:v>5500</c:v>
                </c:pt>
                <c:pt idx="4">
                  <c:v>3800</c:v>
                </c:pt>
                <c:pt idx="5">
                  <c:v>6900</c:v>
                </c:pt>
                <c:pt idx="6">
                  <c:v>7300</c:v>
                </c:pt>
                <c:pt idx="7">
                  <c:v>6900</c:v>
                </c:pt>
                <c:pt idx="8">
                  <c:v>7100</c:v>
                </c:pt>
                <c:pt idx="9">
                  <c:v>5400</c:v>
                </c:pt>
                <c:pt idx="10">
                  <c:v>4300</c:v>
                </c:pt>
                <c:pt idx="11">
                  <c:v>0</c:v>
                </c:pt>
                <c:pt idx="12">
                  <c:v>0</c:v>
                </c:pt>
                <c:pt idx="13">
                  <c:v>14600</c:v>
                </c:pt>
                <c:pt idx="14">
                  <c:v>2600</c:v>
                </c:pt>
                <c:pt idx="15">
                  <c:v>2100</c:v>
                </c:pt>
                <c:pt idx="16">
                  <c:v>1800</c:v>
                </c:pt>
                <c:pt idx="17">
                  <c:v>900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DE-B344-AF81-311086265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989984"/>
        <c:axId val="1601586976"/>
      </c:lineChart>
      <c:dateAx>
        <c:axId val="16019899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586976"/>
        <c:crosses val="autoZero"/>
        <c:auto val="1"/>
        <c:lblOffset val="100"/>
        <c:baseTimeUnit val="days"/>
      </c:dateAx>
      <c:valAx>
        <c:axId val="160158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98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'P30'!$F$3</c:f>
              <c:strCache>
                <c:ptCount val="1"/>
                <c:pt idx="0">
                  <c:v>% de Deuda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'P30'!$B$4:$B$25</c:f>
              <c:numCache>
                <c:formatCode>m/d/yy</c:formatCode>
                <c:ptCount val="22"/>
                <c:pt idx="0">
                  <c:v>45586</c:v>
                </c:pt>
                <c:pt idx="1">
                  <c:v>45593</c:v>
                </c:pt>
                <c:pt idx="2">
                  <c:v>45600</c:v>
                </c:pt>
                <c:pt idx="3">
                  <c:v>45607</c:v>
                </c:pt>
                <c:pt idx="4">
                  <c:v>45614</c:v>
                </c:pt>
                <c:pt idx="5">
                  <c:v>45621</c:v>
                </c:pt>
                <c:pt idx="6">
                  <c:v>45628</c:v>
                </c:pt>
                <c:pt idx="7">
                  <c:v>45635</c:v>
                </c:pt>
                <c:pt idx="8">
                  <c:v>45642</c:v>
                </c:pt>
                <c:pt idx="9">
                  <c:v>45649</c:v>
                </c:pt>
                <c:pt idx="10">
                  <c:v>45656</c:v>
                </c:pt>
                <c:pt idx="11">
                  <c:v>45663</c:v>
                </c:pt>
                <c:pt idx="12">
                  <c:v>45670</c:v>
                </c:pt>
                <c:pt idx="13">
                  <c:v>45677</c:v>
                </c:pt>
                <c:pt idx="14">
                  <c:v>45684</c:v>
                </c:pt>
                <c:pt idx="15">
                  <c:v>45691</c:v>
                </c:pt>
                <c:pt idx="16">
                  <c:v>45698</c:v>
                </c:pt>
                <c:pt idx="17">
                  <c:v>45705</c:v>
                </c:pt>
                <c:pt idx="18">
                  <c:v>45712</c:v>
                </c:pt>
                <c:pt idx="19">
                  <c:v>45719</c:v>
                </c:pt>
                <c:pt idx="20">
                  <c:v>45726</c:v>
                </c:pt>
                <c:pt idx="21">
                  <c:v>45733</c:v>
                </c:pt>
              </c:numCache>
            </c:numRef>
          </c:cat>
          <c:val>
            <c:numRef>
              <c:f>'P30'!$F$4:$F$25</c:f>
              <c:numCache>
                <c:formatCode>0.00%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2.247191011235955E-2</c:v>
                </c:pt>
                <c:pt idx="3">
                  <c:v>2.0689655172413793E-2</c:v>
                </c:pt>
                <c:pt idx="4">
                  <c:v>0.15492957746478872</c:v>
                </c:pt>
                <c:pt idx="5">
                  <c:v>0.11387900355871886</c:v>
                </c:pt>
                <c:pt idx="6">
                  <c:v>0.1005586592178771</c:v>
                </c:pt>
                <c:pt idx="7">
                  <c:v>0.10114942528735632</c:v>
                </c:pt>
                <c:pt idx="8">
                  <c:v>9.765625E-2</c:v>
                </c:pt>
                <c:pt idx="9">
                  <c:v>0.12393887945670629</c:v>
                </c:pt>
                <c:pt idx="10">
                  <c:v>0.16066066066066065</c:v>
                </c:pt>
                <c:pt idx="11">
                  <c:v>0.24764468371467024</c:v>
                </c:pt>
                <c:pt idx="12">
                  <c:v>0.31829268292682927</c:v>
                </c:pt>
                <c:pt idx="13">
                  <c:v>0.21140939597315436</c:v>
                </c:pt>
                <c:pt idx="14">
                  <c:v>0.23294858342077648</c:v>
                </c:pt>
                <c:pt idx="15">
                  <c:v>0.248</c:v>
                </c:pt>
                <c:pt idx="16">
                  <c:v>0.25459825750242016</c:v>
                </c:pt>
                <c:pt idx="17">
                  <c:v>0.26091081593927895</c:v>
                </c:pt>
                <c:pt idx="18">
                  <c:v>0.27332089552238809</c:v>
                </c:pt>
                <c:pt idx="19">
                  <c:v>0.27332089552238809</c:v>
                </c:pt>
                <c:pt idx="20">
                  <c:v>0.27332089552238809</c:v>
                </c:pt>
                <c:pt idx="21">
                  <c:v>0.27332089552238809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7C-DD4B-B1CD-912552195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944288"/>
        <c:axId val="1869815472"/>
      </c:lineChart>
      <c:dateAx>
        <c:axId val="18509442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15472"/>
        <c:crosses val="autoZero"/>
        <c:auto val="1"/>
        <c:lblOffset val="100"/>
        <c:baseTimeUnit val="days"/>
      </c:dateAx>
      <c:valAx>
        <c:axId val="18698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4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</a:t>
            </a:r>
            <a:r>
              <a:rPr lang="en-US" baseline="0"/>
              <a:t> Vs Cobranza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'P31'!$C$3</c:f>
              <c:strCache>
                <c:ptCount val="1"/>
                <c:pt idx="0">
                  <c:v>Meta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'P31'!$B$4:$B$25</c:f>
              <c:numCache>
                <c:formatCode>m/d/yy</c:formatCode>
                <c:ptCount val="22"/>
                <c:pt idx="0">
                  <c:v>45586</c:v>
                </c:pt>
                <c:pt idx="1">
                  <c:v>45593</c:v>
                </c:pt>
                <c:pt idx="2">
                  <c:v>45600</c:v>
                </c:pt>
                <c:pt idx="3">
                  <c:v>45607</c:v>
                </c:pt>
                <c:pt idx="4">
                  <c:v>45614</c:v>
                </c:pt>
                <c:pt idx="5">
                  <c:v>45621</c:v>
                </c:pt>
                <c:pt idx="6">
                  <c:v>45628</c:v>
                </c:pt>
                <c:pt idx="7">
                  <c:v>45635</c:v>
                </c:pt>
                <c:pt idx="8">
                  <c:v>45642</c:v>
                </c:pt>
                <c:pt idx="9">
                  <c:v>45649</c:v>
                </c:pt>
                <c:pt idx="10">
                  <c:v>45656</c:v>
                </c:pt>
                <c:pt idx="11">
                  <c:v>45663</c:v>
                </c:pt>
                <c:pt idx="12">
                  <c:v>45670</c:v>
                </c:pt>
                <c:pt idx="13">
                  <c:v>45677</c:v>
                </c:pt>
                <c:pt idx="14">
                  <c:v>45684</c:v>
                </c:pt>
                <c:pt idx="15">
                  <c:v>45691</c:v>
                </c:pt>
                <c:pt idx="16">
                  <c:v>45698</c:v>
                </c:pt>
                <c:pt idx="17">
                  <c:v>45705</c:v>
                </c:pt>
                <c:pt idx="18">
                  <c:v>45712</c:v>
                </c:pt>
                <c:pt idx="19">
                  <c:v>45719</c:v>
                </c:pt>
                <c:pt idx="20">
                  <c:v>45726</c:v>
                </c:pt>
                <c:pt idx="21">
                  <c:v>45733</c:v>
                </c:pt>
              </c:numCache>
            </c:numRef>
          </c:cat>
          <c:val>
            <c:numRef>
              <c:f>'P31'!$C$4:$C$25</c:f>
              <c:numCache>
                <c:formatCode>_("$"* #,##0.00_);_("$"* \(#,##0.00\);_("$"* "-"??_);_(@_)</c:formatCode>
                <c:ptCount val="22"/>
                <c:pt idx="0">
                  <c:v>0</c:v>
                </c:pt>
                <c:pt idx="1">
                  <c:v>400</c:v>
                </c:pt>
                <c:pt idx="2">
                  <c:v>400</c:v>
                </c:pt>
                <c:pt idx="3">
                  <c:v>400</c:v>
                </c:pt>
                <c:pt idx="4">
                  <c:v>400</c:v>
                </c:pt>
                <c:pt idx="5">
                  <c:v>400</c:v>
                </c:pt>
                <c:pt idx="6">
                  <c:v>400</c:v>
                </c:pt>
                <c:pt idx="7">
                  <c:v>400</c:v>
                </c:pt>
                <c:pt idx="8">
                  <c:v>400</c:v>
                </c:pt>
                <c:pt idx="9">
                  <c:v>400</c:v>
                </c:pt>
                <c:pt idx="10">
                  <c:v>400</c:v>
                </c:pt>
                <c:pt idx="11">
                  <c:v>400</c:v>
                </c:pt>
                <c:pt idx="12">
                  <c:v>400</c:v>
                </c:pt>
                <c:pt idx="13">
                  <c:v>400</c:v>
                </c:pt>
                <c:pt idx="14">
                  <c:v>400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03-0547-90A6-5050CF5547B6}"/>
            </c:ext>
          </c:extLst>
        </c:ser>
        <c:ser>
          <c:idx val="1"/>
          <c:order val="1"/>
          <c:tx>
            <c:strRef>
              <c:f>'P31'!$D$3</c:f>
              <c:strCache>
                <c:ptCount val="1"/>
                <c:pt idx="0">
                  <c:v>Cobranza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'P31'!$B$4:$B$25</c:f>
              <c:numCache>
                <c:formatCode>m/d/yy</c:formatCode>
                <c:ptCount val="22"/>
                <c:pt idx="0">
                  <c:v>45586</c:v>
                </c:pt>
                <c:pt idx="1">
                  <c:v>45593</c:v>
                </c:pt>
                <c:pt idx="2">
                  <c:v>45600</c:v>
                </c:pt>
                <c:pt idx="3">
                  <c:v>45607</c:v>
                </c:pt>
                <c:pt idx="4">
                  <c:v>45614</c:v>
                </c:pt>
                <c:pt idx="5">
                  <c:v>45621</c:v>
                </c:pt>
                <c:pt idx="6">
                  <c:v>45628</c:v>
                </c:pt>
                <c:pt idx="7">
                  <c:v>45635</c:v>
                </c:pt>
                <c:pt idx="8">
                  <c:v>45642</c:v>
                </c:pt>
                <c:pt idx="9">
                  <c:v>45649</c:v>
                </c:pt>
                <c:pt idx="10">
                  <c:v>45656</c:v>
                </c:pt>
                <c:pt idx="11">
                  <c:v>45663</c:v>
                </c:pt>
                <c:pt idx="12">
                  <c:v>45670</c:v>
                </c:pt>
                <c:pt idx="13">
                  <c:v>45677</c:v>
                </c:pt>
                <c:pt idx="14">
                  <c:v>45684</c:v>
                </c:pt>
                <c:pt idx="15">
                  <c:v>45691</c:v>
                </c:pt>
                <c:pt idx="16">
                  <c:v>45698</c:v>
                </c:pt>
                <c:pt idx="17">
                  <c:v>45705</c:v>
                </c:pt>
                <c:pt idx="18">
                  <c:v>45712</c:v>
                </c:pt>
                <c:pt idx="19">
                  <c:v>45719</c:v>
                </c:pt>
                <c:pt idx="20">
                  <c:v>45726</c:v>
                </c:pt>
                <c:pt idx="21">
                  <c:v>45733</c:v>
                </c:pt>
              </c:numCache>
            </c:numRef>
          </c:cat>
          <c:val>
            <c:numRef>
              <c:f>'P31'!$D$4:$D$25</c:f>
              <c:numCache>
                <c:formatCode>_("$"* #,##0.00_);_("$"* \(#,##0.00\);_("$"* "-"??_);_(@_)</c:formatCode>
                <c:ptCount val="22"/>
                <c:pt idx="0">
                  <c:v>0</c:v>
                </c:pt>
                <c:pt idx="1">
                  <c:v>400</c:v>
                </c:pt>
                <c:pt idx="2">
                  <c:v>100</c:v>
                </c:pt>
                <c:pt idx="3">
                  <c:v>300</c:v>
                </c:pt>
                <c:pt idx="4">
                  <c:v>200</c:v>
                </c:pt>
                <c:pt idx="5">
                  <c:v>100</c:v>
                </c:pt>
                <c:pt idx="6">
                  <c:v>100</c:v>
                </c:pt>
                <c:pt idx="7">
                  <c:v>500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03-0547-90A6-5050CF554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989984"/>
        <c:axId val="1601586976"/>
      </c:lineChart>
      <c:dateAx>
        <c:axId val="16019899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586976"/>
        <c:crosses val="autoZero"/>
        <c:auto val="1"/>
        <c:lblOffset val="100"/>
        <c:baseTimeUnit val="days"/>
      </c:dateAx>
      <c:valAx>
        <c:axId val="160158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98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'P31'!$F$3</c:f>
              <c:strCache>
                <c:ptCount val="1"/>
                <c:pt idx="0">
                  <c:v>% de Deuda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'P31'!$B$4:$B$25</c:f>
              <c:numCache>
                <c:formatCode>m/d/yy</c:formatCode>
                <c:ptCount val="22"/>
                <c:pt idx="0">
                  <c:v>45586</c:v>
                </c:pt>
                <c:pt idx="1">
                  <c:v>45593</c:v>
                </c:pt>
                <c:pt idx="2">
                  <c:v>45600</c:v>
                </c:pt>
                <c:pt idx="3">
                  <c:v>45607</c:v>
                </c:pt>
                <c:pt idx="4">
                  <c:v>45614</c:v>
                </c:pt>
                <c:pt idx="5">
                  <c:v>45621</c:v>
                </c:pt>
                <c:pt idx="6">
                  <c:v>45628</c:v>
                </c:pt>
                <c:pt idx="7">
                  <c:v>45635</c:v>
                </c:pt>
                <c:pt idx="8">
                  <c:v>45642</c:v>
                </c:pt>
                <c:pt idx="9">
                  <c:v>45649</c:v>
                </c:pt>
                <c:pt idx="10">
                  <c:v>45656</c:v>
                </c:pt>
                <c:pt idx="11">
                  <c:v>45663</c:v>
                </c:pt>
                <c:pt idx="12">
                  <c:v>45670</c:v>
                </c:pt>
                <c:pt idx="13">
                  <c:v>45677</c:v>
                </c:pt>
                <c:pt idx="14">
                  <c:v>45684</c:v>
                </c:pt>
                <c:pt idx="15">
                  <c:v>45691</c:v>
                </c:pt>
                <c:pt idx="16">
                  <c:v>45698</c:v>
                </c:pt>
                <c:pt idx="17">
                  <c:v>45705</c:v>
                </c:pt>
                <c:pt idx="18">
                  <c:v>45712</c:v>
                </c:pt>
                <c:pt idx="19">
                  <c:v>45719</c:v>
                </c:pt>
                <c:pt idx="20">
                  <c:v>45726</c:v>
                </c:pt>
                <c:pt idx="21">
                  <c:v>45733</c:v>
                </c:pt>
              </c:numCache>
            </c:numRef>
          </c:cat>
          <c:val>
            <c:numRef>
              <c:f>'P31'!$F$4:$F$25</c:f>
              <c:numCache>
                <c:formatCode>0.00%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0.375</c:v>
                </c:pt>
                <c:pt idx="3">
                  <c:v>0.33333333333333331</c:v>
                </c:pt>
                <c:pt idx="4">
                  <c:v>0.375</c:v>
                </c:pt>
                <c:pt idx="5">
                  <c:v>0.45</c:v>
                </c:pt>
                <c:pt idx="6">
                  <c:v>0.5</c:v>
                </c:pt>
                <c:pt idx="7">
                  <c:v>0.39285714285714285</c:v>
                </c:pt>
                <c:pt idx="8">
                  <c:v>0.46875</c:v>
                </c:pt>
                <c:pt idx="9">
                  <c:v>0.52777777777777779</c:v>
                </c:pt>
                <c:pt idx="10">
                  <c:v>0.57499999999999996</c:v>
                </c:pt>
                <c:pt idx="11">
                  <c:v>0.61363636363636365</c:v>
                </c:pt>
                <c:pt idx="12">
                  <c:v>0.64583333333333337</c:v>
                </c:pt>
                <c:pt idx="13">
                  <c:v>0.67307692307692313</c:v>
                </c:pt>
                <c:pt idx="14">
                  <c:v>0.6964285714285714</c:v>
                </c:pt>
                <c:pt idx="15">
                  <c:v>0.6964285714285714</c:v>
                </c:pt>
                <c:pt idx="16">
                  <c:v>0.6964285714285714</c:v>
                </c:pt>
                <c:pt idx="17">
                  <c:v>0.6964285714285714</c:v>
                </c:pt>
                <c:pt idx="18">
                  <c:v>0.6964285714285714</c:v>
                </c:pt>
                <c:pt idx="19">
                  <c:v>0.6964285714285714</c:v>
                </c:pt>
                <c:pt idx="20">
                  <c:v>0.6964285714285714</c:v>
                </c:pt>
                <c:pt idx="21">
                  <c:v>0.6964285714285714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5D-944B-851B-F8B4C6F2AD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944288"/>
        <c:axId val="1869815472"/>
      </c:lineChart>
      <c:dateAx>
        <c:axId val="18509442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15472"/>
        <c:crosses val="autoZero"/>
        <c:auto val="1"/>
        <c:lblOffset val="100"/>
        <c:baseTimeUnit val="days"/>
      </c:dateAx>
      <c:valAx>
        <c:axId val="18698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4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</a:t>
            </a:r>
            <a:r>
              <a:rPr lang="en-US" baseline="0"/>
              <a:t> Vs Cobranza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'P32'!$C$3</c:f>
              <c:strCache>
                <c:ptCount val="1"/>
                <c:pt idx="0">
                  <c:v>Meta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'P32'!$B$4:$B$21</c:f>
              <c:numCache>
                <c:formatCode>m/d/yy</c:formatCode>
                <c:ptCount val="18"/>
                <c:pt idx="0">
                  <c:v>45614</c:v>
                </c:pt>
                <c:pt idx="1">
                  <c:v>45621</c:v>
                </c:pt>
                <c:pt idx="2">
                  <c:v>45628</c:v>
                </c:pt>
                <c:pt idx="3">
                  <c:v>45635</c:v>
                </c:pt>
                <c:pt idx="4">
                  <c:v>45642</c:v>
                </c:pt>
                <c:pt idx="5">
                  <c:v>45649</c:v>
                </c:pt>
                <c:pt idx="6">
                  <c:v>45656</c:v>
                </c:pt>
                <c:pt idx="7">
                  <c:v>45663</c:v>
                </c:pt>
                <c:pt idx="8">
                  <c:v>45670</c:v>
                </c:pt>
                <c:pt idx="9">
                  <c:v>45677</c:v>
                </c:pt>
                <c:pt idx="10">
                  <c:v>45684</c:v>
                </c:pt>
                <c:pt idx="11">
                  <c:v>45691</c:v>
                </c:pt>
                <c:pt idx="12">
                  <c:v>45698</c:v>
                </c:pt>
                <c:pt idx="13">
                  <c:v>45705</c:v>
                </c:pt>
                <c:pt idx="14">
                  <c:v>45712</c:v>
                </c:pt>
                <c:pt idx="15">
                  <c:v>45719</c:v>
                </c:pt>
                <c:pt idx="16">
                  <c:v>45726</c:v>
                </c:pt>
                <c:pt idx="17">
                  <c:v>45733</c:v>
                </c:pt>
              </c:numCache>
            </c:numRef>
          </c:cat>
          <c:val>
            <c:numRef>
              <c:f>'P32'!$C$4:$C$21</c:f>
              <c:numCache>
                <c:formatCode>_("$"* #,##0.00_);_("$"* \(#,##0.00\);_("$"* "-"??_);_(@_)</c:formatCode>
                <c:ptCount val="18"/>
                <c:pt idx="0">
                  <c:v>600</c:v>
                </c:pt>
                <c:pt idx="1">
                  <c:v>900</c:v>
                </c:pt>
                <c:pt idx="2">
                  <c:v>900</c:v>
                </c:pt>
                <c:pt idx="3">
                  <c:v>900</c:v>
                </c:pt>
                <c:pt idx="4">
                  <c:v>900</c:v>
                </c:pt>
                <c:pt idx="5">
                  <c:v>1800</c:v>
                </c:pt>
                <c:pt idx="6">
                  <c:v>1800</c:v>
                </c:pt>
                <c:pt idx="7">
                  <c:v>1800</c:v>
                </c:pt>
                <c:pt idx="8">
                  <c:v>1800</c:v>
                </c:pt>
                <c:pt idx="9">
                  <c:v>2400</c:v>
                </c:pt>
                <c:pt idx="10">
                  <c:v>2700</c:v>
                </c:pt>
                <c:pt idx="11">
                  <c:v>3000</c:v>
                </c:pt>
                <c:pt idx="12">
                  <c:v>3350</c:v>
                </c:pt>
                <c:pt idx="13">
                  <c:v>3350</c:v>
                </c:pt>
                <c:pt idx="14">
                  <c:v>3650</c:v>
                </c:pt>
                <c:pt idx="15">
                  <c:v>3350</c:v>
                </c:pt>
                <c:pt idx="16">
                  <c:v>3400</c:v>
                </c:pt>
                <c:pt idx="17">
                  <c:v>4050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11-6A49-A98B-099251CAC28F}"/>
            </c:ext>
          </c:extLst>
        </c:ser>
        <c:ser>
          <c:idx val="1"/>
          <c:order val="1"/>
          <c:tx>
            <c:strRef>
              <c:f>'P32'!$D$3</c:f>
              <c:strCache>
                <c:ptCount val="1"/>
                <c:pt idx="0">
                  <c:v>Cobranza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'P32'!$B$4:$B$21</c:f>
              <c:numCache>
                <c:formatCode>m/d/yy</c:formatCode>
                <c:ptCount val="18"/>
                <c:pt idx="0">
                  <c:v>45614</c:v>
                </c:pt>
                <c:pt idx="1">
                  <c:v>45621</c:v>
                </c:pt>
                <c:pt idx="2">
                  <c:v>45628</c:v>
                </c:pt>
                <c:pt idx="3">
                  <c:v>45635</c:v>
                </c:pt>
                <c:pt idx="4">
                  <c:v>45642</c:v>
                </c:pt>
                <c:pt idx="5">
                  <c:v>45649</c:v>
                </c:pt>
                <c:pt idx="6">
                  <c:v>45656</c:v>
                </c:pt>
                <c:pt idx="7">
                  <c:v>45663</c:v>
                </c:pt>
                <c:pt idx="8">
                  <c:v>45670</c:v>
                </c:pt>
                <c:pt idx="9">
                  <c:v>45677</c:v>
                </c:pt>
                <c:pt idx="10">
                  <c:v>45684</c:v>
                </c:pt>
                <c:pt idx="11">
                  <c:v>45691</c:v>
                </c:pt>
                <c:pt idx="12">
                  <c:v>45698</c:v>
                </c:pt>
                <c:pt idx="13">
                  <c:v>45705</c:v>
                </c:pt>
                <c:pt idx="14">
                  <c:v>45712</c:v>
                </c:pt>
                <c:pt idx="15">
                  <c:v>45719</c:v>
                </c:pt>
                <c:pt idx="16">
                  <c:v>45726</c:v>
                </c:pt>
                <c:pt idx="17">
                  <c:v>45733</c:v>
                </c:pt>
              </c:numCache>
            </c:numRef>
          </c:cat>
          <c:val>
            <c:numRef>
              <c:f>'P32'!$D$4:$D$21</c:f>
              <c:numCache>
                <c:formatCode>_("$"* #,##0.00_);_("$"* \(#,##0.00\);_("$"* "-"??_);_(@_)</c:formatCode>
                <c:ptCount val="18"/>
                <c:pt idx="0">
                  <c:v>600</c:v>
                </c:pt>
                <c:pt idx="1">
                  <c:v>900</c:v>
                </c:pt>
                <c:pt idx="2">
                  <c:v>900</c:v>
                </c:pt>
                <c:pt idx="3">
                  <c:v>900</c:v>
                </c:pt>
                <c:pt idx="4">
                  <c:v>900</c:v>
                </c:pt>
                <c:pt idx="5">
                  <c:v>1800</c:v>
                </c:pt>
                <c:pt idx="6">
                  <c:v>1800</c:v>
                </c:pt>
                <c:pt idx="7">
                  <c:v>1800</c:v>
                </c:pt>
                <c:pt idx="8">
                  <c:v>1800</c:v>
                </c:pt>
                <c:pt idx="9">
                  <c:v>2400</c:v>
                </c:pt>
                <c:pt idx="10">
                  <c:v>2700</c:v>
                </c:pt>
                <c:pt idx="11">
                  <c:v>2700</c:v>
                </c:pt>
                <c:pt idx="12">
                  <c:v>3650</c:v>
                </c:pt>
                <c:pt idx="13">
                  <c:v>3050</c:v>
                </c:pt>
                <c:pt idx="14">
                  <c:v>3650</c:v>
                </c:pt>
                <c:pt idx="15">
                  <c:v>4000</c:v>
                </c:pt>
                <c:pt idx="16">
                  <c:v>3050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11-6A49-A98B-099251CAC2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989984"/>
        <c:axId val="1601586976"/>
      </c:lineChart>
      <c:dateAx>
        <c:axId val="16019899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586976"/>
        <c:crosses val="autoZero"/>
        <c:auto val="1"/>
        <c:lblOffset val="100"/>
        <c:baseTimeUnit val="days"/>
      </c:dateAx>
      <c:valAx>
        <c:axId val="160158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98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'P32'!$F$3</c:f>
              <c:strCache>
                <c:ptCount val="1"/>
                <c:pt idx="0">
                  <c:v>% de Deuda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'P32'!$B$4:$B$21</c:f>
              <c:numCache>
                <c:formatCode>m/d/yy</c:formatCode>
                <c:ptCount val="18"/>
                <c:pt idx="0">
                  <c:v>45614</c:v>
                </c:pt>
                <c:pt idx="1">
                  <c:v>45621</c:v>
                </c:pt>
                <c:pt idx="2">
                  <c:v>45628</c:v>
                </c:pt>
                <c:pt idx="3">
                  <c:v>45635</c:v>
                </c:pt>
                <c:pt idx="4">
                  <c:v>45642</c:v>
                </c:pt>
                <c:pt idx="5">
                  <c:v>45649</c:v>
                </c:pt>
                <c:pt idx="6">
                  <c:v>45656</c:v>
                </c:pt>
                <c:pt idx="7">
                  <c:v>45663</c:v>
                </c:pt>
                <c:pt idx="8">
                  <c:v>45670</c:v>
                </c:pt>
                <c:pt idx="9">
                  <c:v>45677</c:v>
                </c:pt>
                <c:pt idx="10">
                  <c:v>45684</c:v>
                </c:pt>
                <c:pt idx="11">
                  <c:v>45691</c:v>
                </c:pt>
                <c:pt idx="12">
                  <c:v>45698</c:v>
                </c:pt>
                <c:pt idx="13">
                  <c:v>45705</c:v>
                </c:pt>
                <c:pt idx="14">
                  <c:v>45712</c:v>
                </c:pt>
                <c:pt idx="15">
                  <c:v>45719</c:v>
                </c:pt>
                <c:pt idx="16">
                  <c:v>45726</c:v>
                </c:pt>
                <c:pt idx="17">
                  <c:v>45733</c:v>
                </c:pt>
              </c:numCache>
            </c:numRef>
          </c:cat>
          <c:val>
            <c:numRef>
              <c:f>'P32'!$F$4:$F$21</c:f>
              <c:numCache>
                <c:formatCode>0.00%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1.5384615384615385E-2</c:v>
                </c:pt>
                <c:pt idx="12">
                  <c:v>0</c:v>
                </c:pt>
                <c:pt idx="13">
                  <c:v>1.1450381679389313E-2</c:v>
                </c:pt>
                <c:pt idx="14">
                  <c:v>1.0050251256281407E-2</c:v>
                </c:pt>
                <c:pt idx="15">
                  <c:v>0</c:v>
                </c:pt>
                <c:pt idx="16">
                  <c:v>0</c:v>
                </c:pt>
                <c:pt idx="17">
                  <c:v>9.9630996309963096E-2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71-E94E-8E8B-54E630D41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944288"/>
        <c:axId val="1869815472"/>
      </c:lineChart>
      <c:dateAx>
        <c:axId val="18509442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15472"/>
        <c:crosses val="autoZero"/>
        <c:auto val="1"/>
        <c:lblOffset val="100"/>
        <c:baseTimeUnit val="days"/>
      </c:dateAx>
      <c:valAx>
        <c:axId val="18698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4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</a:t>
            </a:r>
            <a:r>
              <a:rPr lang="en-US" baseline="0"/>
              <a:t> Vs Cobranza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'P33'!$C$3</c:f>
              <c:strCache>
                <c:ptCount val="1"/>
                <c:pt idx="0">
                  <c:v>Meta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'P33'!$B$4:$B$21</c:f>
              <c:numCache>
                <c:formatCode>m/d/yy</c:formatCode>
                <c:ptCount val="18"/>
                <c:pt idx="0">
                  <c:v>45614</c:v>
                </c:pt>
                <c:pt idx="1">
                  <c:v>45621</c:v>
                </c:pt>
                <c:pt idx="2">
                  <c:v>45628</c:v>
                </c:pt>
                <c:pt idx="3">
                  <c:v>45635</c:v>
                </c:pt>
                <c:pt idx="4">
                  <c:v>45642</c:v>
                </c:pt>
                <c:pt idx="5">
                  <c:v>45649</c:v>
                </c:pt>
                <c:pt idx="6">
                  <c:v>45656</c:v>
                </c:pt>
                <c:pt idx="7">
                  <c:v>45663</c:v>
                </c:pt>
                <c:pt idx="8">
                  <c:v>45670</c:v>
                </c:pt>
                <c:pt idx="9">
                  <c:v>45677</c:v>
                </c:pt>
                <c:pt idx="10">
                  <c:v>45684</c:v>
                </c:pt>
                <c:pt idx="11">
                  <c:v>45691</c:v>
                </c:pt>
                <c:pt idx="12">
                  <c:v>45698</c:v>
                </c:pt>
                <c:pt idx="13">
                  <c:v>45705</c:v>
                </c:pt>
                <c:pt idx="14">
                  <c:v>45712</c:v>
                </c:pt>
                <c:pt idx="15">
                  <c:v>45719</c:v>
                </c:pt>
                <c:pt idx="16">
                  <c:v>45726</c:v>
                </c:pt>
                <c:pt idx="17">
                  <c:v>45733</c:v>
                </c:pt>
              </c:numCache>
            </c:numRef>
          </c:cat>
          <c:val>
            <c:numRef>
              <c:f>'P33'!$C$4:$C$21</c:f>
              <c:numCache>
                <c:formatCode>_("$"* #,##0.00_);_("$"* \(#,##0.00\);_("$"* "-"??_);_(@_)</c:formatCode>
                <c:ptCount val="18"/>
                <c:pt idx="0">
                  <c:v>600</c:v>
                </c:pt>
                <c:pt idx="1">
                  <c:v>1200</c:v>
                </c:pt>
                <c:pt idx="2">
                  <c:v>1200</c:v>
                </c:pt>
                <c:pt idx="3">
                  <c:v>1200</c:v>
                </c:pt>
                <c:pt idx="4">
                  <c:v>1200</c:v>
                </c:pt>
                <c:pt idx="5">
                  <c:v>1500</c:v>
                </c:pt>
                <c:pt idx="6">
                  <c:v>1500</c:v>
                </c:pt>
                <c:pt idx="7">
                  <c:v>1500</c:v>
                </c:pt>
                <c:pt idx="8">
                  <c:v>1500</c:v>
                </c:pt>
                <c:pt idx="9">
                  <c:v>1500</c:v>
                </c:pt>
                <c:pt idx="10">
                  <c:v>1800</c:v>
                </c:pt>
                <c:pt idx="11">
                  <c:v>1800</c:v>
                </c:pt>
                <c:pt idx="12">
                  <c:v>1800</c:v>
                </c:pt>
                <c:pt idx="13">
                  <c:v>1800</c:v>
                </c:pt>
                <c:pt idx="14">
                  <c:v>1500</c:v>
                </c:pt>
                <c:pt idx="15">
                  <c:v>1200</c:v>
                </c:pt>
                <c:pt idx="16">
                  <c:v>1200</c:v>
                </c:pt>
                <c:pt idx="17">
                  <c:v>1500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26-0343-8558-52B08EF40B3D}"/>
            </c:ext>
          </c:extLst>
        </c:ser>
        <c:ser>
          <c:idx val="1"/>
          <c:order val="1"/>
          <c:tx>
            <c:strRef>
              <c:f>'P33'!$D$3</c:f>
              <c:strCache>
                <c:ptCount val="1"/>
                <c:pt idx="0">
                  <c:v>Cobranza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'P33'!$B$4:$B$21</c:f>
              <c:numCache>
                <c:formatCode>m/d/yy</c:formatCode>
                <c:ptCount val="18"/>
                <c:pt idx="0">
                  <c:v>45614</c:v>
                </c:pt>
                <c:pt idx="1">
                  <c:v>45621</c:v>
                </c:pt>
                <c:pt idx="2">
                  <c:v>45628</c:v>
                </c:pt>
                <c:pt idx="3">
                  <c:v>45635</c:v>
                </c:pt>
                <c:pt idx="4">
                  <c:v>45642</c:v>
                </c:pt>
                <c:pt idx="5">
                  <c:v>45649</c:v>
                </c:pt>
                <c:pt idx="6">
                  <c:v>45656</c:v>
                </c:pt>
                <c:pt idx="7">
                  <c:v>45663</c:v>
                </c:pt>
                <c:pt idx="8">
                  <c:v>45670</c:v>
                </c:pt>
                <c:pt idx="9">
                  <c:v>45677</c:v>
                </c:pt>
                <c:pt idx="10">
                  <c:v>45684</c:v>
                </c:pt>
                <c:pt idx="11">
                  <c:v>45691</c:v>
                </c:pt>
                <c:pt idx="12">
                  <c:v>45698</c:v>
                </c:pt>
                <c:pt idx="13">
                  <c:v>45705</c:v>
                </c:pt>
                <c:pt idx="14">
                  <c:v>45712</c:v>
                </c:pt>
                <c:pt idx="15">
                  <c:v>45719</c:v>
                </c:pt>
                <c:pt idx="16">
                  <c:v>45726</c:v>
                </c:pt>
                <c:pt idx="17">
                  <c:v>45733</c:v>
                </c:pt>
              </c:numCache>
            </c:numRef>
          </c:cat>
          <c:val>
            <c:numRef>
              <c:f>'P33'!$D$4:$D$21</c:f>
              <c:numCache>
                <c:formatCode>_("$"* #,##0.00_);_("$"* \(#,##0.00\);_("$"* "-"??_);_(@_)</c:formatCode>
                <c:ptCount val="18"/>
                <c:pt idx="0">
                  <c:v>600</c:v>
                </c:pt>
                <c:pt idx="1">
                  <c:v>1500</c:v>
                </c:pt>
                <c:pt idx="2">
                  <c:v>900</c:v>
                </c:pt>
                <c:pt idx="3">
                  <c:v>1200</c:v>
                </c:pt>
                <c:pt idx="4">
                  <c:v>1200</c:v>
                </c:pt>
                <c:pt idx="5">
                  <c:v>1800</c:v>
                </c:pt>
                <c:pt idx="6">
                  <c:v>1200</c:v>
                </c:pt>
                <c:pt idx="7">
                  <c:v>1500</c:v>
                </c:pt>
                <c:pt idx="8">
                  <c:v>1500</c:v>
                </c:pt>
                <c:pt idx="9">
                  <c:v>1500</c:v>
                </c:pt>
                <c:pt idx="10">
                  <c:v>1800</c:v>
                </c:pt>
                <c:pt idx="11">
                  <c:v>1800</c:v>
                </c:pt>
                <c:pt idx="12">
                  <c:v>1800</c:v>
                </c:pt>
                <c:pt idx="13">
                  <c:v>1800</c:v>
                </c:pt>
                <c:pt idx="14">
                  <c:v>1500</c:v>
                </c:pt>
                <c:pt idx="15">
                  <c:v>1200</c:v>
                </c:pt>
                <c:pt idx="16">
                  <c:v>1200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26-0343-8558-52B08EF40B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989984"/>
        <c:axId val="1601586976"/>
      </c:lineChart>
      <c:dateAx>
        <c:axId val="16019899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586976"/>
        <c:crosses val="autoZero"/>
        <c:auto val="1"/>
        <c:lblOffset val="100"/>
        <c:baseTimeUnit val="days"/>
      </c:dateAx>
      <c:valAx>
        <c:axId val="160158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98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'P33'!$F$3</c:f>
              <c:strCache>
                <c:ptCount val="1"/>
                <c:pt idx="0">
                  <c:v>% de Deuda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'P33'!$B$4:$B$21</c:f>
              <c:numCache>
                <c:formatCode>m/d/yy</c:formatCode>
                <c:ptCount val="18"/>
                <c:pt idx="0">
                  <c:v>45614</c:v>
                </c:pt>
                <c:pt idx="1">
                  <c:v>45621</c:v>
                </c:pt>
                <c:pt idx="2">
                  <c:v>45628</c:v>
                </c:pt>
                <c:pt idx="3">
                  <c:v>45635</c:v>
                </c:pt>
                <c:pt idx="4">
                  <c:v>45642</c:v>
                </c:pt>
                <c:pt idx="5">
                  <c:v>45649</c:v>
                </c:pt>
                <c:pt idx="6">
                  <c:v>45656</c:v>
                </c:pt>
                <c:pt idx="7">
                  <c:v>45663</c:v>
                </c:pt>
                <c:pt idx="8">
                  <c:v>45670</c:v>
                </c:pt>
                <c:pt idx="9">
                  <c:v>45677</c:v>
                </c:pt>
                <c:pt idx="10">
                  <c:v>45684</c:v>
                </c:pt>
                <c:pt idx="11">
                  <c:v>45691</c:v>
                </c:pt>
                <c:pt idx="12">
                  <c:v>45698</c:v>
                </c:pt>
                <c:pt idx="13">
                  <c:v>45705</c:v>
                </c:pt>
                <c:pt idx="14">
                  <c:v>45712</c:v>
                </c:pt>
                <c:pt idx="15">
                  <c:v>45719</c:v>
                </c:pt>
                <c:pt idx="16">
                  <c:v>45726</c:v>
                </c:pt>
                <c:pt idx="17">
                  <c:v>45733</c:v>
                </c:pt>
              </c:numCache>
            </c:numRef>
          </c:cat>
          <c:val>
            <c:numRef>
              <c:f>'P33'!$F$4:$F$21</c:f>
              <c:numCache>
                <c:formatCode>0.00%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5.8823529411764705E-2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B7-A947-AAD6-DC856CECAB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944288"/>
        <c:axId val="1869815472"/>
      </c:lineChart>
      <c:dateAx>
        <c:axId val="18509442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15472"/>
        <c:crosses val="autoZero"/>
        <c:auto val="1"/>
        <c:lblOffset val="100"/>
        <c:baseTimeUnit val="days"/>
      </c:dateAx>
      <c:valAx>
        <c:axId val="18698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4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</a:t>
            </a:r>
            <a:r>
              <a:rPr lang="en-US" baseline="0"/>
              <a:t> Vs Cobranza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'P34'!$C$3</c:f>
              <c:strCache>
                <c:ptCount val="1"/>
                <c:pt idx="0">
                  <c:v>Meta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'P34'!$B$4:$B$21</c:f>
              <c:numCache>
                <c:formatCode>m/d/yy</c:formatCode>
                <c:ptCount val="18"/>
                <c:pt idx="0">
                  <c:v>45614</c:v>
                </c:pt>
                <c:pt idx="1">
                  <c:v>45621</c:v>
                </c:pt>
                <c:pt idx="2">
                  <c:v>45628</c:v>
                </c:pt>
                <c:pt idx="3">
                  <c:v>45635</c:v>
                </c:pt>
                <c:pt idx="4">
                  <c:v>45642</c:v>
                </c:pt>
                <c:pt idx="5">
                  <c:v>45649</c:v>
                </c:pt>
                <c:pt idx="6">
                  <c:v>45656</c:v>
                </c:pt>
                <c:pt idx="7">
                  <c:v>45663</c:v>
                </c:pt>
                <c:pt idx="8">
                  <c:v>45670</c:v>
                </c:pt>
                <c:pt idx="9">
                  <c:v>45677</c:v>
                </c:pt>
                <c:pt idx="10">
                  <c:v>45684</c:v>
                </c:pt>
                <c:pt idx="11">
                  <c:v>45691</c:v>
                </c:pt>
                <c:pt idx="12">
                  <c:v>45698</c:v>
                </c:pt>
                <c:pt idx="13">
                  <c:v>45705</c:v>
                </c:pt>
                <c:pt idx="14">
                  <c:v>45712</c:v>
                </c:pt>
                <c:pt idx="15">
                  <c:v>45719</c:v>
                </c:pt>
                <c:pt idx="16">
                  <c:v>45726</c:v>
                </c:pt>
                <c:pt idx="17">
                  <c:v>45733</c:v>
                </c:pt>
              </c:numCache>
            </c:numRef>
          </c:cat>
          <c:val>
            <c:numRef>
              <c:f>'P34'!$C$4:$C$21</c:f>
              <c:numCache>
                <c:formatCode>_("$"* #,##0.00_);_("$"* \(#,##0.00\);_("$"* "-"??_);_(@_)</c:formatCode>
                <c:ptCount val="18"/>
                <c:pt idx="0">
                  <c:v>600</c:v>
                </c:pt>
                <c:pt idx="1">
                  <c:v>1200</c:v>
                </c:pt>
                <c:pt idx="2">
                  <c:v>1500</c:v>
                </c:pt>
                <c:pt idx="3">
                  <c:v>2100</c:v>
                </c:pt>
                <c:pt idx="4">
                  <c:v>2400</c:v>
                </c:pt>
                <c:pt idx="5">
                  <c:v>2700</c:v>
                </c:pt>
                <c:pt idx="6">
                  <c:v>2700</c:v>
                </c:pt>
                <c:pt idx="7">
                  <c:v>3000</c:v>
                </c:pt>
                <c:pt idx="8">
                  <c:v>3500</c:v>
                </c:pt>
                <c:pt idx="9">
                  <c:v>3800</c:v>
                </c:pt>
                <c:pt idx="10">
                  <c:v>3850</c:v>
                </c:pt>
                <c:pt idx="11">
                  <c:v>3850</c:v>
                </c:pt>
                <c:pt idx="12">
                  <c:v>3850</c:v>
                </c:pt>
                <c:pt idx="13">
                  <c:v>3950</c:v>
                </c:pt>
                <c:pt idx="14">
                  <c:v>3950</c:v>
                </c:pt>
                <c:pt idx="15">
                  <c:v>3650</c:v>
                </c:pt>
                <c:pt idx="16">
                  <c:v>3700</c:v>
                </c:pt>
                <c:pt idx="17">
                  <c:v>3450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C6-CF45-8CFA-8210155D1AC5}"/>
            </c:ext>
          </c:extLst>
        </c:ser>
        <c:ser>
          <c:idx val="1"/>
          <c:order val="1"/>
          <c:tx>
            <c:strRef>
              <c:f>'P34'!$D$3</c:f>
              <c:strCache>
                <c:ptCount val="1"/>
                <c:pt idx="0">
                  <c:v>Cobranza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'P34'!$B$4:$B$21</c:f>
              <c:numCache>
                <c:formatCode>m/d/yy</c:formatCode>
                <c:ptCount val="18"/>
                <c:pt idx="0">
                  <c:v>45614</c:v>
                </c:pt>
                <c:pt idx="1">
                  <c:v>45621</c:v>
                </c:pt>
                <c:pt idx="2">
                  <c:v>45628</c:v>
                </c:pt>
                <c:pt idx="3">
                  <c:v>45635</c:v>
                </c:pt>
                <c:pt idx="4">
                  <c:v>45642</c:v>
                </c:pt>
                <c:pt idx="5">
                  <c:v>45649</c:v>
                </c:pt>
                <c:pt idx="6">
                  <c:v>45656</c:v>
                </c:pt>
                <c:pt idx="7">
                  <c:v>45663</c:v>
                </c:pt>
                <c:pt idx="8">
                  <c:v>45670</c:v>
                </c:pt>
                <c:pt idx="9">
                  <c:v>45677</c:v>
                </c:pt>
                <c:pt idx="10">
                  <c:v>45684</c:v>
                </c:pt>
                <c:pt idx="11">
                  <c:v>45691</c:v>
                </c:pt>
                <c:pt idx="12">
                  <c:v>45698</c:v>
                </c:pt>
                <c:pt idx="13">
                  <c:v>45705</c:v>
                </c:pt>
                <c:pt idx="14">
                  <c:v>45712</c:v>
                </c:pt>
                <c:pt idx="15">
                  <c:v>45719</c:v>
                </c:pt>
                <c:pt idx="16">
                  <c:v>45726</c:v>
                </c:pt>
                <c:pt idx="17">
                  <c:v>45733</c:v>
                </c:pt>
              </c:numCache>
            </c:numRef>
          </c:cat>
          <c:val>
            <c:numRef>
              <c:f>'P34'!$D$4:$D$21</c:f>
              <c:numCache>
                <c:formatCode>_("$"* #,##0.00_);_("$"* \(#,##0.00\);_("$"* "-"??_);_(@_)</c:formatCode>
                <c:ptCount val="18"/>
                <c:pt idx="0">
                  <c:v>600</c:v>
                </c:pt>
                <c:pt idx="1">
                  <c:v>1200</c:v>
                </c:pt>
                <c:pt idx="2">
                  <c:v>1500</c:v>
                </c:pt>
                <c:pt idx="3">
                  <c:v>2100</c:v>
                </c:pt>
                <c:pt idx="4">
                  <c:v>2400</c:v>
                </c:pt>
                <c:pt idx="5">
                  <c:v>2700</c:v>
                </c:pt>
                <c:pt idx="6">
                  <c:v>2700</c:v>
                </c:pt>
                <c:pt idx="7">
                  <c:v>3000</c:v>
                </c:pt>
                <c:pt idx="8">
                  <c:v>3500</c:v>
                </c:pt>
                <c:pt idx="9">
                  <c:v>3800</c:v>
                </c:pt>
                <c:pt idx="10">
                  <c:v>3850</c:v>
                </c:pt>
                <c:pt idx="11">
                  <c:v>4150</c:v>
                </c:pt>
                <c:pt idx="12">
                  <c:v>3250</c:v>
                </c:pt>
                <c:pt idx="13">
                  <c:v>3650</c:v>
                </c:pt>
                <c:pt idx="14">
                  <c:v>3950</c:v>
                </c:pt>
                <c:pt idx="15">
                  <c:v>3650</c:v>
                </c:pt>
                <c:pt idx="16">
                  <c:v>3700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C6-CF45-8CFA-8210155D1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989984"/>
        <c:axId val="1601586976"/>
      </c:lineChart>
      <c:dateAx>
        <c:axId val="16019899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586976"/>
        <c:crosses val="autoZero"/>
        <c:auto val="1"/>
        <c:lblOffset val="100"/>
        <c:baseTimeUnit val="days"/>
      </c:dateAx>
      <c:valAx>
        <c:axId val="160158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98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'P34'!$F$3</c:f>
              <c:strCache>
                <c:ptCount val="1"/>
                <c:pt idx="0">
                  <c:v>% de Deuda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'P34'!$B$4:$B$21</c:f>
              <c:numCache>
                <c:formatCode>m/d/yy</c:formatCode>
                <c:ptCount val="18"/>
                <c:pt idx="0">
                  <c:v>45614</c:v>
                </c:pt>
                <c:pt idx="1">
                  <c:v>45621</c:v>
                </c:pt>
                <c:pt idx="2">
                  <c:v>45628</c:v>
                </c:pt>
                <c:pt idx="3">
                  <c:v>45635</c:v>
                </c:pt>
                <c:pt idx="4">
                  <c:v>45642</c:v>
                </c:pt>
                <c:pt idx="5">
                  <c:v>45649</c:v>
                </c:pt>
                <c:pt idx="6">
                  <c:v>45656</c:v>
                </c:pt>
                <c:pt idx="7">
                  <c:v>45663</c:v>
                </c:pt>
                <c:pt idx="8">
                  <c:v>45670</c:v>
                </c:pt>
                <c:pt idx="9">
                  <c:v>45677</c:v>
                </c:pt>
                <c:pt idx="10">
                  <c:v>45684</c:v>
                </c:pt>
                <c:pt idx="11">
                  <c:v>45691</c:v>
                </c:pt>
                <c:pt idx="12">
                  <c:v>45698</c:v>
                </c:pt>
                <c:pt idx="13">
                  <c:v>45705</c:v>
                </c:pt>
                <c:pt idx="14">
                  <c:v>45712</c:v>
                </c:pt>
                <c:pt idx="15">
                  <c:v>45719</c:v>
                </c:pt>
                <c:pt idx="16">
                  <c:v>45726</c:v>
                </c:pt>
                <c:pt idx="17">
                  <c:v>45733</c:v>
                </c:pt>
              </c:numCache>
            </c:numRef>
          </c:cat>
          <c:val>
            <c:numRef>
              <c:f>'P34'!$F$4:$F$21</c:f>
              <c:numCache>
                <c:formatCode>0.00%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8.5592011412268191E-3</c:v>
                </c:pt>
                <c:pt idx="13">
                  <c:v>1.5384615384615385E-2</c:v>
                </c:pt>
                <c:pt idx="14">
                  <c:v>1.3969732246798603E-2</c:v>
                </c:pt>
                <c:pt idx="15">
                  <c:v>1.2875536480686695E-2</c:v>
                </c:pt>
                <c:pt idx="16">
                  <c:v>1.1928429423459244E-2</c:v>
                </c:pt>
                <c:pt idx="17">
                  <c:v>7.5348837209302327E-2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26-0643-AFB8-7B2A80327D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944288"/>
        <c:axId val="1869815472"/>
      </c:lineChart>
      <c:dateAx>
        <c:axId val="18509442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15472"/>
        <c:crosses val="autoZero"/>
        <c:auto val="1"/>
        <c:lblOffset val="100"/>
        <c:baseTimeUnit val="days"/>
      </c:dateAx>
      <c:valAx>
        <c:axId val="18698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4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</a:t>
            </a:r>
            <a:r>
              <a:rPr lang="en-US" baseline="0"/>
              <a:t> Vs Cobranza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'P36'!$C$3</c:f>
              <c:strCache>
                <c:ptCount val="1"/>
                <c:pt idx="0">
                  <c:v>Meta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'P36'!$B$4:$B$21</c:f>
              <c:numCache>
                <c:formatCode>m/d/yy</c:formatCode>
                <c:ptCount val="18"/>
                <c:pt idx="0">
                  <c:v>45614</c:v>
                </c:pt>
                <c:pt idx="1">
                  <c:v>45621</c:v>
                </c:pt>
                <c:pt idx="2">
                  <c:v>45628</c:v>
                </c:pt>
                <c:pt idx="3">
                  <c:v>45635</c:v>
                </c:pt>
                <c:pt idx="4">
                  <c:v>45642</c:v>
                </c:pt>
                <c:pt idx="5">
                  <c:v>45649</c:v>
                </c:pt>
                <c:pt idx="6">
                  <c:v>45656</c:v>
                </c:pt>
                <c:pt idx="7">
                  <c:v>45663</c:v>
                </c:pt>
                <c:pt idx="8">
                  <c:v>45670</c:v>
                </c:pt>
                <c:pt idx="9">
                  <c:v>45677</c:v>
                </c:pt>
                <c:pt idx="10">
                  <c:v>45684</c:v>
                </c:pt>
                <c:pt idx="11">
                  <c:v>45691</c:v>
                </c:pt>
                <c:pt idx="12">
                  <c:v>45698</c:v>
                </c:pt>
                <c:pt idx="13">
                  <c:v>45705</c:v>
                </c:pt>
                <c:pt idx="14">
                  <c:v>45712</c:v>
                </c:pt>
                <c:pt idx="15">
                  <c:v>45719</c:v>
                </c:pt>
                <c:pt idx="16">
                  <c:v>45726</c:v>
                </c:pt>
                <c:pt idx="17">
                  <c:v>45733</c:v>
                </c:pt>
              </c:numCache>
            </c:numRef>
          </c:cat>
          <c:val>
            <c:numRef>
              <c:f>'P36'!$C$4:$C$21</c:f>
              <c:numCache>
                <c:formatCode>_("$"* #,##0.00_);_("$"* \(#,##0.00\);_("$"* "-"??_);_(@_)</c:formatCode>
                <c:ptCount val="18"/>
                <c:pt idx="0">
                  <c:v>300</c:v>
                </c:pt>
                <c:pt idx="1">
                  <c:v>600</c:v>
                </c:pt>
                <c:pt idx="2">
                  <c:v>1150</c:v>
                </c:pt>
                <c:pt idx="3">
                  <c:v>1150</c:v>
                </c:pt>
                <c:pt idx="4">
                  <c:v>1400</c:v>
                </c:pt>
                <c:pt idx="5">
                  <c:v>1400</c:v>
                </c:pt>
                <c:pt idx="6">
                  <c:v>1700</c:v>
                </c:pt>
                <c:pt idx="7">
                  <c:v>2000</c:v>
                </c:pt>
                <c:pt idx="8">
                  <c:v>2000</c:v>
                </c:pt>
                <c:pt idx="9">
                  <c:v>2600</c:v>
                </c:pt>
                <c:pt idx="10">
                  <c:v>2600</c:v>
                </c:pt>
                <c:pt idx="11">
                  <c:v>2600</c:v>
                </c:pt>
                <c:pt idx="12">
                  <c:v>2100</c:v>
                </c:pt>
                <c:pt idx="13">
                  <c:v>2750</c:v>
                </c:pt>
                <c:pt idx="14">
                  <c:v>2800</c:v>
                </c:pt>
                <c:pt idx="15">
                  <c:v>2850</c:v>
                </c:pt>
                <c:pt idx="16">
                  <c:v>3150</c:v>
                </c:pt>
                <c:pt idx="17">
                  <c:v>3450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9F-FF40-9C03-F6F0B1643BD6}"/>
            </c:ext>
          </c:extLst>
        </c:ser>
        <c:ser>
          <c:idx val="1"/>
          <c:order val="1"/>
          <c:tx>
            <c:strRef>
              <c:f>'P36'!$D$3</c:f>
              <c:strCache>
                <c:ptCount val="1"/>
                <c:pt idx="0">
                  <c:v>Cobranza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'P36'!$B$4:$B$21</c:f>
              <c:numCache>
                <c:formatCode>m/d/yy</c:formatCode>
                <c:ptCount val="18"/>
                <c:pt idx="0">
                  <c:v>45614</c:v>
                </c:pt>
                <c:pt idx="1">
                  <c:v>45621</c:v>
                </c:pt>
                <c:pt idx="2">
                  <c:v>45628</c:v>
                </c:pt>
                <c:pt idx="3">
                  <c:v>45635</c:v>
                </c:pt>
                <c:pt idx="4">
                  <c:v>45642</c:v>
                </c:pt>
                <c:pt idx="5">
                  <c:v>45649</c:v>
                </c:pt>
                <c:pt idx="6">
                  <c:v>45656</c:v>
                </c:pt>
                <c:pt idx="7">
                  <c:v>45663</c:v>
                </c:pt>
                <c:pt idx="8">
                  <c:v>45670</c:v>
                </c:pt>
                <c:pt idx="9">
                  <c:v>45677</c:v>
                </c:pt>
                <c:pt idx="10">
                  <c:v>45684</c:v>
                </c:pt>
                <c:pt idx="11">
                  <c:v>45691</c:v>
                </c:pt>
                <c:pt idx="12">
                  <c:v>45698</c:v>
                </c:pt>
                <c:pt idx="13">
                  <c:v>45705</c:v>
                </c:pt>
                <c:pt idx="14">
                  <c:v>45712</c:v>
                </c:pt>
                <c:pt idx="15">
                  <c:v>45719</c:v>
                </c:pt>
                <c:pt idx="16">
                  <c:v>45726</c:v>
                </c:pt>
                <c:pt idx="17">
                  <c:v>45733</c:v>
                </c:pt>
              </c:numCache>
            </c:numRef>
          </c:cat>
          <c:val>
            <c:numRef>
              <c:f>'P36'!$D$4:$D$21</c:f>
              <c:numCache>
                <c:formatCode>_("$"* #,##0.00_);_("$"* \(#,##0.00\);_("$"* "-"??_);_(@_)</c:formatCode>
                <c:ptCount val="18"/>
                <c:pt idx="0">
                  <c:v>300</c:v>
                </c:pt>
                <c:pt idx="1">
                  <c:v>600</c:v>
                </c:pt>
                <c:pt idx="2">
                  <c:v>1150</c:v>
                </c:pt>
                <c:pt idx="3">
                  <c:v>1400</c:v>
                </c:pt>
                <c:pt idx="4">
                  <c:v>1150</c:v>
                </c:pt>
                <c:pt idx="5">
                  <c:v>1400</c:v>
                </c:pt>
                <c:pt idx="6">
                  <c:v>1700</c:v>
                </c:pt>
                <c:pt idx="7">
                  <c:v>2000</c:v>
                </c:pt>
                <c:pt idx="8">
                  <c:v>2000</c:v>
                </c:pt>
                <c:pt idx="9">
                  <c:v>2600</c:v>
                </c:pt>
                <c:pt idx="10">
                  <c:v>2600</c:v>
                </c:pt>
                <c:pt idx="11">
                  <c:v>2300</c:v>
                </c:pt>
                <c:pt idx="12">
                  <c:v>2350</c:v>
                </c:pt>
                <c:pt idx="13">
                  <c:v>2150</c:v>
                </c:pt>
                <c:pt idx="14">
                  <c:v>2200</c:v>
                </c:pt>
                <c:pt idx="15">
                  <c:v>2250</c:v>
                </c:pt>
                <c:pt idx="16">
                  <c:v>2550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9F-FF40-9C03-F6F0B1643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989984"/>
        <c:axId val="1601586976"/>
      </c:lineChart>
      <c:dateAx>
        <c:axId val="16019899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586976"/>
        <c:crosses val="autoZero"/>
        <c:auto val="1"/>
        <c:lblOffset val="100"/>
        <c:baseTimeUnit val="days"/>
      </c:dateAx>
      <c:valAx>
        <c:axId val="160158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98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'P36'!$F$3</c:f>
              <c:strCache>
                <c:ptCount val="1"/>
                <c:pt idx="0">
                  <c:v>% de Deuda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'P36'!$B$4:$B$21</c:f>
              <c:numCache>
                <c:formatCode>m/d/yy</c:formatCode>
                <c:ptCount val="18"/>
                <c:pt idx="0">
                  <c:v>45614</c:v>
                </c:pt>
                <c:pt idx="1">
                  <c:v>45621</c:v>
                </c:pt>
                <c:pt idx="2">
                  <c:v>45628</c:v>
                </c:pt>
                <c:pt idx="3">
                  <c:v>45635</c:v>
                </c:pt>
                <c:pt idx="4">
                  <c:v>45642</c:v>
                </c:pt>
                <c:pt idx="5">
                  <c:v>45649</c:v>
                </c:pt>
                <c:pt idx="6">
                  <c:v>45656</c:v>
                </c:pt>
                <c:pt idx="7">
                  <c:v>45663</c:v>
                </c:pt>
                <c:pt idx="8">
                  <c:v>45670</c:v>
                </c:pt>
                <c:pt idx="9">
                  <c:v>45677</c:v>
                </c:pt>
                <c:pt idx="10">
                  <c:v>45684</c:v>
                </c:pt>
                <c:pt idx="11">
                  <c:v>45691</c:v>
                </c:pt>
                <c:pt idx="12">
                  <c:v>45698</c:v>
                </c:pt>
                <c:pt idx="13">
                  <c:v>45705</c:v>
                </c:pt>
                <c:pt idx="14">
                  <c:v>45712</c:v>
                </c:pt>
                <c:pt idx="15">
                  <c:v>45719</c:v>
                </c:pt>
                <c:pt idx="16">
                  <c:v>45726</c:v>
                </c:pt>
                <c:pt idx="17">
                  <c:v>45733</c:v>
                </c:pt>
              </c:numCache>
            </c:numRef>
          </c:cat>
          <c:val>
            <c:numRef>
              <c:f>'P36'!$F$4:$F$21</c:f>
              <c:numCache>
                <c:formatCode>0.00%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1.5384615384615385E-2</c:v>
                </c:pt>
                <c:pt idx="12">
                  <c:v>2.3148148148148147E-3</c:v>
                </c:pt>
                <c:pt idx="13">
                  <c:v>2.6694045174537988E-2</c:v>
                </c:pt>
                <c:pt idx="14">
                  <c:v>4.6040515653775323E-2</c:v>
                </c:pt>
                <c:pt idx="15">
                  <c:v>6.1666666666666668E-2</c:v>
                </c:pt>
                <c:pt idx="16">
                  <c:v>7.3906485671191555E-2</c:v>
                </c:pt>
                <c:pt idx="17">
                  <c:v>0.16120218579234974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34-7745-93E8-9FE75C9C00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944288"/>
        <c:axId val="1869815472"/>
      </c:lineChart>
      <c:dateAx>
        <c:axId val="18509442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15472"/>
        <c:crosses val="autoZero"/>
        <c:auto val="1"/>
        <c:lblOffset val="100"/>
        <c:baseTimeUnit val="days"/>
      </c:dateAx>
      <c:valAx>
        <c:axId val="18698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4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</a:t>
            </a:r>
            <a:r>
              <a:rPr lang="en-US" baseline="0"/>
              <a:t> Vs Cobranza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'P37'!$C$3</c:f>
              <c:strCache>
                <c:ptCount val="1"/>
                <c:pt idx="0">
                  <c:v>Meta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'P37'!$B$4:$B$22</c:f>
              <c:numCache>
                <c:formatCode>m/d/yy</c:formatCode>
                <c:ptCount val="19"/>
                <c:pt idx="0">
                  <c:v>45607</c:v>
                </c:pt>
                <c:pt idx="1">
                  <c:v>45614</c:v>
                </c:pt>
                <c:pt idx="2">
                  <c:v>45621</c:v>
                </c:pt>
                <c:pt idx="3">
                  <c:v>45628</c:v>
                </c:pt>
                <c:pt idx="4">
                  <c:v>45635</c:v>
                </c:pt>
                <c:pt idx="5">
                  <c:v>45642</c:v>
                </c:pt>
                <c:pt idx="6">
                  <c:v>45649</c:v>
                </c:pt>
                <c:pt idx="7">
                  <c:v>45656</c:v>
                </c:pt>
                <c:pt idx="8">
                  <c:v>45663</c:v>
                </c:pt>
                <c:pt idx="9">
                  <c:v>45670</c:v>
                </c:pt>
                <c:pt idx="10">
                  <c:v>45677</c:v>
                </c:pt>
                <c:pt idx="11">
                  <c:v>45684</c:v>
                </c:pt>
                <c:pt idx="12">
                  <c:v>45691</c:v>
                </c:pt>
                <c:pt idx="13">
                  <c:v>45698</c:v>
                </c:pt>
                <c:pt idx="14">
                  <c:v>45705</c:v>
                </c:pt>
                <c:pt idx="15">
                  <c:v>45712</c:v>
                </c:pt>
                <c:pt idx="16">
                  <c:v>45719</c:v>
                </c:pt>
                <c:pt idx="17">
                  <c:v>45726</c:v>
                </c:pt>
                <c:pt idx="18">
                  <c:v>45733</c:v>
                </c:pt>
              </c:numCache>
            </c:numRef>
          </c:cat>
          <c:val>
            <c:numRef>
              <c:f>'P37'!$C$4:$C$22</c:f>
              <c:numCache>
                <c:formatCode>_("$"* #,##0.00_);_("$"* \(#,##0.00\);_("$"* "-"??_);_(@_)</c:formatCode>
                <c:ptCount val="19"/>
                <c:pt idx="0">
                  <c:v>300</c:v>
                </c:pt>
                <c:pt idx="1">
                  <c:v>600</c:v>
                </c:pt>
                <c:pt idx="2">
                  <c:v>1500</c:v>
                </c:pt>
                <c:pt idx="3">
                  <c:v>1500</c:v>
                </c:pt>
                <c:pt idx="4">
                  <c:v>1500</c:v>
                </c:pt>
                <c:pt idx="5">
                  <c:v>1500</c:v>
                </c:pt>
                <c:pt idx="6">
                  <c:v>1500</c:v>
                </c:pt>
                <c:pt idx="7">
                  <c:v>1500</c:v>
                </c:pt>
                <c:pt idx="8">
                  <c:v>1500</c:v>
                </c:pt>
                <c:pt idx="9">
                  <c:v>1800</c:v>
                </c:pt>
                <c:pt idx="10">
                  <c:v>1800</c:v>
                </c:pt>
                <c:pt idx="11">
                  <c:v>1500</c:v>
                </c:pt>
                <c:pt idx="12">
                  <c:v>1850</c:v>
                </c:pt>
                <c:pt idx="13">
                  <c:v>1850</c:v>
                </c:pt>
                <c:pt idx="14">
                  <c:v>1850</c:v>
                </c:pt>
                <c:pt idx="15">
                  <c:v>1550</c:v>
                </c:pt>
                <c:pt idx="16">
                  <c:v>650</c:v>
                </c:pt>
                <c:pt idx="17">
                  <c:v>650</c:v>
                </c:pt>
                <c:pt idx="18">
                  <c:v>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FA-B140-9C91-D77690D91A3E}"/>
            </c:ext>
          </c:extLst>
        </c:ser>
        <c:ser>
          <c:idx val="1"/>
          <c:order val="1"/>
          <c:tx>
            <c:strRef>
              <c:f>'P37'!$D$3</c:f>
              <c:strCache>
                <c:ptCount val="1"/>
                <c:pt idx="0">
                  <c:v>Cobranza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'P37'!$B$4:$B$22</c:f>
              <c:numCache>
                <c:formatCode>m/d/yy</c:formatCode>
                <c:ptCount val="19"/>
                <c:pt idx="0">
                  <c:v>45607</c:v>
                </c:pt>
                <c:pt idx="1">
                  <c:v>45614</c:v>
                </c:pt>
                <c:pt idx="2">
                  <c:v>45621</c:v>
                </c:pt>
                <c:pt idx="3">
                  <c:v>45628</c:v>
                </c:pt>
                <c:pt idx="4">
                  <c:v>45635</c:v>
                </c:pt>
                <c:pt idx="5">
                  <c:v>45642</c:v>
                </c:pt>
                <c:pt idx="6">
                  <c:v>45649</c:v>
                </c:pt>
                <c:pt idx="7">
                  <c:v>45656</c:v>
                </c:pt>
                <c:pt idx="8">
                  <c:v>45663</c:v>
                </c:pt>
                <c:pt idx="9">
                  <c:v>45670</c:v>
                </c:pt>
                <c:pt idx="10">
                  <c:v>45677</c:v>
                </c:pt>
                <c:pt idx="11">
                  <c:v>45684</c:v>
                </c:pt>
                <c:pt idx="12">
                  <c:v>45691</c:v>
                </c:pt>
                <c:pt idx="13">
                  <c:v>45698</c:v>
                </c:pt>
                <c:pt idx="14">
                  <c:v>45705</c:v>
                </c:pt>
                <c:pt idx="15">
                  <c:v>45712</c:v>
                </c:pt>
                <c:pt idx="16">
                  <c:v>45719</c:v>
                </c:pt>
                <c:pt idx="17">
                  <c:v>45726</c:v>
                </c:pt>
                <c:pt idx="18">
                  <c:v>45733</c:v>
                </c:pt>
              </c:numCache>
            </c:numRef>
          </c:cat>
          <c:val>
            <c:numRef>
              <c:f>'P37'!$D$4:$D$22</c:f>
              <c:numCache>
                <c:formatCode>_("$"* #,##0.00_);_("$"* \(#,##0.00\);_("$"* "-"??_);_(@_)</c:formatCode>
                <c:ptCount val="19"/>
                <c:pt idx="0">
                  <c:v>300</c:v>
                </c:pt>
                <c:pt idx="1">
                  <c:v>600</c:v>
                </c:pt>
                <c:pt idx="2">
                  <c:v>1500</c:v>
                </c:pt>
                <c:pt idx="3">
                  <c:v>1800</c:v>
                </c:pt>
                <c:pt idx="4">
                  <c:v>1200</c:v>
                </c:pt>
                <c:pt idx="5">
                  <c:v>900</c:v>
                </c:pt>
                <c:pt idx="6">
                  <c:v>1500</c:v>
                </c:pt>
                <c:pt idx="7">
                  <c:v>1500</c:v>
                </c:pt>
                <c:pt idx="8">
                  <c:v>1500</c:v>
                </c:pt>
                <c:pt idx="9">
                  <c:v>1200</c:v>
                </c:pt>
                <c:pt idx="10">
                  <c:v>900</c:v>
                </c:pt>
                <c:pt idx="11">
                  <c:v>1500</c:v>
                </c:pt>
                <c:pt idx="12">
                  <c:v>0</c:v>
                </c:pt>
                <c:pt idx="13">
                  <c:v>1600</c:v>
                </c:pt>
                <c:pt idx="14">
                  <c:v>1650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FA-B140-9C91-D77690D91A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989984"/>
        <c:axId val="1601586976"/>
      </c:lineChart>
      <c:dateAx>
        <c:axId val="16019899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586976"/>
        <c:crosses val="autoZero"/>
        <c:auto val="1"/>
        <c:lblOffset val="100"/>
        <c:baseTimeUnit val="days"/>
      </c:dateAx>
      <c:valAx>
        <c:axId val="160158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98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'P37'!$F$3</c:f>
              <c:strCache>
                <c:ptCount val="1"/>
                <c:pt idx="0">
                  <c:v>% de Deuda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'P37'!$B$4:$B$22</c:f>
              <c:numCache>
                <c:formatCode>m/d/yy</c:formatCode>
                <c:ptCount val="19"/>
                <c:pt idx="0">
                  <c:v>45607</c:v>
                </c:pt>
                <c:pt idx="1">
                  <c:v>45614</c:v>
                </c:pt>
                <c:pt idx="2">
                  <c:v>45621</c:v>
                </c:pt>
                <c:pt idx="3">
                  <c:v>45628</c:v>
                </c:pt>
                <c:pt idx="4">
                  <c:v>45635</c:v>
                </c:pt>
                <c:pt idx="5">
                  <c:v>45642</c:v>
                </c:pt>
                <c:pt idx="6">
                  <c:v>45649</c:v>
                </c:pt>
                <c:pt idx="7">
                  <c:v>45656</c:v>
                </c:pt>
                <c:pt idx="8">
                  <c:v>45663</c:v>
                </c:pt>
                <c:pt idx="9">
                  <c:v>45670</c:v>
                </c:pt>
                <c:pt idx="10">
                  <c:v>45677</c:v>
                </c:pt>
                <c:pt idx="11">
                  <c:v>45684</c:v>
                </c:pt>
                <c:pt idx="12">
                  <c:v>45691</c:v>
                </c:pt>
                <c:pt idx="13">
                  <c:v>45698</c:v>
                </c:pt>
                <c:pt idx="14">
                  <c:v>45705</c:v>
                </c:pt>
                <c:pt idx="15">
                  <c:v>45712</c:v>
                </c:pt>
                <c:pt idx="16">
                  <c:v>45719</c:v>
                </c:pt>
                <c:pt idx="17">
                  <c:v>45726</c:v>
                </c:pt>
                <c:pt idx="18">
                  <c:v>45733</c:v>
                </c:pt>
              </c:numCache>
            </c:numRef>
          </c:cat>
          <c:val>
            <c:numRef>
              <c:f>'P37'!$F$4:$F$22</c:f>
              <c:numCache>
                <c:formatCode>0.00%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8.6956521739130432E-2</c:v>
                </c:pt>
                <c:pt idx="6">
                  <c:v>7.1428571428571425E-2</c:v>
                </c:pt>
                <c:pt idx="7">
                  <c:v>6.0606060606060608E-2</c:v>
                </c:pt>
                <c:pt idx="8">
                  <c:v>5.2631578947368418E-2</c:v>
                </c:pt>
                <c:pt idx="9">
                  <c:v>9.0909090909090912E-2</c:v>
                </c:pt>
                <c:pt idx="10">
                  <c:v>0.14000000000000001</c:v>
                </c:pt>
                <c:pt idx="11">
                  <c:v>0.12727272727272726</c:v>
                </c:pt>
                <c:pt idx="12">
                  <c:v>0.21525885558583105</c:v>
                </c:pt>
                <c:pt idx="13">
                  <c:v>0.20792079207920791</c:v>
                </c:pt>
                <c:pt idx="14">
                  <c:v>0.19954648526077098</c:v>
                </c:pt>
                <c:pt idx="15">
                  <c:v>0.2521186440677966</c:v>
                </c:pt>
                <c:pt idx="16">
                  <c:v>0.27216494845360822</c:v>
                </c:pt>
                <c:pt idx="17">
                  <c:v>0.29116465863453816</c:v>
                </c:pt>
                <c:pt idx="18">
                  <c:v>0.30919765166340507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FF-FC4B-B558-C272C55327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944288"/>
        <c:axId val="1869815472"/>
      </c:lineChart>
      <c:dateAx>
        <c:axId val="18509442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15472"/>
        <c:crosses val="autoZero"/>
        <c:auto val="1"/>
        <c:lblOffset val="100"/>
        <c:baseTimeUnit val="days"/>
      </c:dateAx>
      <c:valAx>
        <c:axId val="18698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4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</a:t>
            </a:r>
            <a:r>
              <a:rPr lang="en-US" baseline="0"/>
              <a:t> Vs Cobranza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'P38'!$C$3</c:f>
              <c:strCache>
                <c:ptCount val="1"/>
                <c:pt idx="0">
                  <c:v>Meta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'P38'!$B$4:$B$18</c:f>
              <c:numCache>
                <c:formatCode>m/d/yy</c:formatCode>
                <c:ptCount val="15"/>
                <c:pt idx="0">
                  <c:v>45635</c:v>
                </c:pt>
                <c:pt idx="1">
                  <c:v>45642</c:v>
                </c:pt>
                <c:pt idx="2">
                  <c:v>45649</c:v>
                </c:pt>
                <c:pt idx="3">
                  <c:v>45656</c:v>
                </c:pt>
                <c:pt idx="4">
                  <c:v>45663</c:v>
                </c:pt>
                <c:pt idx="5">
                  <c:v>45670</c:v>
                </c:pt>
                <c:pt idx="6">
                  <c:v>45677</c:v>
                </c:pt>
                <c:pt idx="7">
                  <c:v>45684</c:v>
                </c:pt>
                <c:pt idx="8">
                  <c:v>45691</c:v>
                </c:pt>
                <c:pt idx="9">
                  <c:v>45698</c:v>
                </c:pt>
                <c:pt idx="10">
                  <c:v>45705</c:v>
                </c:pt>
                <c:pt idx="11">
                  <c:v>45712</c:v>
                </c:pt>
                <c:pt idx="12">
                  <c:v>45719</c:v>
                </c:pt>
                <c:pt idx="13">
                  <c:v>45726</c:v>
                </c:pt>
                <c:pt idx="14">
                  <c:v>45733</c:v>
                </c:pt>
              </c:numCache>
            </c:numRef>
          </c:cat>
          <c:val>
            <c:numRef>
              <c:f>'P38'!$C$4:$C$18</c:f>
              <c:numCache>
                <c:formatCode>_("$"* #,##0.00_);_("$"* \(#,##0.00\);_("$"* "-"??_);_(@_)</c:formatCode>
                <c:ptCount val="15"/>
                <c:pt idx="0">
                  <c:v>600</c:v>
                </c:pt>
                <c:pt idx="1">
                  <c:v>1500</c:v>
                </c:pt>
                <c:pt idx="2">
                  <c:v>2100</c:v>
                </c:pt>
                <c:pt idx="3">
                  <c:v>2100</c:v>
                </c:pt>
                <c:pt idx="4">
                  <c:v>2100</c:v>
                </c:pt>
                <c:pt idx="5">
                  <c:v>2400</c:v>
                </c:pt>
                <c:pt idx="6">
                  <c:v>2400</c:v>
                </c:pt>
                <c:pt idx="7">
                  <c:v>2400</c:v>
                </c:pt>
                <c:pt idx="8">
                  <c:v>2700</c:v>
                </c:pt>
                <c:pt idx="9">
                  <c:v>2700</c:v>
                </c:pt>
                <c:pt idx="10">
                  <c:v>2700</c:v>
                </c:pt>
                <c:pt idx="11">
                  <c:v>2700</c:v>
                </c:pt>
                <c:pt idx="12">
                  <c:v>2700</c:v>
                </c:pt>
                <c:pt idx="13">
                  <c:v>2700</c:v>
                </c:pt>
                <c:pt idx="14">
                  <c:v>2100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42-5A4B-9FF9-C4C52A42B9CD}"/>
            </c:ext>
          </c:extLst>
        </c:ser>
        <c:ser>
          <c:idx val="1"/>
          <c:order val="1"/>
          <c:tx>
            <c:strRef>
              <c:f>'P38'!$D$3</c:f>
              <c:strCache>
                <c:ptCount val="1"/>
                <c:pt idx="0">
                  <c:v>Cobranza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'P38'!$B$4:$B$18</c:f>
              <c:numCache>
                <c:formatCode>m/d/yy</c:formatCode>
                <c:ptCount val="15"/>
                <c:pt idx="0">
                  <c:v>45635</c:v>
                </c:pt>
                <c:pt idx="1">
                  <c:v>45642</c:v>
                </c:pt>
                <c:pt idx="2">
                  <c:v>45649</c:v>
                </c:pt>
                <c:pt idx="3">
                  <c:v>45656</c:v>
                </c:pt>
                <c:pt idx="4">
                  <c:v>45663</c:v>
                </c:pt>
                <c:pt idx="5">
                  <c:v>45670</c:v>
                </c:pt>
                <c:pt idx="6">
                  <c:v>45677</c:v>
                </c:pt>
                <c:pt idx="7">
                  <c:v>45684</c:v>
                </c:pt>
                <c:pt idx="8">
                  <c:v>45691</c:v>
                </c:pt>
                <c:pt idx="9">
                  <c:v>45698</c:v>
                </c:pt>
                <c:pt idx="10">
                  <c:v>45705</c:v>
                </c:pt>
                <c:pt idx="11">
                  <c:v>45712</c:v>
                </c:pt>
                <c:pt idx="12">
                  <c:v>45719</c:v>
                </c:pt>
                <c:pt idx="13">
                  <c:v>45726</c:v>
                </c:pt>
                <c:pt idx="14">
                  <c:v>45733</c:v>
                </c:pt>
              </c:numCache>
            </c:numRef>
          </c:cat>
          <c:val>
            <c:numRef>
              <c:f>'P38'!$D$4:$D$18</c:f>
              <c:numCache>
                <c:formatCode>_("$"* #,##0.00_);_("$"* \(#,##0.00\);_("$"* "-"??_);_(@_)</c:formatCode>
                <c:ptCount val="15"/>
                <c:pt idx="0">
                  <c:v>600</c:v>
                </c:pt>
                <c:pt idx="1">
                  <c:v>1500</c:v>
                </c:pt>
                <c:pt idx="2">
                  <c:v>2100</c:v>
                </c:pt>
                <c:pt idx="3">
                  <c:v>2100</c:v>
                </c:pt>
                <c:pt idx="4">
                  <c:v>2100</c:v>
                </c:pt>
                <c:pt idx="5">
                  <c:v>2400</c:v>
                </c:pt>
                <c:pt idx="6">
                  <c:v>2400</c:v>
                </c:pt>
                <c:pt idx="7">
                  <c:v>2400</c:v>
                </c:pt>
                <c:pt idx="8">
                  <c:v>2100</c:v>
                </c:pt>
                <c:pt idx="9">
                  <c:v>0</c:v>
                </c:pt>
                <c:pt idx="10">
                  <c:v>0</c:v>
                </c:pt>
                <c:pt idx="11">
                  <c:v>4500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42-5A4B-9FF9-C4C52A42B9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989984"/>
        <c:axId val="1601586976"/>
      </c:lineChart>
      <c:dateAx>
        <c:axId val="16019899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586976"/>
        <c:crosses val="autoZero"/>
        <c:auto val="1"/>
        <c:lblOffset val="100"/>
        <c:baseTimeUnit val="days"/>
      </c:dateAx>
      <c:valAx>
        <c:axId val="160158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98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'P38'!$F$3</c:f>
              <c:strCache>
                <c:ptCount val="1"/>
                <c:pt idx="0">
                  <c:v>% de Deuda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'P38'!$B$4:$B$18</c:f>
              <c:numCache>
                <c:formatCode>m/d/yy</c:formatCode>
                <c:ptCount val="15"/>
                <c:pt idx="0">
                  <c:v>45635</c:v>
                </c:pt>
                <c:pt idx="1">
                  <c:v>45642</c:v>
                </c:pt>
                <c:pt idx="2">
                  <c:v>45649</c:v>
                </c:pt>
                <c:pt idx="3">
                  <c:v>45656</c:v>
                </c:pt>
                <c:pt idx="4">
                  <c:v>45663</c:v>
                </c:pt>
                <c:pt idx="5">
                  <c:v>45670</c:v>
                </c:pt>
                <c:pt idx="6">
                  <c:v>45677</c:v>
                </c:pt>
                <c:pt idx="7">
                  <c:v>45684</c:v>
                </c:pt>
                <c:pt idx="8">
                  <c:v>45691</c:v>
                </c:pt>
                <c:pt idx="9">
                  <c:v>45698</c:v>
                </c:pt>
                <c:pt idx="10">
                  <c:v>45705</c:v>
                </c:pt>
                <c:pt idx="11">
                  <c:v>45712</c:v>
                </c:pt>
                <c:pt idx="12">
                  <c:v>45719</c:v>
                </c:pt>
                <c:pt idx="13">
                  <c:v>45726</c:v>
                </c:pt>
                <c:pt idx="14">
                  <c:v>45733</c:v>
                </c:pt>
              </c:numCache>
            </c:numRef>
          </c:cat>
          <c:val>
            <c:numRef>
              <c:f>'P38'!$F$4:$F$18</c:f>
              <c:numCache>
                <c:formatCode>0.00%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3.2786885245901641E-2</c:v>
                </c:pt>
                <c:pt idx="9">
                  <c:v>0.15714285714285714</c:v>
                </c:pt>
                <c:pt idx="10">
                  <c:v>0.25316455696202533</c:v>
                </c:pt>
                <c:pt idx="11">
                  <c:v>0.15909090909090909</c:v>
                </c:pt>
                <c:pt idx="12">
                  <c:v>0.23711340206185566</c:v>
                </c:pt>
                <c:pt idx="13">
                  <c:v>0.30188679245283018</c:v>
                </c:pt>
                <c:pt idx="14">
                  <c:v>0.34513274336283184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2E-0244-A105-2F52E5F3D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944288"/>
        <c:axId val="1869815472"/>
      </c:lineChart>
      <c:dateAx>
        <c:axId val="18509442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15472"/>
        <c:crosses val="autoZero"/>
        <c:auto val="1"/>
        <c:lblOffset val="100"/>
        <c:baseTimeUnit val="days"/>
      </c:dateAx>
      <c:valAx>
        <c:axId val="18698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4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</a:t>
            </a:r>
            <a:r>
              <a:rPr lang="en-US" baseline="0"/>
              <a:t> Vs Cobranza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'P39'!$C$3</c:f>
              <c:strCache>
                <c:ptCount val="1"/>
                <c:pt idx="0">
                  <c:v>Meta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'P39'!$B$4:$B$17</c:f>
              <c:numCache>
                <c:formatCode>m/d/yy</c:formatCode>
                <c:ptCount val="14"/>
                <c:pt idx="0">
                  <c:v>45642</c:v>
                </c:pt>
                <c:pt idx="1">
                  <c:v>45649</c:v>
                </c:pt>
                <c:pt idx="2">
                  <c:v>45656</c:v>
                </c:pt>
                <c:pt idx="3">
                  <c:v>45663</c:v>
                </c:pt>
                <c:pt idx="4">
                  <c:v>45670</c:v>
                </c:pt>
                <c:pt idx="5">
                  <c:v>45677</c:v>
                </c:pt>
                <c:pt idx="6">
                  <c:v>45684</c:v>
                </c:pt>
                <c:pt idx="7">
                  <c:v>45691</c:v>
                </c:pt>
                <c:pt idx="8">
                  <c:v>45698</c:v>
                </c:pt>
                <c:pt idx="9">
                  <c:v>45705</c:v>
                </c:pt>
                <c:pt idx="10">
                  <c:v>45712</c:v>
                </c:pt>
                <c:pt idx="11">
                  <c:v>45719</c:v>
                </c:pt>
                <c:pt idx="12">
                  <c:v>45726</c:v>
                </c:pt>
                <c:pt idx="13">
                  <c:v>45733</c:v>
                </c:pt>
              </c:numCache>
            </c:numRef>
          </c:cat>
          <c:val>
            <c:numRef>
              <c:f>'P39'!$C$4:$C$17</c:f>
              <c:numCache>
                <c:formatCode>_("$"* #,##0.00_);_("$"* \(#,##0.00\);_("$"* "-"??_);_(@_)</c:formatCode>
                <c:ptCount val="14"/>
                <c:pt idx="0">
                  <c:v>900</c:v>
                </c:pt>
                <c:pt idx="1">
                  <c:v>1500</c:v>
                </c:pt>
                <c:pt idx="2">
                  <c:v>1500</c:v>
                </c:pt>
                <c:pt idx="3">
                  <c:v>2100</c:v>
                </c:pt>
                <c:pt idx="4">
                  <c:v>3000</c:v>
                </c:pt>
                <c:pt idx="5">
                  <c:v>3300</c:v>
                </c:pt>
                <c:pt idx="6">
                  <c:v>3600</c:v>
                </c:pt>
                <c:pt idx="7">
                  <c:v>4200</c:v>
                </c:pt>
                <c:pt idx="8">
                  <c:v>4200</c:v>
                </c:pt>
                <c:pt idx="9">
                  <c:v>4500</c:v>
                </c:pt>
                <c:pt idx="10">
                  <c:v>4800</c:v>
                </c:pt>
                <c:pt idx="11">
                  <c:v>4850</c:v>
                </c:pt>
                <c:pt idx="12">
                  <c:v>4850</c:v>
                </c:pt>
                <c:pt idx="13">
                  <c:v>5200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68-5947-A3CE-90FFCD01D760}"/>
            </c:ext>
          </c:extLst>
        </c:ser>
        <c:ser>
          <c:idx val="1"/>
          <c:order val="1"/>
          <c:tx>
            <c:strRef>
              <c:f>'P39'!$D$3</c:f>
              <c:strCache>
                <c:ptCount val="1"/>
                <c:pt idx="0">
                  <c:v>Cobranza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'P39'!$B$4:$B$17</c:f>
              <c:numCache>
                <c:formatCode>m/d/yy</c:formatCode>
                <c:ptCount val="14"/>
                <c:pt idx="0">
                  <c:v>45642</c:v>
                </c:pt>
                <c:pt idx="1">
                  <c:v>45649</c:v>
                </c:pt>
                <c:pt idx="2">
                  <c:v>45656</c:v>
                </c:pt>
                <c:pt idx="3">
                  <c:v>45663</c:v>
                </c:pt>
                <c:pt idx="4">
                  <c:v>45670</c:v>
                </c:pt>
                <c:pt idx="5">
                  <c:v>45677</c:v>
                </c:pt>
                <c:pt idx="6">
                  <c:v>45684</c:v>
                </c:pt>
                <c:pt idx="7">
                  <c:v>45691</c:v>
                </c:pt>
                <c:pt idx="8">
                  <c:v>45698</c:v>
                </c:pt>
                <c:pt idx="9">
                  <c:v>45705</c:v>
                </c:pt>
                <c:pt idx="10">
                  <c:v>45712</c:v>
                </c:pt>
                <c:pt idx="11">
                  <c:v>45719</c:v>
                </c:pt>
                <c:pt idx="12">
                  <c:v>45726</c:v>
                </c:pt>
                <c:pt idx="13">
                  <c:v>45733</c:v>
                </c:pt>
              </c:numCache>
            </c:numRef>
          </c:cat>
          <c:val>
            <c:numRef>
              <c:f>'P39'!$D$4:$D$17</c:f>
              <c:numCache>
                <c:formatCode>_("$"* #,##0.00_);_("$"* \(#,##0.00\);_("$"* "-"??_);_(@_)</c:formatCode>
                <c:ptCount val="14"/>
                <c:pt idx="0">
                  <c:v>900</c:v>
                </c:pt>
                <c:pt idx="1">
                  <c:v>1500</c:v>
                </c:pt>
                <c:pt idx="2">
                  <c:v>1500</c:v>
                </c:pt>
                <c:pt idx="3">
                  <c:v>2100</c:v>
                </c:pt>
                <c:pt idx="4">
                  <c:v>2700</c:v>
                </c:pt>
                <c:pt idx="5">
                  <c:v>3000</c:v>
                </c:pt>
                <c:pt idx="6">
                  <c:v>3600</c:v>
                </c:pt>
                <c:pt idx="7">
                  <c:v>3900</c:v>
                </c:pt>
                <c:pt idx="8">
                  <c:v>4200</c:v>
                </c:pt>
                <c:pt idx="9">
                  <c:v>4500</c:v>
                </c:pt>
                <c:pt idx="10">
                  <c:v>4800</c:v>
                </c:pt>
                <c:pt idx="11">
                  <c:v>4850</c:v>
                </c:pt>
                <c:pt idx="12">
                  <c:v>5150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68-5947-A3CE-90FFCD01D7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989984"/>
        <c:axId val="1601586976"/>
      </c:lineChart>
      <c:dateAx>
        <c:axId val="16019899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586976"/>
        <c:crosses val="autoZero"/>
        <c:auto val="1"/>
        <c:lblOffset val="100"/>
        <c:baseTimeUnit val="days"/>
      </c:dateAx>
      <c:valAx>
        <c:axId val="160158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98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'P39'!$F$3</c:f>
              <c:strCache>
                <c:ptCount val="1"/>
                <c:pt idx="0">
                  <c:v>% de Deuda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'P39'!$B$4:$B$17</c:f>
              <c:numCache>
                <c:formatCode>m/d/yy</c:formatCode>
                <c:ptCount val="14"/>
                <c:pt idx="0">
                  <c:v>45642</c:v>
                </c:pt>
                <c:pt idx="1">
                  <c:v>45649</c:v>
                </c:pt>
                <c:pt idx="2">
                  <c:v>45656</c:v>
                </c:pt>
                <c:pt idx="3">
                  <c:v>45663</c:v>
                </c:pt>
                <c:pt idx="4">
                  <c:v>45670</c:v>
                </c:pt>
                <c:pt idx="5">
                  <c:v>45677</c:v>
                </c:pt>
                <c:pt idx="6">
                  <c:v>45684</c:v>
                </c:pt>
                <c:pt idx="7">
                  <c:v>45691</c:v>
                </c:pt>
                <c:pt idx="8">
                  <c:v>45698</c:v>
                </c:pt>
                <c:pt idx="9">
                  <c:v>45705</c:v>
                </c:pt>
                <c:pt idx="10">
                  <c:v>45712</c:v>
                </c:pt>
                <c:pt idx="11">
                  <c:v>45719</c:v>
                </c:pt>
                <c:pt idx="12">
                  <c:v>45726</c:v>
                </c:pt>
                <c:pt idx="13">
                  <c:v>45733</c:v>
                </c:pt>
              </c:numCache>
            </c:numRef>
          </c:cat>
          <c:val>
            <c:numRef>
              <c:f>'P39'!$F$4:$F$17</c:f>
              <c:numCache>
                <c:formatCode>0.00%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3.3333333333333333E-2</c:v>
                </c:pt>
                <c:pt idx="5">
                  <c:v>4.878048780487805E-2</c:v>
                </c:pt>
                <c:pt idx="6">
                  <c:v>3.7735849056603772E-2</c:v>
                </c:pt>
                <c:pt idx="7">
                  <c:v>4.4776119402985072E-2</c:v>
                </c:pt>
                <c:pt idx="8">
                  <c:v>3.7037037037037035E-2</c:v>
                </c:pt>
                <c:pt idx="9">
                  <c:v>3.125E-2</c:v>
                </c:pt>
                <c:pt idx="10">
                  <c:v>2.6785714285714284E-2</c:v>
                </c:pt>
                <c:pt idx="11">
                  <c:v>2.3407022106631991E-2</c:v>
                </c:pt>
                <c:pt idx="12">
                  <c:v>1.3856812933025405E-2</c:v>
                </c:pt>
                <c:pt idx="13">
                  <c:v>0.11958762886597939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4B-1141-8387-EB201D19B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944288"/>
        <c:axId val="1869815472"/>
      </c:lineChart>
      <c:dateAx>
        <c:axId val="18509442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15472"/>
        <c:crosses val="autoZero"/>
        <c:auto val="1"/>
        <c:lblOffset val="100"/>
        <c:baseTimeUnit val="days"/>
      </c:dateAx>
      <c:valAx>
        <c:axId val="18698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4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</a:t>
            </a:r>
            <a:r>
              <a:rPr lang="en-US" baseline="0"/>
              <a:t> Vs Cobranza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'P40'!$C$3</c:f>
              <c:strCache>
                <c:ptCount val="1"/>
                <c:pt idx="0">
                  <c:v>Meta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'P40'!$B$4:$B$18</c:f>
              <c:numCache>
                <c:formatCode>m/d/yy</c:formatCode>
                <c:ptCount val="15"/>
                <c:pt idx="0">
                  <c:v>45635</c:v>
                </c:pt>
                <c:pt idx="1">
                  <c:v>45642</c:v>
                </c:pt>
                <c:pt idx="2">
                  <c:v>45649</c:v>
                </c:pt>
                <c:pt idx="3">
                  <c:v>45656</c:v>
                </c:pt>
                <c:pt idx="4">
                  <c:v>45663</c:v>
                </c:pt>
                <c:pt idx="5">
                  <c:v>45670</c:v>
                </c:pt>
                <c:pt idx="6">
                  <c:v>45677</c:v>
                </c:pt>
                <c:pt idx="7">
                  <c:v>45684</c:v>
                </c:pt>
                <c:pt idx="8">
                  <c:v>45691</c:v>
                </c:pt>
                <c:pt idx="9">
                  <c:v>45698</c:v>
                </c:pt>
                <c:pt idx="10">
                  <c:v>45705</c:v>
                </c:pt>
                <c:pt idx="11">
                  <c:v>45712</c:v>
                </c:pt>
                <c:pt idx="12">
                  <c:v>45719</c:v>
                </c:pt>
                <c:pt idx="13">
                  <c:v>45726</c:v>
                </c:pt>
                <c:pt idx="14">
                  <c:v>45733</c:v>
                </c:pt>
              </c:numCache>
            </c:numRef>
          </c:cat>
          <c:val>
            <c:numRef>
              <c:f>'P40'!$C$4:$C$18</c:f>
              <c:numCache>
                <c:formatCode>_("$"* #,##0.00_);_("$"* \(#,##0.00\);_("$"* "-"??_);_(@_)</c:formatCode>
                <c:ptCount val="15"/>
                <c:pt idx="0">
                  <c:v>1500</c:v>
                </c:pt>
                <c:pt idx="1">
                  <c:v>1800</c:v>
                </c:pt>
                <c:pt idx="2">
                  <c:v>2700</c:v>
                </c:pt>
                <c:pt idx="3">
                  <c:v>2700</c:v>
                </c:pt>
                <c:pt idx="4">
                  <c:v>2700</c:v>
                </c:pt>
                <c:pt idx="5">
                  <c:v>4200</c:v>
                </c:pt>
                <c:pt idx="6">
                  <c:v>4800</c:v>
                </c:pt>
                <c:pt idx="7">
                  <c:v>5100</c:v>
                </c:pt>
                <c:pt idx="8">
                  <c:v>5700</c:v>
                </c:pt>
                <c:pt idx="9">
                  <c:v>6000</c:v>
                </c:pt>
                <c:pt idx="10">
                  <c:v>6400</c:v>
                </c:pt>
                <c:pt idx="11">
                  <c:v>6500</c:v>
                </c:pt>
                <c:pt idx="12">
                  <c:v>6650</c:v>
                </c:pt>
                <c:pt idx="13">
                  <c:v>7350</c:v>
                </c:pt>
                <c:pt idx="14">
                  <c:v>7350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14-D14A-A378-E1FB4A0863BE}"/>
            </c:ext>
          </c:extLst>
        </c:ser>
        <c:ser>
          <c:idx val="1"/>
          <c:order val="1"/>
          <c:tx>
            <c:strRef>
              <c:f>'P40'!$D$3</c:f>
              <c:strCache>
                <c:ptCount val="1"/>
                <c:pt idx="0">
                  <c:v>Cobranza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'P40'!$B$4:$B$18</c:f>
              <c:numCache>
                <c:formatCode>m/d/yy</c:formatCode>
                <c:ptCount val="15"/>
                <c:pt idx="0">
                  <c:v>45635</c:v>
                </c:pt>
                <c:pt idx="1">
                  <c:v>45642</c:v>
                </c:pt>
                <c:pt idx="2">
                  <c:v>45649</c:v>
                </c:pt>
                <c:pt idx="3">
                  <c:v>45656</c:v>
                </c:pt>
                <c:pt idx="4">
                  <c:v>45663</c:v>
                </c:pt>
                <c:pt idx="5">
                  <c:v>45670</c:v>
                </c:pt>
                <c:pt idx="6">
                  <c:v>45677</c:v>
                </c:pt>
                <c:pt idx="7">
                  <c:v>45684</c:v>
                </c:pt>
                <c:pt idx="8">
                  <c:v>45691</c:v>
                </c:pt>
                <c:pt idx="9">
                  <c:v>45698</c:v>
                </c:pt>
                <c:pt idx="10">
                  <c:v>45705</c:v>
                </c:pt>
                <c:pt idx="11">
                  <c:v>45712</c:v>
                </c:pt>
                <c:pt idx="12">
                  <c:v>45719</c:v>
                </c:pt>
                <c:pt idx="13">
                  <c:v>45726</c:v>
                </c:pt>
                <c:pt idx="14">
                  <c:v>45733</c:v>
                </c:pt>
              </c:numCache>
            </c:numRef>
          </c:cat>
          <c:val>
            <c:numRef>
              <c:f>'P40'!$D$4:$D$18</c:f>
              <c:numCache>
                <c:formatCode>_("$"* #,##0.00_);_("$"* \(#,##0.00\);_("$"* "-"??_);_(@_)</c:formatCode>
                <c:ptCount val="15"/>
                <c:pt idx="0">
                  <c:v>1500</c:v>
                </c:pt>
                <c:pt idx="1">
                  <c:v>1800</c:v>
                </c:pt>
                <c:pt idx="2">
                  <c:v>2700</c:v>
                </c:pt>
                <c:pt idx="3">
                  <c:v>2700</c:v>
                </c:pt>
                <c:pt idx="4">
                  <c:v>2700</c:v>
                </c:pt>
                <c:pt idx="5">
                  <c:v>4200</c:v>
                </c:pt>
                <c:pt idx="6">
                  <c:v>4800</c:v>
                </c:pt>
                <c:pt idx="7">
                  <c:v>5100</c:v>
                </c:pt>
                <c:pt idx="8">
                  <c:v>5700</c:v>
                </c:pt>
                <c:pt idx="9">
                  <c:v>6000</c:v>
                </c:pt>
                <c:pt idx="10">
                  <c:v>6700</c:v>
                </c:pt>
                <c:pt idx="11">
                  <c:v>6200</c:v>
                </c:pt>
                <c:pt idx="12">
                  <c:v>6650</c:v>
                </c:pt>
                <c:pt idx="13">
                  <c:v>7350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14-D14A-A378-E1FB4A0863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989984"/>
        <c:axId val="1601586976"/>
      </c:lineChart>
      <c:dateAx>
        <c:axId val="16019899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586976"/>
        <c:crosses val="autoZero"/>
        <c:auto val="1"/>
        <c:lblOffset val="100"/>
        <c:baseTimeUnit val="days"/>
      </c:dateAx>
      <c:valAx>
        <c:axId val="160158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98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'P40'!$F$3</c:f>
              <c:strCache>
                <c:ptCount val="1"/>
                <c:pt idx="0">
                  <c:v>% de Deuda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'P40'!$B$4:$B$18</c:f>
              <c:numCache>
                <c:formatCode>m/d/yy</c:formatCode>
                <c:ptCount val="15"/>
                <c:pt idx="0">
                  <c:v>45635</c:v>
                </c:pt>
                <c:pt idx="1">
                  <c:v>45642</c:v>
                </c:pt>
                <c:pt idx="2">
                  <c:v>45649</c:v>
                </c:pt>
                <c:pt idx="3">
                  <c:v>45656</c:v>
                </c:pt>
                <c:pt idx="4">
                  <c:v>45663</c:v>
                </c:pt>
                <c:pt idx="5">
                  <c:v>45670</c:v>
                </c:pt>
                <c:pt idx="6">
                  <c:v>45677</c:v>
                </c:pt>
                <c:pt idx="7">
                  <c:v>45684</c:v>
                </c:pt>
                <c:pt idx="8">
                  <c:v>45691</c:v>
                </c:pt>
                <c:pt idx="9">
                  <c:v>45698</c:v>
                </c:pt>
                <c:pt idx="10">
                  <c:v>45705</c:v>
                </c:pt>
                <c:pt idx="11">
                  <c:v>45712</c:v>
                </c:pt>
                <c:pt idx="12">
                  <c:v>45719</c:v>
                </c:pt>
                <c:pt idx="13">
                  <c:v>45726</c:v>
                </c:pt>
                <c:pt idx="14">
                  <c:v>45733</c:v>
                </c:pt>
              </c:numCache>
            </c:numRef>
          </c:cat>
          <c:val>
            <c:numRef>
              <c:f>'P40'!$F$4:$F$18</c:f>
              <c:numCache>
                <c:formatCode>0.00%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0.10286913925822254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74-DA4D-8FBE-8CD1FCC83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944288"/>
        <c:axId val="1869815472"/>
      </c:lineChart>
      <c:dateAx>
        <c:axId val="18509442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15472"/>
        <c:crosses val="autoZero"/>
        <c:auto val="1"/>
        <c:lblOffset val="100"/>
        <c:baseTimeUnit val="days"/>
      </c:dateAx>
      <c:valAx>
        <c:axId val="18698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4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</a:t>
            </a:r>
            <a:r>
              <a:rPr lang="en-US" baseline="0"/>
              <a:t> Vs Cobranza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'P41'!$C$3</c:f>
              <c:strCache>
                <c:ptCount val="1"/>
                <c:pt idx="0">
                  <c:v>Meta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'P41'!$B$4:$B$18</c:f>
              <c:numCache>
                <c:formatCode>m/d/yy</c:formatCode>
                <c:ptCount val="15"/>
                <c:pt idx="0">
                  <c:v>45635</c:v>
                </c:pt>
                <c:pt idx="1">
                  <c:v>45642</c:v>
                </c:pt>
                <c:pt idx="2">
                  <c:v>45649</c:v>
                </c:pt>
                <c:pt idx="3">
                  <c:v>45656</c:v>
                </c:pt>
                <c:pt idx="4">
                  <c:v>45663</c:v>
                </c:pt>
                <c:pt idx="5">
                  <c:v>45670</c:v>
                </c:pt>
                <c:pt idx="6">
                  <c:v>45677</c:v>
                </c:pt>
                <c:pt idx="7">
                  <c:v>45684</c:v>
                </c:pt>
                <c:pt idx="8">
                  <c:v>45691</c:v>
                </c:pt>
                <c:pt idx="9">
                  <c:v>45698</c:v>
                </c:pt>
                <c:pt idx="10">
                  <c:v>45705</c:v>
                </c:pt>
                <c:pt idx="11">
                  <c:v>45712</c:v>
                </c:pt>
                <c:pt idx="12">
                  <c:v>45719</c:v>
                </c:pt>
                <c:pt idx="13">
                  <c:v>45726</c:v>
                </c:pt>
                <c:pt idx="14">
                  <c:v>45733</c:v>
                </c:pt>
              </c:numCache>
            </c:numRef>
          </c:cat>
          <c:val>
            <c:numRef>
              <c:f>'P41'!$C$4:$C$18</c:f>
              <c:numCache>
                <c:formatCode>_("$"* #,##0.00_);_("$"* \(#,##0.00\);_("$"* "-"??_);_(@_)</c:formatCode>
                <c:ptCount val="15"/>
                <c:pt idx="0">
                  <c:v>0</c:v>
                </c:pt>
                <c:pt idx="1">
                  <c:v>900</c:v>
                </c:pt>
                <c:pt idx="2">
                  <c:v>1200</c:v>
                </c:pt>
                <c:pt idx="3">
                  <c:v>1500</c:v>
                </c:pt>
                <c:pt idx="4">
                  <c:v>1500</c:v>
                </c:pt>
                <c:pt idx="5">
                  <c:v>1800</c:v>
                </c:pt>
                <c:pt idx="6">
                  <c:v>2600</c:v>
                </c:pt>
                <c:pt idx="7">
                  <c:v>2600</c:v>
                </c:pt>
                <c:pt idx="8">
                  <c:v>2600</c:v>
                </c:pt>
                <c:pt idx="9">
                  <c:v>2750</c:v>
                </c:pt>
                <c:pt idx="10">
                  <c:v>2750</c:v>
                </c:pt>
                <c:pt idx="11">
                  <c:v>2800</c:v>
                </c:pt>
                <c:pt idx="12">
                  <c:v>2900</c:v>
                </c:pt>
                <c:pt idx="13">
                  <c:v>2950</c:v>
                </c:pt>
                <c:pt idx="14">
                  <c:v>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D2-CD42-AE60-6D3A2D9CAE7D}"/>
            </c:ext>
          </c:extLst>
        </c:ser>
        <c:ser>
          <c:idx val="1"/>
          <c:order val="1"/>
          <c:tx>
            <c:strRef>
              <c:f>'P41'!$D$3</c:f>
              <c:strCache>
                <c:ptCount val="1"/>
                <c:pt idx="0">
                  <c:v>Cobranza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'P41'!$B$4:$B$18</c:f>
              <c:numCache>
                <c:formatCode>m/d/yy</c:formatCode>
                <c:ptCount val="15"/>
                <c:pt idx="0">
                  <c:v>45635</c:v>
                </c:pt>
                <c:pt idx="1">
                  <c:v>45642</c:v>
                </c:pt>
                <c:pt idx="2">
                  <c:v>45649</c:v>
                </c:pt>
                <c:pt idx="3">
                  <c:v>45656</c:v>
                </c:pt>
                <c:pt idx="4">
                  <c:v>45663</c:v>
                </c:pt>
                <c:pt idx="5">
                  <c:v>45670</c:v>
                </c:pt>
                <c:pt idx="6">
                  <c:v>45677</c:v>
                </c:pt>
                <c:pt idx="7">
                  <c:v>45684</c:v>
                </c:pt>
                <c:pt idx="8">
                  <c:v>45691</c:v>
                </c:pt>
                <c:pt idx="9">
                  <c:v>45698</c:v>
                </c:pt>
                <c:pt idx="10">
                  <c:v>45705</c:v>
                </c:pt>
                <c:pt idx="11">
                  <c:v>45712</c:v>
                </c:pt>
                <c:pt idx="12">
                  <c:v>45719</c:v>
                </c:pt>
                <c:pt idx="13">
                  <c:v>45726</c:v>
                </c:pt>
                <c:pt idx="14">
                  <c:v>45733</c:v>
                </c:pt>
              </c:numCache>
            </c:numRef>
          </c:cat>
          <c:val>
            <c:numRef>
              <c:f>'P41'!$D$4:$D$18</c:f>
              <c:numCache>
                <c:formatCode>_("$"* #,##0.00_);_("$"* \(#,##0.00\);_("$"* "-"??_);_(@_)</c:formatCode>
                <c:ptCount val="15"/>
                <c:pt idx="0">
                  <c:v>0</c:v>
                </c:pt>
                <c:pt idx="1">
                  <c:v>900</c:v>
                </c:pt>
                <c:pt idx="2">
                  <c:v>1200</c:v>
                </c:pt>
                <c:pt idx="3">
                  <c:v>1500</c:v>
                </c:pt>
                <c:pt idx="4">
                  <c:v>1500</c:v>
                </c:pt>
                <c:pt idx="5">
                  <c:v>1800</c:v>
                </c:pt>
                <c:pt idx="6">
                  <c:v>2600</c:v>
                </c:pt>
                <c:pt idx="7">
                  <c:v>2600</c:v>
                </c:pt>
                <c:pt idx="8">
                  <c:v>2600</c:v>
                </c:pt>
                <c:pt idx="9">
                  <c:v>2750</c:v>
                </c:pt>
                <c:pt idx="10">
                  <c:v>2750</c:v>
                </c:pt>
                <c:pt idx="11">
                  <c:v>2800</c:v>
                </c:pt>
                <c:pt idx="12">
                  <c:v>3500</c:v>
                </c:pt>
                <c:pt idx="13">
                  <c:v>2650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D2-CD42-AE60-6D3A2D9CAE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989984"/>
        <c:axId val="1601586976"/>
      </c:lineChart>
      <c:dateAx>
        <c:axId val="16019899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586976"/>
        <c:crosses val="autoZero"/>
        <c:auto val="1"/>
        <c:lblOffset val="100"/>
        <c:baseTimeUnit val="days"/>
      </c:dateAx>
      <c:valAx>
        <c:axId val="160158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98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'P41'!$F$3</c:f>
              <c:strCache>
                <c:ptCount val="1"/>
                <c:pt idx="0">
                  <c:v>% de Deuda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'P41'!$B$4:$B$18</c:f>
              <c:numCache>
                <c:formatCode>m/d/yy</c:formatCode>
                <c:ptCount val="15"/>
                <c:pt idx="0">
                  <c:v>45635</c:v>
                </c:pt>
                <c:pt idx="1">
                  <c:v>45642</c:v>
                </c:pt>
                <c:pt idx="2">
                  <c:v>45649</c:v>
                </c:pt>
                <c:pt idx="3">
                  <c:v>45656</c:v>
                </c:pt>
                <c:pt idx="4">
                  <c:v>45663</c:v>
                </c:pt>
                <c:pt idx="5">
                  <c:v>45670</c:v>
                </c:pt>
                <c:pt idx="6">
                  <c:v>45677</c:v>
                </c:pt>
                <c:pt idx="7">
                  <c:v>45684</c:v>
                </c:pt>
                <c:pt idx="8">
                  <c:v>45691</c:v>
                </c:pt>
                <c:pt idx="9">
                  <c:v>45698</c:v>
                </c:pt>
                <c:pt idx="10">
                  <c:v>45705</c:v>
                </c:pt>
                <c:pt idx="11">
                  <c:v>45712</c:v>
                </c:pt>
                <c:pt idx="12">
                  <c:v>45719</c:v>
                </c:pt>
                <c:pt idx="13">
                  <c:v>45726</c:v>
                </c:pt>
                <c:pt idx="14">
                  <c:v>45733</c:v>
                </c:pt>
              </c:numCache>
            </c:numRef>
          </c:cat>
          <c:val>
            <c:numRef>
              <c:f>'P41'!$F$4:$F$18</c:f>
              <c:numCache>
                <c:formatCode>0.00%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8.4772370486656201E-2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4C-FA4C-B49E-1ECBA14230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944288"/>
        <c:axId val="1869815472"/>
      </c:lineChart>
      <c:dateAx>
        <c:axId val="18509442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15472"/>
        <c:crosses val="autoZero"/>
        <c:auto val="1"/>
        <c:lblOffset val="100"/>
        <c:baseTimeUnit val="days"/>
      </c:dateAx>
      <c:valAx>
        <c:axId val="18698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4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</a:t>
            </a:r>
            <a:r>
              <a:rPr lang="en-US" baseline="0"/>
              <a:t> Vs Cobranza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'P43'!$C$3</c:f>
              <c:strCache>
                <c:ptCount val="1"/>
                <c:pt idx="0">
                  <c:v>Meta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'P43'!$B$4:$B$16</c:f>
              <c:numCache>
                <c:formatCode>m/d/yy</c:formatCode>
                <c:ptCount val="13"/>
                <c:pt idx="0">
                  <c:v>45649</c:v>
                </c:pt>
                <c:pt idx="1">
                  <c:v>45656</c:v>
                </c:pt>
                <c:pt idx="2">
                  <c:v>45663</c:v>
                </c:pt>
                <c:pt idx="3">
                  <c:v>45670</c:v>
                </c:pt>
                <c:pt idx="4">
                  <c:v>45677</c:v>
                </c:pt>
                <c:pt idx="5">
                  <c:v>45684</c:v>
                </c:pt>
                <c:pt idx="6">
                  <c:v>45691</c:v>
                </c:pt>
                <c:pt idx="7">
                  <c:v>45698</c:v>
                </c:pt>
                <c:pt idx="8">
                  <c:v>45705</c:v>
                </c:pt>
                <c:pt idx="9">
                  <c:v>45712</c:v>
                </c:pt>
                <c:pt idx="10">
                  <c:v>45719</c:v>
                </c:pt>
                <c:pt idx="11">
                  <c:v>45726</c:v>
                </c:pt>
                <c:pt idx="12">
                  <c:v>45733</c:v>
                </c:pt>
              </c:numCache>
            </c:numRef>
          </c:cat>
          <c:val>
            <c:numRef>
              <c:f>'P43'!$C$4:$C$16</c:f>
              <c:numCache>
                <c:formatCode>_("$"* #,##0.00_);_("$"* \(#,##0.00\);_("$"* "-"??_);_(@_)</c:formatCode>
                <c:ptCount val="13"/>
                <c:pt idx="0">
                  <c:v>600</c:v>
                </c:pt>
                <c:pt idx="1">
                  <c:v>1500</c:v>
                </c:pt>
                <c:pt idx="2">
                  <c:v>1800</c:v>
                </c:pt>
                <c:pt idx="3">
                  <c:v>2400</c:v>
                </c:pt>
                <c:pt idx="4">
                  <c:v>3300</c:v>
                </c:pt>
                <c:pt idx="5">
                  <c:v>3900</c:v>
                </c:pt>
                <c:pt idx="6">
                  <c:v>4200</c:v>
                </c:pt>
                <c:pt idx="7">
                  <c:v>4700</c:v>
                </c:pt>
                <c:pt idx="8">
                  <c:v>4700</c:v>
                </c:pt>
                <c:pt idx="9">
                  <c:v>4740</c:v>
                </c:pt>
                <c:pt idx="10">
                  <c:v>4750</c:v>
                </c:pt>
                <c:pt idx="11">
                  <c:v>4750</c:v>
                </c:pt>
                <c:pt idx="12">
                  <c:v>4800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D6-484D-8485-79C8FC9269E9}"/>
            </c:ext>
          </c:extLst>
        </c:ser>
        <c:ser>
          <c:idx val="1"/>
          <c:order val="1"/>
          <c:tx>
            <c:strRef>
              <c:f>'P43'!$D$3</c:f>
              <c:strCache>
                <c:ptCount val="1"/>
                <c:pt idx="0">
                  <c:v>Cobranza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'P43'!$B$4:$B$16</c:f>
              <c:numCache>
                <c:formatCode>m/d/yy</c:formatCode>
                <c:ptCount val="13"/>
                <c:pt idx="0">
                  <c:v>45649</c:v>
                </c:pt>
                <c:pt idx="1">
                  <c:v>45656</c:v>
                </c:pt>
                <c:pt idx="2">
                  <c:v>45663</c:v>
                </c:pt>
                <c:pt idx="3">
                  <c:v>45670</c:v>
                </c:pt>
                <c:pt idx="4">
                  <c:v>45677</c:v>
                </c:pt>
                <c:pt idx="5">
                  <c:v>45684</c:v>
                </c:pt>
                <c:pt idx="6">
                  <c:v>45691</c:v>
                </c:pt>
                <c:pt idx="7">
                  <c:v>45698</c:v>
                </c:pt>
                <c:pt idx="8">
                  <c:v>45705</c:v>
                </c:pt>
                <c:pt idx="9">
                  <c:v>45712</c:v>
                </c:pt>
                <c:pt idx="10">
                  <c:v>45719</c:v>
                </c:pt>
                <c:pt idx="11">
                  <c:v>45726</c:v>
                </c:pt>
                <c:pt idx="12">
                  <c:v>45733</c:v>
                </c:pt>
              </c:numCache>
            </c:numRef>
          </c:cat>
          <c:val>
            <c:numRef>
              <c:f>'P43'!$D$4:$D$16</c:f>
              <c:numCache>
                <c:formatCode>_("$"* #,##0.00_);_("$"* \(#,##0.00\);_("$"* "-"??_);_(@_)</c:formatCode>
                <c:ptCount val="13"/>
                <c:pt idx="0">
                  <c:v>600</c:v>
                </c:pt>
                <c:pt idx="1">
                  <c:v>1500</c:v>
                </c:pt>
                <c:pt idx="2">
                  <c:v>1800</c:v>
                </c:pt>
                <c:pt idx="3">
                  <c:v>2400</c:v>
                </c:pt>
                <c:pt idx="4">
                  <c:v>3300</c:v>
                </c:pt>
                <c:pt idx="5">
                  <c:v>3900</c:v>
                </c:pt>
                <c:pt idx="6">
                  <c:v>4200</c:v>
                </c:pt>
                <c:pt idx="7">
                  <c:v>4700</c:v>
                </c:pt>
                <c:pt idx="8">
                  <c:v>5000</c:v>
                </c:pt>
                <c:pt idx="9">
                  <c:v>4750</c:v>
                </c:pt>
                <c:pt idx="10">
                  <c:v>4750</c:v>
                </c:pt>
                <c:pt idx="11">
                  <c:v>4750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D6-484D-8485-79C8FC926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989984"/>
        <c:axId val="1601586976"/>
      </c:lineChart>
      <c:dateAx>
        <c:axId val="16019899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586976"/>
        <c:crosses val="autoZero"/>
        <c:auto val="1"/>
        <c:lblOffset val="100"/>
        <c:baseTimeUnit val="days"/>
      </c:dateAx>
      <c:valAx>
        <c:axId val="160158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98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'P43'!$F$3</c:f>
              <c:strCache>
                <c:ptCount val="1"/>
                <c:pt idx="0">
                  <c:v>% de Deuda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'P43'!$B$4:$B$16</c:f>
              <c:numCache>
                <c:formatCode>m/d/yy</c:formatCode>
                <c:ptCount val="13"/>
                <c:pt idx="0">
                  <c:v>45649</c:v>
                </c:pt>
                <c:pt idx="1">
                  <c:v>45656</c:v>
                </c:pt>
                <c:pt idx="2">
                  <c:v>45663</c:v>
                </c:pt>
                <c:pt idx="3">
                  <c:v>45670</c:v>
                </c:pt>
                <c:pt idx="4">
                  <c:v>45677</c:v>
                </c:pt>
                <c:pt idx="5">
                  <c:v>45684</c:v>
                </c:pt>
                <c:pt idx="6">
                  <c:v>45691</c:v>
                </c:pt>
                <c:pt idx="7">
                  <c:v>45698</c:v>
                </c:pt>
                <c:pt idx="8">
                  <c:v>45705</c:v>
                </c:pt>
                <c:pt idx="9">
                  <c:v>45712</c:v>
                </c:pt>
                <c:pt idx="10">
                  <c:v>45719</c:v>
                </c:pt>
                <c:pt idx="11">
                  <c:v>45726</c:v>
                </c:pt>
                <c:pt idx="12">
                  <c:v>45733</c:v>
                </c:pt>
              </c:numCache>
            </c:numRef>
          </c:cat>
          <c:val>
            <c:numRef>
              <c:f>'P43'!$F$4:$F$16</c:f>
              <c:numCache>
                <c:formatCode>0.00%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9.7312527091460765E-2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A4-344D-8A76-8673DD4ED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944288"/>
        <c:axId val="1869815472"/>
      </c:lineChart>
      <c:dateAx>
        <c:axId val="18509442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15472"/>
        <c:crosses val="autoZero"/>
        <c:auto val="1"/>
        <c:lblOffset val="100"/>
        <c:baseTimeUnit val="days"/>
      </c:dateAx>
      <c:valAx>
        <c:axId val="18698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4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</a:t>
            </a:r>
            <a:r>
              <a:rPr lang="en-US" baseline="0"/>
              <a:t> Vs Cobranza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'P44'!$C$3</c:f>
              <c:strCache>
                <c:ptCount val="1"/>
                <c:pt idx="0">
                  <c:v>Meta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'P44'!$B$4:$B$16</c:f>
              <c:numCache>
                <c:formatCode>m/d/yy</c:formatCode>
                <c:ptCount val="13"/>
                <c:pt idx="0">
                  <c:v>45649</c:v>
                </c:pt>
                <c:pt idx="1">
                  <c:v>45656</c:v>
                </c:pt>
                <c:pt idx="2">
                  <c:v>45663</c:v>
                </c:pt>
                <c:pt idx="3">
                  <c:v>45670</c:v>
                </c:pt>
                <c:pt idx="4">
                  <c:v>45677</c:v>
                </c:pt>
                <c:pt idx="5">
                  <c:v>45684</c:v>
                </c:pt>
                <c:pt idx="6">
                  <c:v>45691</c:v>
                </c:pt>
                <c:pt idx="7">
                  <c:v>45698</c:v>
                </c:pt>
                <c:pt idx="8">
                  <c:v>45705</c:v>
                </c:pt>
                <c:pt idx="9">
                  <c:v>45712</c:v>
                </c:pt>
                <c:pt idx="10">
                  <c:v>45719</c:v>
                </c:pt>
                <c:pt idx="11">
                  <c:v>45726</c:v>
                </c:pt>
                <c:pt idx="12">
                  <c:v>45733</c:v>
                </c:pt>
              </c:numCache>
            </c:numRef>
          </c:cat>
          <c:val>
            <c:numRef>
              <c:f>'P44'!$C$4:$C$16</c:f>
              <c:numCache>
                <c:formatCode>_("$"* #,##0.00_);_("$"* \(#,##0.00\);_("$"* "-"??_);_(@_)</c:formatCode>
                <c:ptCount val="13"/>
                <c:pt idx="0">
                  <c:v>600</c:v>
                </c:pt>
                <c:pt idx="1">
                  <c:v>900</c:v>
                </c:pt>
                <c:pt idx="2">
                  <c:v>1800</c:v>
                </c:pt>
                <c:pt idx="3">
                  <c:v>2400</c:v>
                </c:pt>
                <c:pt idx="4">
                  <c:v>3000</c:v>
                </c:pt>
                <c:pt idx="5">
                  <c:v>3000</c:v>
                </c:pt>
                <c:pt idx="6">
                  <c:v>3000</c:v>
                </c:pt>
                <c:pt idx="7">
                  <c:v>3000</c:v>
                </c:pt>
                <c:pt idx="8">
                  <c:v>3000</c:v>
                </c:pt>
                <c:pt idx="9">
                  <c:v>3000</c:v>
                </c:pt>
                <c:pt idx="10">
                  <c:v>3000</c:v>
                </c:pt>
                <c:pt idx="11">
                  <c:v>3000</c:v>
                </c:pt>
                <c:pt idx="12">
                  <c:v>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6B-0B41-9031-30367902863D}"/>
            </c:ext>
          </c:extLst>
        </c:ser>
        <c:ser>
          <c:idx val="1"/>
          <c:order val="1"/>
          <c:tx>
            <c:strRef>
              <c:f>'P44'!$D$3</c:f>
              <c:strCache>
                <c:ptCount val="1"/>
                <c:pt idx="0">
                  <c:v>Cobranza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'P44'!$B$4:$B$16</c:f>
              <c:numCache>
                <c:formatCode>m/d/yy</c:formatCode>
                <c:ptCount val="13"/>
                <c:pt idx="0">
                  <c:v>45649</c:v>
                </c:pt>
                <c:pt idx="1">
                  <c:v>45656</c:v>
                </c:pt>
                <c:pt idx="2">
                  <c:v>45663</c:v>
                </c:pt>
                <c:pt idx="3">
                  <c:v>45670</c:v>
                </c:pt>
                <c:pt idx="4">
                  <c:v>45677</c:v>
                </c:pt>
                <c:pt idx="5">
                  <c:v>45684</c:v>
                </c:pt>
                <c:pt idx="6">
                  <c:v>45691</c:v>
                </c:pt>
                <c:pt idx="7">
                  <c:v>45698</c:v>
                </c:pt>
                <c:pt idx="8">
                  <c:v>45705</c:v>
                </c:pt>
                <c:pt idx="9">
                  <c:v>45712</c:v>
                </c:pt>
                <c:pt idx="10">
                  <c:v>45719</c:v>
                </c:pt>
                <c:pt idx="11">
                  <c:v>45726</c:v>
                </c:pt>
                <c:pt idx="12">
                  <c:v>45733</c:v>
                </c:pt>
              </c:numCache>
            </c:numRef>
          </c:cat>
          <c:val>
            <c:numRef>
              <c:f>'P44'!$D$4:$D$16</c:f>
              <c:numCache>
                <c:formatCode>_("$"* #,##0.00_);_("$"* \(#,##0.00\);_("$"* "-"??_);_(@_)</c:formatCode>
                <c:ptCount val="13"/>
                <c:pt idx="0">
                  <c:v>600</c:v>
                </c:pt>
                <c:pt idx="1">
                  <c:v>900</c:v>
                </c:pt>
                <c:pt idx="2">
                  <c:v>1800</c:v>
                </c:pt>
                <c:pt idx="3">
                  <c:v>2400</c:v>
                </c:pt>
                <c:pt idx="4">
                  <c:v>3000</c:v>
                </c:pt>
                <c:pt idx="5">
                  <c:v>0</c:v>
                </c:pt>
                <c:pt idx="6">
                  <c:v>6000</c:v>
                </c:pt>
                <c:pt idx="7">
                  <c:v>0</c:v>
                </c:pt>
                <c:pt idx="8">
                  <c:v>2400</c:v>
                </c:pt>
                <c:pt idx="9">
                  <c:v>3300</c:v>
                </c:pt>
                <c:pt idx="10">
                  <c:v>2100</c:v>
                </c:pt>
                <c:pt idx="11">
                  <c:v>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6B-0B41-9031-3036790286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989984"/>
        <c:axId val="1601586976"/>
      </c:lineChart>
      <c:dateAx>
        <c:axId val="16019899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586976"/>
        <c:crosses val="autoZero"/>
        <c:auto val="1"/>
        <c:lblOffset val="100"/>
        <c:baseTimeUnit val="days"/>
      </c:dateAx>
      <c:valAx>
        <c:axId val="160158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98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'P44'!$F$3</c:f>
              <c:strCache>
                <c:ptCount val="1"/>
                <c:pt idx="0">
                  <c:v>% de Deuda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'P44'!$B$4:$B$16</c:f>
              <c:numCache>
                <c:formatCode>m/d/yy</c:formatCode>
                <c:ptCount val="13"/>
                <c:pt idx="0">
                  <c:v>45649</c:v>
                </c:pt>
                <c:pt idx="1">
                  <c:v>45656</c:v>
                </c:pt>
                <c:pt idx="2">
                  <c:v>45663</c:v>
                </c:pt>
                <c:pt idx="3">
                  <c:v>45670</c:v>
                </c:pt>
                <c:pt idx="4">
                  <c:v>45677</c:v>
                </c:pt>
                <c:pt idx="5">
                  <c:v>45684</c:v>
                </c:pt>
                <c:pt idx="6">
                  <c:v>45691</c:v>
                </c:pt>
                <c:pt idx="7">
                  <c:v>45698</c:v>
                </c:pt>
                <c:pt idx="8">
                  <c:v>45705</c:v>
                </c:pt>
                <c:pt idx="9">
                  <c:v>45712</c:v>
                </c:pt>
                <c:pt idx="10">
                  <c:v>45719</c:v>
                </c:pt>
                <c:pt idx="11">
                  <c:v>45726</c:v>
                </c:pt>
                <c:pt idx="12">
                  <c:v>45733</c:v>
                </c:pt>
              </c:numCache>
            </c:numRef>
          </c:cat>
          <c:val>
            <c:numRef>
              <c:f>'P44'!$F$4:$F$16</c:f>
              <c:numCache>
                <c:formatCode>0.00%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0.25641025641025639</c:v>
                </c:pt>
                <c:pt idx="6">
                  <c:v>0</c:v>
                </c:pt>
                <c:pt idx="7">
                  <c:v>0.16949152542372881</c:v>
                </c:pt>
                <c:pt idx="8">
                  <c:v>0.17391304347826086</c:v>
                </c:pt>
                <c:pt idx="9">
                  <c:v>0.13924050632911392</c:v>
                </c:pt>
                <c:pt idx="10">
                  <c:v>0.15730337078651685</c:v>
                </c:pt>
                <c:pt idx="11">
                  <c:v>0.14141414141414141</c:v>
                </c:pt>
                <c:pt idx="12">
                  <c:v>0.22018348623853212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E7-F042-BA68-F34F49B228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944288"/>
        <c:axId val="1869815472"/>
      </c:lineChart>
      <c:dateAx>
        <c:axId val="18509442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15472"/>
        <c:crosses val="autoZero"/>
        <c:auto val="1"/>
        <c:lblOffset val="100"/>
        <c:baseTimeUnit val="days"/>
      </c:dateAx>
      <c:valAx>
        <c:axId val="18698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4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</a:t>
            </a:r>
            <a:r>
              <a:rPr lang="en-US" baseline="0"/>
              <a:t> Vs Cobranza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'P45'!$C$3</c:f>
              <c:strCache>
                <c:ptCount val="1"/>
                <c:pt idx="0">
                  <c:v>Meta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'P45'!$B$4:$B$10</c:f>
              <c:numCache>
                <c:formatCode>m/d/yy</c:formatCode>
                <c:ptCount val="7"/>
                <c:pt idx="0">
                  <c:v>45691</c:v>
                </c:pt>
                <c:pt idx="1">
                  <c:v>45698</c:v>
                </c:pt>
                <c:pt idx="2">
                  <c:v>45705</c:v>
                </c:pt>
                <c:pt idx="3">
                  <c:v>45712</c:v>
                </c:pt>
                <c:pt idx="4">
                  <c:v>45719</c:v>
                </c:pt>
                <c:pt idx="5">
                  <c:v>45726</c:v>
                </c:pt>
                <c:pt idx="6">
                  <c:v>45733</c:v>
                </c:pt>
              </c:numCache>
            </c:numRef>
          </c:cat>
          <c:val>
            <c:numRef>
              <c:f>'P45'!$C$4:$C$10</c:f>
              <c:numCache>
                <c:formatCode>_("$"* #,##0.00_);_("$"* \(#,##0.00\);_("$"* "-"??_);_(@_)</c:formatCode>
                <c:ptCount val="7"/>
                <c:pt idx="0">
                  <c:v>1500</c:v>
                </c:pt>
                <c:pt idx="1">
                  <c:v>3000</c:v>
                </c:pt>
                <c:pt idx="2">
                  <c:v>4500</c:v>
                </c:pt>
                <c:pt idx="3">
                  <c:v>5700</c:v>
                </c:pt>
                <c:pt idx="4">
                  <c:v>6300</c:v>
                </c:pt>
                <c:pt idx="5">
                  <c:v>7200</c:v>
                </c:pt>
                <c:pt idx="6">
                  <c:v>8700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28-FE45-8AEB-8305F70B8031}"/>
            </c:ext>
          </c:extLst>
        </c:ser>
        <c:ser>
          <c:idx val="1"/>
          <c:order val="1"/>
          <c:tx>
            <c:strRef>
              <c:f>'P45'!$D$3</c:f>
              <c:strCache>
                <c:ptCount val="1"/>
                <c:pt idx="0">
                  <c:v>Cobranza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'P45'!$B$4:$B$10</c:f>
              <c:numCache>
                <c:formatCode>m/d/yy</c:formatCode>
                <c:ptCount val="7"/>
                <c:pt idx="0">
                  <c:v>45691</c:v>
                </c:pt>
                <c:pt idx="1">
                  <c:v>45698</c:v>
                </c:pt>
                <c:pt idx="2">
                  <c:v>45705</c:v>
                </c:pt>
                <c:pt idx="3">
                  <c:v>45712</c:v>
                </c:pt>
                <c:pt idx="4">
                  <c:v>45719</c:v>
                </c:pt>
                <c:pt idx="5">
                  <c:v>45726</c:v>
                </c:pt>
                <c:pt idx="6">
                  <c:v>45733</c:v>
                </c:pt>
              </c:numCache>
            </c:numRef>
          </c:cat>
          <c:val>
            <c:numRef>
              <c:f>'P45'!$D$4:$D$10</c:f>
              <c:numCache>
                <c:formatCode>_("$"* #,##0.00_);_("$"* \(#,##0.00\);_("$"* "-"??_);_(@_)</c:formatCode>
                <c:ptCount val="7"/>
                <c:pt idx="0">
                  <c:v>1500</c:v>
                </c:pt>
                <c:pt idx="1">
                  <c:v>3000</c:v>
                </c:pt>
                <c:pt idx="2">
                  <c:v>4500</c:v>
                </c:pt>
                <c:pt idx="3">
                  <c:v>6000</c:v>
                </c:pt>
                <c:pt idx="4">
                  <c:v>6000</c:v>
                </c:pt>
                <c:pt idx="5">
                  <c:v>7200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28-FE45-8AEB-8305F70B8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989984"/>
        <c:axId val="1601586976"/>
      </c:lineChart>
      <c:dateAx>
        <c:axId val="16019899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586976"/>
        <c:crosses val="autoZero"/>
        <c:auto val="1"/>
        <c:lblOffset val="100"/>
        <c:baseTimeUnit val="days"/>
      </c:dateAx>
      <c:valAx>
        <c:axId val="160158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98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'P45'!$F$3</c:f>
              <c:strCache>
                <c:ptCount val="1"/>
                <c:pt idx="0">
                  <c:v>% de Deuda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'P45'!$B$4:$B$10</c:f>
              <c:numCache>
                <c:formatCode>m/d/yy</c:formatCode>
                <c:ptCount val="7"/>
                <c:pt idx="0">
                  <c:v>45691</c:v>
                </c:pt>
                <c:pt idx="1">
                  <c:v>45698</c:v>
                </c:pt>
                <c:pt idx="2">
                  <c:v>45705</c:v>
                </c:pt>
                <c:pt idx="3">
                  <c:v>45712</c:v>
                </c:pt>
                <c:pt idx="4">
                  <c:v>45719</c:v>
                </c:pt>
                <c:pt idx="5">
                  <c:v>45726</c:v>
                </c:pt>
                <c:pt idx="6">
                  <c:v>45733</c:v>
                </c:pt>
              </c:numCache>
            </c:numRef>
          </c:cat>
          <c:val>
            <c:numRef>
              <c:f>'P45'!$F$4:$F$10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0.23577235772357724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A1-1148-BF38-C7197F698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944288"/>
        <c:axId val="1869815472"/>
      </c:lineChart>
      <c:dateAx>
        <c:axId val="18509442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15472"/>
        <c:crosses val="autoZero"/>
        <c:auto val="1"/>
        <c:lblOffset val="100"/>
        <c:baseTimeUnit val="days"/>
      </c:dateAx>
      <c:valAx>
        <c:axId val="18698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4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</a:t>
            </a:r>
            <a:r>
              <a:rPr lang="en-US" baseline="0"/>
              <a:t> Vs Cobranza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'P46'!$C$3</c:f>
              <c:strCache>
                <c:ptCount val="1"/>
                <c:pt idx="0">
                  <c:v>Meta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'P46'!$B$4:$B$12</c:f>
              <c:numCache>
                <c:formatCode>m/d/yy</c:formatCode>
                <c:ptCount val="9"/>
                <c:pt idx="0">
                  <c:v>45677</c:v>
                </c:pt>
                <c:pt idx="1">
                  <c:v>45684</c:v>
                </c:pt>
                <c:pt idx="2">
                  <c:v>45691</c:v>
                </c:pt>
                <c:pt idx="3">
                  <c:v>45698</c:v>
                </c:pt>
                <c:pt idx="4">
                  <c:v>45705</c:v>
                </c:pt>
                <c:pt idx="5">
                  <c:v>45712</c:v>
                </c:pt>
                <c:pt idx="6">
                  <c:v>45719</c:v>
                </c:pt>
                <c:pt idx="7">
                  <c:v>45726</c:v>
                </c:pt>
                <c:pt idx="8">
                  <c:v>45733</c:v>
                </c:pt>
              </c:numCache>
            </c:numRef>
          </c:cat>
          <c:val>
            <c:numRef>
              <c:f>'P46'!$C$4:$C$12</c:f>
              <c:numCache>
                <c:formatCode>_("$"* #,##0.00_);_("$"* \(#,##0.00\);_("$"* "-"??_);_(@_)</c:formatCode>
                <c:ptCount val="9"/>
                <c:pt idx="0">
                  <c:v>300</c:v>
                </c:pt>
                <c:pt idx="1">
                  <c:v>1800</c:v>
                </c:pt>
                <c:pt idx="2">
                  <c:v>3000</c:v>
                </c:pt>
                <c:pt idx="3">
                  <c:v>3900</c:v>
                </c:pt>
                <c:pt idx="4">
                  <c:v>5100</c:v>
                </c:pt>
                <c:pt idx="5">
                  <c:v>6300</c:v>
                </c:pt>
                <c:pt idx="6">
                  <c:v>7800</c:v>
                </c:pt>
                <c:pt idx="7">
                  <c:v>8100</c:v>
                </c:pt>
                <c:pt idx="8">
                  <c:v>8700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E1-5541-9991-E56239796C46}"/>
            </c:ext>
          </c:extLst>
        </c:ser>
        <c:ser>
          <c:idx val="1"/>
          <c:order val="1"/>
          <c:tx>
            <c:strRef>
              <c:f>'P46'!$D$3</c:f>
              <c:strCache>
                <c:ptCount val="1"/>
                <c:pt idx="0">
                  <c:v>Cobranza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'P46'!$B$4:$B$12</c:f>
              <c:numCache>
                <c:formatCode>m/d/yy</c:formatCode>
                <c:ptCount val="9"/>
                <c:pt idx="0">
                  <c:v>45677</c:v>
                </c:pt>
                <c:pt idx="1">
                  <c:v>45684</c:v>
                </c:pt>
                <c:pt idx="2">
                  <c:v>45691</c:v>
                </c:pt>
                <c:pt idx="3">
                  <c:v>45698</c:v>
                </c:pt>
                <c:pt idx="4">
                  <c:v>45705</c:v>
                </c:pt>
                <c:pt idx="5">
                  <c:v>45712</c:v>
                </c:pt>
                <c:pt idx="6">
                  <c:v>45719</c:v>
                </c:pt>
                <c:pt idx="7">
                  <c:v>45726</c:v>
                </c:pt>
                <c:pt idx="8">
                  <c:v>45733</c:v>
                </c:pt>
              </c:numCache>
            </c:numRef>
          </c:cat>
          <c:val>
            <c:numRef>
              <c:f>'P46'!$D$4:$D$12</c:f>
              <c:numCache>
                <c:formatCode>_("$"* #,##0.00_);_("$"* \(#,##0.00\);_("$"* "-"??_);_(@_)</c:formatCode>
                <c:ptCount val="9"/>
                <c:pt idx="0">
                  <c:v>300</c:v>
                </c:pt>
                <c:pt idx="1">
                  <c:v>1800</c:v>
                </c:pt>
                <c:pt idx="2">
                  <c:v>3000</c:v>
                </c:pt>
                <c:pt idx="3">
                  <c:v>4200</c:v>
                </c:pt>
                <c:pt idx="4">
                  <c:v>5100</c:v>
                </c:pt>
                <c:pt idx="5">
                  <c:v>6000</c:v>
                </c:pt>
                <c:pt idx="6">
                  <c:v>7800</c:v>
                </c:pt>
                <c:pt idx="7">
                  <c:v>8100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E1-5541-9991-E56239796C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989984"/>
        <c:axId val="1601586976"/>
      </c:lineChart>
      <c:dateAx>
        <c:axId val="16019899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586976"/>
        <c:crosses val="autoZero"/>
        <c:auto val="1"/>
        <c:lblOffset val="100"/>
        <c:baseTimeUnit val="days"/>
      </c:dateAx>
      <c:valAx>
        <c:axId val="160158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98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'P46'!$F$3</c:f>
              <c:strCache>
                <c:ptCount val="1"/>
                <c:pt idx="0">
                  <c:v>% de Deuda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'P46'!$B$4:$B$12</c:f>
              <c:numCache>
                <c:formatCode>m/d/yy</c:formatCode>
                <c:ptCount val="9"/>
                <c:pt idx="0">
                  <c:v>45677</c:v>
                </c:pt>
                <c:pt idx="1">
                  <c:v>45684</c:v>
                </c:pt>
                <c:pt idx="2">
                  <c:v>45691</c:v>
                </c:pt>
                <c:pt idx="3">
                  <c:v>45698</c:v>
                </c:pt>
                <c:pt idx="4">
                  <c:v>45705</c:v>
                </c:pt>
                <c:pt idx="5">
                  <c:v>45712</c:v>
                </c:pt>
                <c:pt idx="6">
                  <c:v>45719</c:v>
                </c:pt>
                <c:pt idx="7">
                  <c:v>45726</c:v>
                </c:pt>
                <c:pt idx="8">
                  <c:v>45733</c:v>
                </c:pt>
              </c:numCache>
            </c:numRef>
          </c:cat>
          <c:val>
            <c:numRef>
              <c:f>'P46'!$F$4:$F$12</c:f>
              <c:numCache>
                <c:formatCode>0.00%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0.19333333333333333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C6-8B4B-ADCB-69208A6DCD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944288"/>
        <c:axId val="1869815472"/>
      </c:lineChart>
      <c:dateAx>
        <c:axId val="18509442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15472"/>
        <c:crosses val="autoZero"/>
        <c:auto val="1"/>
        <c:lblOffset val="100"/>
        <c:baseTimeUnit val="days"/>
      </c:dateAx>
      <c:valAx>
        <c:axId val="18698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4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</a:t>
            </a:r>
            <a:r>
              <a:rPr lang="en-US" baseline="0"/>
              <a:t> Vs Cobranza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'P48'!$C$3</c:f>
              <c:strCache>
                <c:ptCount val="1"/>
                <c:pt idx="0">
                  <c:v>Meta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'P48'!$B$4:$B$11</c:f>
              <c:numCache>
                <c:formatCode>m/d/yy</c:formatCode>
                <c:ptCount val="8"/>
                <c:pt idx="0">
                  <c:v>45684</c:v>
                </c:pt>
                <c:pt idx="1">
                  <c:v>45691</c:v>
                </c:pt>
                <c:pt idx="2">
                  <c:v>45698</c:v>
                </c:pt>
                <c:pt idx="3">
                  <c:v>45705</c:v>
                </c:pt>
                <c:pt idx="4">
                  <c:v>45712</c:v>
                </c:pt>
                <c:pt idx="5">
                  <c:v>45719</c:v>
                </c:pt>
                <c:pt idx="6">
                  <c:v>45726</c:v>
                </c:pt>
                <c:pt idx="7">
                  <c:v>45733</c:v>
                </c:pt>
              </c:numCache>
            </c:numRef>
          </c:cat>
          <c:val>
            <c:numRef>
              <c:f>'P48'!$C$4:$C$11</c:f>
              <c:numCache>
                <c:formatCode>_("$"* #,##0.00_);_("$"* \(#,##0.00\);_("$"* "-"??_);_(@_)</c:formatCode>
                <c:ptCount val="8"/>
                <c:pt idx="0">
                  <c:v>1500</c:v>
                </c:pt>
                <c:pt idx="1">
                  <c:v>3000</c:v>
                </c:pt>
                <c:pt idx="2">
                  <c:v>3900</c:v>
                </c:pt>
                <c:pt idx="3">
                  <c:v>4800</c:v>
                </c:pt>
                <c:pt idx="4">
                  <c:v>5400</c:v>
                </c:pt>
                <c:pt idx="5">
                  <c:v>5400</c:v>
                </c:pt>
                <c:pt idx="6">
                  <c:v>5400</c:v>
                </c:pt>
                <c:pt idx="7">
                  <c:v>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7A-EC4A-9B08-DE7DAAF6960C}"/>
            </c:ext>
          </c:extLst>
        </c:ser>
        <c:ser>
          <c:idx val="1"/>
          <c:order val="1"/>
          <c:tx>
            <c:strRef>
              <c:f>'P48'!$D$3</c:f>
              <c:strCache>
                <c:ptCount val="1"/>
                <c:pt idx="0">
                  <c:v>Cobranza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'P48'!$B$4:$B$11</c:f>
              <c:numCache>
                <c:formatCode>m/d/yy</c:formatCode>
                <c:ptCount val="8"/>
                <c:pt idx="0">
                  <c:v>45684</c:v>
                </c:pt>
                <c:pt idx="1">
                  <c:v>45691</c:v>
                </c:pt>
                <c:pt idx="2">
                  <c:v>45698</c:v>
                </c:pt>
                <c:pt idx="3">
                  <c:v>45705</c:v>
                </c:pt>
                <c:pt idx="4">
                  <c:v>45712</c:v>
                </c:pt>
                <c:pt idx="5">
                  <c:v>45719</c:v>
                </c:pt>
                <c:pt idx="6">
                  <c:v>45726</c:v>
                </c:pt>
                <c:pt idx="7">
                  <c:v>45733</c:v>
                </c:pt>
              </c:numCache>
            </c:numRef>
          </c:cat>
          <c:val>
            <c:numRef>
              <c:f>'P48'!$D$4:$D$11</c:f>
              <c:numCache>
                <c:formatCode>_("$"* #,##0.00_);_("$"* \(#,##0.00\);_("$"* "-"??_);_(@_)</c:formatCode>
                <c:ptCount val="8"/>
                <c:pt idx="0">
                  <c:v>1500</c:v>
                </c:pt>
                <c:pt idx="1">
                  <c:v>3000</c:v>
                </c:pt>
                <c:pt idx="2">
                  <c:v>3900</c:v>
                </c:pt>
                <c:pt idx="3">
                  <c:v>4800</c:v>
                </c:pt>
                <c:pt idx="4">
                  <c:v>5400</c:v>
                </c:pt>
                <c:pt idx="5">
                  <c:v>4400</c:v>
                </c:pt>
                <c:pt idx="6">
                  <c:v>6400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7A-EC4A-9B08-DE7DAAF69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989984"/>
        <c:axId val="1601586976"/>
      </c:lineChart>
      <c:dateAx>
        <c:axId val="16019899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586976"/>
        <c:crosses val="autoZero"/>
        <c:auto val="1"/>
        <c:lblOffset val="100"/>
        <c:baseTimeUnit val="days"/>
      </c:dateAx>
      <c:valAx>
        <c:axId val="160158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98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'P48'!$F$3</c:f>
              <c:strCache>
                <c:ptCount val="1"/>
                <c:pt idx="0">
                  <c:v>% de Deuda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'P48'!$B$4:$B$11</c:f>
              <c:numCache>
                <c:formatCode>m/d/yy</c:formatCode>
                <c:ptCount val="8"/>
                <c:pt idx="0">
                  <c:v>45684</c:v>
                </c:pt>
                <c:pt idx="1">
                  <c:v>45691</c:v>
                </c:pt>
                <c:pt idx="2">
                  <c:v>45698</c:v>
                </c:pt>
                <c:pt idx="3">
                  <c:v>45705</c:v>
                </c:pt>
                <c:pt idx="4">
                  <c:v>45712</c:v>
                </c:pt>
                <c:pt idx="5">
                  <c:v>45719</c:v>
                </c:pt>
                <c:pt idx="6">
                  <c:v>45726</c:v>
                </c:pt>
                <c:pt idx="7">
                  <c:v>45733</c:v>
                </c:pt>
              </c:numCache>
            </c:numRef>
          </c:cat>
          <c:val>
            <c:numRef>
              <c:f>'P48'!$F$4:$F$11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4.1666666666666664E-2</c:v>
                </c:pt>
                <c:pt idx="6">
                  <c:v>0</c:v>
                </c:pt>
                <c:pt idx="7">
                  <c:v>0.16949152542372881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B0-D548-B8CB-D9C418CF6A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944288"/>
        <c:axId val="1869815472"/>
      </c:lineChart>
      <c:dateAx>
        <c:axId val="18509442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15472"/>
        <c:crosses val="autoZero"/>
        <c:auto val="1"/>
        <c:lblOffset val="100"/>
        <c:baseTimeUnit val="days"/>
      </c:dateAx>
      <c:valAx>
        <c:axId val="18698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4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</a:t>
            </a:r>
            <a:r>
              <a:rPr lang="en-US" baseline="0"/>
              <a:t> Vs Cobranza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'P49'!$C$3</c:f>
              <c:strCache>
                <c:ptCount val="1"/>
                <c:pt idx="0">
                  <c:v>Meta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'P49'!$B$4:$B$11</c:f>
              <c:numCache>
                <c:formatCode>m/d/yy</c:formatCode>
                <c:ptCount val="8"/>
                <c:pt idx="0">
                  <c:v>45684</c:v>
                </c:pt>
                <c:pt idx="1">
                  <c:v>45691</c:v>
                </c:pt>
                <c:pt idx="2">
                  <c:v>45698</c:v>
                </c:pt>
                <c:pt idx="3">
                  <c:v>45705</c:v>
                </c:pt>
                <c:pt idx="4">
                  <c:v>45712</c:v>
                </c:pt>
                <c:pt idx="5">
                  <c:v>45719</c:v>
                </c:pt>
                <c:pt idx="6">
                  <c:v>45726</c:v>
                </c:pt>
                <c:pt idx="7">
                  <c:v>45733</c:v>
                </c:pt>
              </c:numCache>
            </c:numRef>
          </c:cat>
          <c:val>
            <c:numRef>
              <c:f>'P49'!$C$4:$C$11</c:f>
              <c:numCache>
                <c:formatCode>_("$"* #,##0.00_);_("$"* \(#,##0.00\);_("$"* "-"??_);_(@_)</c:formatCode>
                <c:ptCount val="8"/>
                <c:pt idx="0">
                  <c:v>1500</c:v>
                </c:pt>
                <c:pt idx="1">
                  <c:v>2400</c:v>
                </c:pt>
                <c:pt idx="2">
                  <c:v>3900</c:v>
                </c:pt>
                <c:pt idx="3">
                  <c:v>4800</c:v>
                </c:pt>
                <c:pt idx="4">
                  <c:v>5100</c:v>
                </c:pt>
                <c:pt idx="5">
                  <c:v>5100</c:v>
                </c:pt>
                <c:pt idx="6">
                  <c:v>5400</c:v>
                </c:pt>
                <c:pt idx="7">
                  <c:v>5400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8C-1E4A-9924-48A6E11FE259}"/>
            </c:ext>
          </c:extLst>
        </c:ser>
        <c:ser>
          <c:idx val="1"/>
          <c:order val="1"/>
          <c:tx>
            <c:strRef>
              <c:f>'P49'!$D$3</c:f>
              <c:strCache>
                <c:ptCount val="1"/>
                <c:pt idx="0">
                  <c:v>Cobranza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'P49'!$B$4:$B$11</c:f>
              <c:numCache>
                <c:formatCode>m/d/yy</c:formatCode>
                <c:ptCount val="8"/>
                <c:pt idx="0">
                  <c:v>45684</c:v>
                </c:pt>
                <c:pt idx="1">
                  <c:v>45691</c:v>
                </c:pt>
                <c:pt idx="2">
                  <c:v>45698</c:v>
                </c:pt>
                <c:pt idx="3">
                  <c:v>45705</c:v>
                </c:pt>
                <c:pt idx="4">
                  <c:v>45712</c:v>
                </c:pt>
                <c:pt idx="5">
                  <c:v>45719</c:v>
                </c:pt>
                <c:pt idx="6">
                  <c:v>45726</c:v>
                </c:pt>
                <c:pt idx="7">
                  <c:v>45733</c:v>
                </c:pt>
              </c:numCache>
            </c:numRef>
          </c:cat>
          <c:val>
            <c:numRef>
              <c:f>'P49'!$D$4:$D$11</c:f>
              <c:numCache>
                <c:formatCode>_("$"* #,##0.00_);_("$"* \(#,##0.00\);_("$"* "-"??_);_(@_)</c:formatCode>
                <c:ptCount val="8"/>
                <c:pt idx="0">
                  <c:v>1500</c:v>
                </c:pt>
                <c:pt idx="1">
                  <c:v>2400</c:v>
                </c:pt>
                <c:pt idx="2">
                  <c:v>3900</c:v>
                </c:pt>
                <c:pt idx="3">
                  <c:v>4800</c:v>
                </c:pt>
                <c:pt idx="4">
                  <c:v>5100</c:v>
                </c:pt>
                <c:pt idx="5">
                  <c:v>5400</c:v>
                </c:pt>
                <c:pt idx="6">
                  <c:v>5100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8C-1E4A-9924-48A6E11FE2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989984"/>
        <c:axId val="1601586976"/>
      </c:lineChart>
      <c:dateAx>
        <c:axId val="16019899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586976"/>
        <c:crosses val="autoZero"/>
        <c:auto val="1"/>
        <c:lblOffset val="100"/>
        <c:baseTimeUnit val="days"/>
      </c:dateAx>
      <c:valAx>
        <c:axId val="160158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98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'P49'!$F$3</c:f>
              <c:strCache>
                <c:ptCount val="1"/>
                <c:pt idx="0">
                  <c:v>% de Deuda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'P49'!$B$4:$B$11</c:f>
              <c:numCache>
                <c:formatCode>m/d/yy</c:formatCode>
                <c:ptCount val="8"/>
                <c:pt idx="0">
                  <c:v>45684</c:v>
                </c:pt>
                <c:pt idx="1">
                  <c:v>45691</c:v>
                </c:pt>
                <c:pt idx="2">
                  <c:v>45698</c:v>
                </c:pt>
                <c:pt idx="3">
                  <c:v>45705</c:v>
                </c:pt>
                <c:pt idx="4">
                  <c:v>45712</c:v>
                </c:pt>
                <c:pt idx="5">
                  <c:v>45719</c:v>
                </c:pt>
                <c:pt idx="6">
                  <c:v>45726</c:v>
                </c:pt>
                <c:pt idx="7">
                  <c:v>45733</c:v>
                </c:pt>
              </c:numCache>
            </c:numRef>
          </c:cat>
          <c:val>
            <c:numRef>
              <c:f>'P49'!$F$4:$F$11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0.16071428571428573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E0-BB4C-952A-72C73F2FA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944288"/>
        <c:axId val="1869815472"/>
      </c:lineChart>
      <c:dateAx>
        <c:axId val="18509442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15472"/>
        <c:crosses val="autoZero"/>
        <c:auto val="1"/>
        <c:lblOffset val="100"/>
        <c:baseTimeUnit val="days"/>
      </c:dateAx>
      <c:valAx>
        <c:axId val="18698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4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</a:t>
            </a:r>
            <a:r>
              <a:rPr lang="en-US" baseline="0"/>
              <a:t> Vs Cobranza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'P51'!$C$3</c:f>
              <c:strCache>
                <c:ptCount val="1"/>
                <c:pt idx="0">
                  <c:v>Meta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'P51'!$B$4:$B$11</c:f>
              <c:numCache>
                <c:formatCode>m/d/yy</c:formatCode>
                <c:ptCount val="8"/>
                <c:pt idx="0">
                  <c:v>45684</c:v>
                </c:pt>
                <c:pt idx="1">
                  <c:v>45691</c:v>
                </c:pt>
                <c:pt idx="2">
                  <c:v>45698</c:v>
                </c:pt>
                <c:pt idx="3">
                  <c:v>45705</c:v>
                </c:pt>
                <c:pt idx="4">
                  <c:v>45712</c:v>
                </c:pt>
                <c:pt idx="5">
                  <c:v>45719</c:v>
                </c:pt>
                <c:pt idx="6">
                  <c:v>45726</c:v>
                </c:pt>
                <c:pt idx="7">
                  <c:v>45733</c:v>
                </c:pt>
              </c:numCache>
            </c:numRef>
          </c:cat>
          <c:val>
            <c:numRef>
              <c:f>'P51'!$C$4:$C$11</c:f>
              <c:numCache>
                <c:formatCode>_("$"* #,##0.00_);_("$"* \(#,##0.00\);_("$"* "-"??_);_(@_)</c:formatCode>
                <c:ptCount val="8"/>
                <c:pt idx="0">
                  <c:v>600</c:v>
                </c:pt>
                <c:pt idx="1">
                  <c:v>2100</c:v>
                </c:pt>
                <c:pt idx="2">
                  <c:v>3600</c:v>
                </c:pt>
                <c:pt idx="3">
                  <c:v>4500</c:v>
                </c:pt>
                <c:pt idx="4">
                  <c:v>5100</c:v>
                </c:pt>
                <c:pt idx="5">
                  <c:v>5400</c:v>
                </c:pt>
                <c:pt idx="6">
                  <c:v>6000</c:v>
                </c:pt>
                <c:pt idx="7">
                  <c:v>6900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11-2646-815B-BBF463E11637}"/>
            </c:ext>
          </c:extLst>
        </c:ser>
        <c:ser>
          <c:idx val="1"/>
          <c:order val="1"/>
          <c:tx>
            <c:strRef>
              <c:f>'P51'!$D$3</c:f>
              <c:strCache>
                <c:ptCount val="1"/>
                <c:pt idx="0">
                  <c:v>Cobranza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'P51'!$B$4:$B$11</c:f>
              <c:numCache>
                <c:formatCode>m/d/yy</c:formatCode>
                <c:ptCount val="8"/>
                <c:pt idx="0">
                  <c:v>45684</c:v>
                </c:pt>
                <c:pt idx="1">
                  <c:v>45691</c:v>
                </c:pt>
                <c:pt idx="2">
                  <c:v>45698</c:v>
                </c:pt>
                <c:pt idx="3">
                  <c:v>45705</c:v>
                </c:pt>
                <c:pt idx="4">
                  <c:v>45712</c:v>
                </c:pt>
                <c:pt idx="5">
                  <c:v>45719</c:v>
                </c:pt>
                <c:pt idx="6">
                  <c:v>45726</c:v>
                </c:pt>
                <c:pt idx="7">
                  <c:v>45733</c:v>
                </c:pt>
              </c:numCache>
            </c:numRef>
          </c:cat>
          <c:val>
            <c:numRef>
              <c:f>'P51'!$D$4:$D$11</c:f>
              <c:numCache>
                <c:formatCode>_("$"* #,##0.00_);_("$"* \(#,##0.00\);_("$"* "-"??_);_(@_)</c:formatCode>
                <c:ptCount val="8"/>
                <c:pt idx="0">
                  <c:v>600</c:v>
                </c:pt>
                <c:pt idx="1">
                  <c:v>2100</c:v>
                </c:pt>
                <c:pt idx="2">
                  <c:v>3600</c:v>
                </c:pt>
                <c:pt idx="3">
                  <c:v>4800</c:v>
                </c:pt>
                <c:pt idx="4">
                  <c:v>4800</c:v>
                </c:pt>
                <c:pt idx="5">
                  <c:v>5400</c:v>
                </c:pt>
                <c:pt idx="6">
                  <c:v>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11-2646-815B-BBF463E11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989984"/>
        <c:axId val="1601586976"/>
      </c:lineChart>
      <c:dateAx>
        <c:axId val="16019899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586976"/>
        <c:crosses val="autoZero"/>
        <c:auto val="1"/>
        <c:lblOffset val="100"/>
        <c:baseTimeUnit val="days"/>
      </c:dateAx>
      <c:valAx>
        <c:axId val="160158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98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'P51'!$F$3</c:f>
              <c:strCache>
                <c:ptCount val="1"/>
                <c:pt idx="0">
                  <c:v>% de Deuda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'P51'!$B$4:$B$11</c:f>
              <c:numCache>
                <c:formatCode>m/d/yy</c:formatCode>
                <c:ptCount val="8"/>
                <c:pt idx="0">
                  <c:v>45684</c:v>
                </c:pt>
                <c:pt idx="1">
                  <c:v>45691</c:v>
                </c:pt>
                <c:pt idx="2">
                  <c:v>45698</c:v>
                </c:pt>
                <c:pt idx="3">
                  <c:v>45705</c:v>
                </c:pt>
                <c:pt idx="4">
                  <c:v>45712</c:v>
                </c:pt>
                <c:pt idx="5">
                  <c:v>45719</c:v>
                </c:pt>
                <c:pt idx="6">
                  <c:v>45726</c:v>
                </c:pt>
                <c:pt idx="7">
                  <c:v>45733</c:v>
                </c:pt>
              </c:numCache>
            </c:numRef>
          </c:cat>
          <c:val>
            <c:numRef>
              <c:f>'P51'!$F$4:$F$11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0.20175438596491227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DE-9243-8DD4-E190BC7E7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944288"/>
        <c:axId val="1869815472"/>
      </c:lineChart>
      <c:dateAx>
        <c:axId val="18509442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15472"/>
        <c:crosses val="autoZero"/>
        <c:auto val="1"/>
        <c:lblOffset val="100"/>
        <c:baseTimeUnit val="days"/>
      </c:dateAx>
      <c:valAx>
        <c:axId val="18698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4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</a:t>
            </a:r>
            <a:r>
              <a:rPr lang="en-US" baseline="0"/>
              <a:t> Vs Cobranza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'P52'!$C$3</c:f>
              <c:strCache>
                <c:ptCount val="1"/>
                <c:pt idx="0">
                  <c:v>Meta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'P52'!$B$4:$B$9</c:f>
              <c:numCache>
                <c:formatCode>m/d/yy</c:formatCode>
                <c:ptCount val="6"/>
                <c:pt idx="0">
                  <c:v>45698</c:v>
                </c:pt>
                <c:pt idx="1">
                  <c:v>45705</c:v>
                </c:pt>
                <c:pt idx="2">
                  <c:v>45712</c:v>
                </c:pt>
                <c:pt idx="3">
                  <c:v>45719</c:v>
                </c:pt>
                <c:pt idx="4">
                  <c:v>45726</c:v>
                </c:pt>
                <c:pt idx="5">
                  <c:v>45733</c:v>
                </c:pt>
              </c:numCache>
            </c:numRef>
          </c:cat>
          <c:val>
            <c:numRef>
              <c:f>'P52'!$C$4:$C$9</c:f>
              <c:numCache>
                <c:formatCode>_("$"* #,##0.00_);_("$"* \(#,##0.00\);_("$"* "-"??_);_(@_)</c:formatCode>
                <c:ptCount val="6"/>
                <c:pt idx="0">
                  <c:v>600</c:v>
                </c:pt>
                <c:pt idx="1">
                  <c:v>2100</c:v>
                </c:pt>
                <c:pt idx="2">
                  <c:v>3000</c:v>
                </c:pt>
                <c:pt idx="3">
                  <c:v>3600</c:v>
                </c:pt>
                <c:pt idx="4">
                  <c:v>4500</c:v>
                </c:pt>
                <c:pt idx="5">
                  <c:v>5100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95-0744-9106-A7090E8A315B}"/>
            </c:ext>
          </c:extLst>
        </c:ser>
        <c:ser>
          <c:idx val="1"/>
          <c:order val="1"/>
          <c:tx>
            <c:strRef>
              <c:f>'P52'!$D$3</c:f>
              <c:strCache>
                <c:ptCount val="1"/>
                <c:pt idx="0">
                  <c:v>Cobranza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'P52'!$B$4:$B$9</c:f>
              <c:numCache>
                <c:formatCode>m/d/yy</c:formatCode>
                <c:ptCount val="6"/>
                <c:pt idx="0">
                  <c:v>45698</c:v>
                </c:pt>
                <c:pt idx="1">
                  <c:v>45705</c:v>
                </c:pt>
                <c:pt idx="2">
                  <c:v>45712</c:v>
                </c:pt>
                <c:pt idx="3">
                  <c:v>45719</c:v>
                </c:pt>
                <c:pt idx="4">
                  <c:v>45726</c:v>
                </c:pt>
                <c:pt idx="5">
                  <c:v>45733</c:v>
                </c:pt>
              </c:numCache>
            </c:numRef>
          </c:cat>
          <c:val>
            <c:numRef>
              <c:f>'P52'!$D$4:$D$9</c:f>
              <c:numCache>
                <c:formatCode>_("$"* #,##0.00_);_("$"* \(#,##0.00\);_("$"* "-"??_);_(@_)</c:formatCode>
                <c:ptCount val="6"/>
                <c:pt idx="0">
                  <c:v>600</c:v>
                </c:pt>
                <c:pt idx="1">
                  <c:v>2100</c:v>
                </c:pt>
                <c:pt idx="2">
                  <c:v>3000</c:v>
                </c:pt>
                <c:pt idx="3">
                  <c:v>3600</c:v>
                </c:pt>
                <c:pt idx="4">
                  <c:v>4500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695-0744-9106-A7090E8A31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989984"/>
        <c:axId val="1601586976"/>
      </c:lineChart>
      <c:dateAx>
        <c:axId val="16019899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586976"/>
        <c:crosses val="autoZero"/>
        <c:auto val="1"/>
        <c:lblOffset val="100"/>
        <c:baseTimeUnit val="days"/>
      </c:dateAx>
      <c:valAx>
        <c:axId val="160158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98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de Deuda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'P52'!$F$3</c:f>
              <c:strCache>
                <c:ptCount val="1"/>
                <c:pt idx="0">
                  <c:v>% de Deuda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'P52'!$B$4:$B$9</c:f>
              <c:numCache>
                <c:formatCode>m/d/yy</c:formatCode>
                <c:ptCount val="6"/>
                <c:pt idx="0">
                  <c:v>45698</c:v>
                </c:pt>
                <c:pt idx="1">
                  <c:v>45705</c:v>
                </c:pt>
                <c:pt idx="2">
                  <c:v>45712</c:v>
                </c:pt>
                <c:pt idx="3">
                  <c:v>45719</c:v>
                </c:pt>
                <c:pt idx="4">
                  <c:v>45726</c:v>
                </c:pt>
                <c:pt idx="5">
                  <c:v>45733</c:v>
                </c:pt>
              </c:numCache>
            </c:numRef>
          </c:cat>
          <c:val>
            <c:numRef>
              <c:f>'P52'!$F$4:$F$9</c:f>
              <c:numCache>
                <c:formatCode>0.00%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0.26984126984126983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31-774A-A482-98207FA729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944288"/>
        <c:axId val="1869815472"/>
      </c:lineChart>
      <c:dateAx>
        <c:axId val="18509442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15472"/>
        <c:crosses val="autoZero"/>
        <c:auto val="1"/>
        <c:lblOffset val="100"/>
        <c:baseTimeUnit val="days"/>
      </c:dateAx>
      <c:valAx>
        <c:axId val="18698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4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</a:t>
            </a:r>
            <a:r>
              <a:rPr lang="en-US" baseline="0"/>
              <a:t> Vs Cobranza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'P53'!$C$3</c:f>
              <c:strCache>
                <c:ptCount val="1"/>
                <c:pt idx="0">
                  <c:v>Meta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'P53'!$B$4:$B$10</c:f>
              <c:numCache>
                <c:formatCode>m/d/yy</c:formatCode>
                <c:ptCount val="7"/>
                <c:pt idx="0">
                  <c:v>45691</c:v>
                </c:pt>
                <c:pt idx="1">
                  <c:v>45698</c:v>
                </c:pt>
                <c:pt idx="2">
                  <c:v>45705</c:v>
                </c:pt>
                <c:pt idx="3">
                  <c:v>45712</c:v>
                </c:pt>
                <c:pt idx="4">
                  <c:v>45719</c:v>
                </c:pt>
                <c:pt idx="5">
                  <c:v>45726</c:v>
                </c:pt>
                <c:pt idx="6">
                  <c:v>45733</c:v>
                </c:pt>
              </c:numCache>
            </c:numRef>
          </c:cat>
          <c:val>
            <c:numRef>
              <c:f>'P53'!$C$4:$C$10</c:f>
              <c:numCache>
                <c:formatCode>_("$"* #,##0.00_);_("$"* \(#,##0.00\);_("$"* "-"??_);_(@_)</c:formatCode>
                <c:ptCount val="7"/>
                <c:pt idx="0">
                  <c:v>300</c:v>
                </c:pt>
                <c:pt idx="1">
                  <c:v>1200</c:v>
                </c:pt>
                <c:pt idx="2">
                  <c:v>2100</c:v>
                </c:pt>
                <c:pt idx="3">
                  <c:v>3000</c:v>
                </c:pt>
                <c:pt idx="4">
                  <c:v>3300</c:v>
                </c:pt>
                <c:pt idx="5">
                  <c:v>4500</c:v>
                </c:pt>
                <c:pt idx="6">
                  <c:v>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31-2648-8F6C-193929AF2099}"/>
            </c:ext>
          </c:extLst>
        </c:ser>
        <c:ser>
          <c:idx val="1"/>
          <c:order val="1"/>
          <c:tx>
            <c:strRef>
              <c:f>'P53'!$D$3</c:f>
              <c:strCache>
                <c:ptCount val="1"/>
                <c:pt idx="0">
                  <c:v>Cobranza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'P53'!$B$4:$B$10</c:f>
              <c:numCache>
                <c:formatCode>m/d/yy</c:formatCode>
                <c:ptCount val="7"/>
                <c:pt idx="0">
                  <c:v>45691</c:v>
                </c:pt>
                <c:pt idx="1">
                  <c:v>45698</c:v>
                </c:pt>
                <c:pt idx="2">
                  <c:v>45705</c:v>
                </c:pt>
                <c:pt idx="3">
                  <c:v>45712</c:v>
                </c:pt>
                <c:pt idx="4">
                  <c:v>45719</c:v>
                </c:pt>
                <c:pt idx="5">
                  <c:v>45726</c:v>
                </c:pt>
                <c:pt idx="6">
                  <c:v>45733</c:v>
                </c:pt>
              </c:numCache>
            </c:numRef>
          </c:cat>
          <c:val>
            <c:numRef>
              <c:f>'P53'!$D$4:$D$10</c:f>
              <c:numCache>
                <c:formatCode>_("$"* #,##0.00_);_("$"* \(#,##0.00\);_("$"* "-"??_);_(@_)</c:formatCode>
                <c:ptCount val="7"/>
                <c:pt idx="0">
                  <c:v>300</c:v>
                </c:pt>
                <c:pt idx="1">
                  <c:v>1200</c:v>
                </c:pt>
                <c:pt idx="2">
                  <c:v>2400</c:v>
                </c:pt>
                <c:pt idx="3">
                  <c:v>2700</c:v>
                </c:pt>
                <c:pt idx="4">
                  <c:v>3600</c:v>
                </c:pt>
                <c:pt idx="5">
                  <c:v>4200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31-2648-8F6C-193929AF20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989984"/>
        <c:axId val="1601586976"/>
      </c:lineChart>
      <c:dateAx>
        <c:axId val="16019899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586976"/>
        <c:crosses val="autoZero"/>
        <c:auto val="1"/>
        <c:lblOffset val="100"/>
        <c:baseTimeUnit val="days"/>
      </c:dateAx>
      <c:valAx>
        <c:axId val="160158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98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'P53'!$F$3</c:f>
              <c:strCache>
                <c:ptCount val="1"/>
                <c:pt idx="0">
                  <c:v>% de Deuda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'P53'!$B$4:$B$10</c:f>
              <c:numCache>
                <c:formatCode>m/d/yy</c:formatCode>
                <c:ptCount val="7"/>
                <c:pt idx="0">
                  <c:v>45691</c:v>
                </c:pt>
                <c:pt idx="1">
                  <c:v>45698</c:v>
                </c:pt>
                <c:pt idx="2">
                  <c:v>45705</c:v>
                </c:pt>
                <c:pt idx="3">
                  <c:v>45712</c:v>
                </c:pt>
                <c:pt idx="4">
                  <c:v>45719</c:v>
                </c:pt>
                <c:pt idx="5">
                  <c:v>45726</c:v>
                </c:pt>
                <c:pt idx="6">
                  <c:v>45733</c:v>
                </c:pt>
              </c:numCache>
            </c:numRef>
          </c:cat>
          <c:val>
            <c:numRef>
              <c:f>'P53'!$F$4:$F$10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0.29411764705882354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E0-4745-B085-35DEDAE5D1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944288"/>
        <c:axId val="1869815472"/>
      </c:lineChart>
      <c:dateAx>
        <c:axId val="18509442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15472"/>
        <c:crosses val="autoZero"/>
        <c:auto val="1"/>
        <c:lblOffset val="100"/>
        <c:baseTimeUnit val="days"/>
      </c:dateAx>
      <c:valAx>
        <c:axId val="18698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4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</a:t>
            </a:r>
            <a:r>
              <a:rPr lang="en-US" baseline="0"/>
              <a:t> Vs Cobranza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'P54'!$C$3</c:f>
              <c:strCache>
                <c:ptCount val="1"/>
                <c:pt idx="0">
                  <c:v>Meta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'P54'!$B$4:$B$10</c:f>
              <c:numCache>
                <c:formatCode>m/d/yy</c:formatCode>
                <c:ptCount val="7"/>
                <c:pt idx="0">
                  <c:v>45691</c:v>
                </c:pt>
                <c:pt idx="1">
                  <c:v>45698</c:v>
                </c:pt>
                <c:pt idx="2">
                  <c:v>45705</c:v>
                </c:pt>
                <c:pt idx="3">
                  <c:v>45712</c:v>
                </c:pt>
                <c:pt idx="4">
                  <c:v>45719</c:v>
                </c:pt>
                <c:pt idx="5">
                  <c:v>45726</c:v>
                </c:pt>
                <c:pt idx="6">
                  <c:v>45733</c:v>
                </c:pt>
              </c:numCache>
            </c:numRef>
          </c:cat>
          <c:val>
            <c:numRef>
              <c:f>'P54'!$C$4:$C$10</c:f>
              <c:numCache>
                <c:formatCode>_("$"* #,##0.00_);_("$"* \(#,##0.00\);_("$"* "-"??_);_(@_)</c:formatCode>
                <c:ptCount val="7"/>
                <c:pt idx="0">
                  <c:v>300</c:v>
                </c:pt>
                <c:pt idx="1">
                  <c:v>600</c:v>
                </c:pt>
                <c:pt idx="2">
                  <c:v>1500</c:v>
                </c:pt>
                <c:pt idx="3">
                  <c:v>2100</c:v>
                </c:pt>
                <c:pt idx="4">
                  <c:v>2100</c:v>
                </c:pt>
                <c:pt idx="5">
                  <c:v>2100</c:v>
                </c:pt>
                <c:pt idx="6">
                  <c:v>2100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3A-6842-A788-380580BF9949}"/>
            </c:ext>
          </c:extLst>
        </c:ser>
        <c:ser>
          <c:idx val="1"/>
          <c:order val="1"/>
          <c:tx>
            <c:strRef>
              <c:f>'P54'!$D$3</c:f>
              <c:strCache>
                <c:ptCount val="1"/>
                <c:pt idx="0">
                  <c:v>Cobranza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'P54'!$B$4:$B$10</c:f>
              <c:numCache>
                <c:formatCode>m/d/yy</c:formatCode>
                <c:ptCount val="7"/>
                <c:pt idx="0">
                  <c:v>45691</c:v>
                </c:pt>
                <c:pt idx="1">
                  <c:v>45698</c:v>
                </c:pt>
                <c:pt idx="2">
                  <c:v>45705</c:v>
                </c:pt>
                <c:pt idx="3">
                  <c:v>45712</c:v>
                </c:pt>
                <c:pt idx="4">
                  <c:v>45719</c:v>
                </c:pt>
                <c:pt idx="5">
                  <c:v>45726</c:v>
                </c:pt>
                <c:pt idx="6">
                  <c:v>45733</c:v>
                </c:pt>
              </c:numCache>
            </c:numRef>
          </c:cat>
          <c:val>
            <c:numRef>
              <c:f>'P54'!$D$4:$D$10</c:f>
              <c:numCache>
                <c:formatCode>_("$"* #,##0.00_);_("$"* \(#,##0.00\);_("$"* "-"??_);_(@_)</c:formatCode>
                <c:ptCount val="7"/>
                <c:pt idx="0">
                  <c:v>600</c:v>
                </c:pt>
                <c:pt idx="1">
                  <c:v>300</c:v>
                </c:pt>
                <c:pt idx="2">
                  <c:v>1500</c:v>
                </c:pt>
                <c:pt idx="3">
                  <c:v>2100</c:v>
                </c:pt>
                <c:pt idx="4">
                  <c:v>2100</c:v>
                </c:pt>
                <c:pt idx="5">
                  <c:v>1800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3A-6842-A788-380580BF9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989984"/>
        <c:axId val="1601586976"/>
      </c:lineChart>
      <c:dateAx>
        <c:axId val="16019899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586976"/>
        <c:crosses val="autoZero"/>
        <c:auto val="1"/>
        <c:lblOffset val="100"/>
        <c:baseTimeUnit val="days"/>
      </c:dateAx>
      <c:valAx>
        <c:axId val="160158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98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'P54'!$F$3</c:f>
              <c:strCache>
                <c:ptCount val="1"/>
                <c:pt idx="0">
                  <c:v>% de Deuda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'P54'!$B$4:$B$10</c:f>
              <c:numCache>
                <c:formatCode>m/d/yy</c:formatCode>
                <c:ptCount val="7"/>
                <c:pt idx="0">
                  <c:v>45691</c:v>
                </c:pt>
                <c:pt idx="1">
                  <c:v>45698</c:v>
                </c:pt>
                <c:pt idx="2">
                  <c:v>45705</c:v>
                </c:pt>
                <c:pt idx="3">
                  <c:v>45712</c:v>
                </c:pt>
                <c:pt idx="4">
                  <c:v>45719</c:v>
                </c:pt>
                <c:pt idx="5">
                  <c:v>45726</c:v>
                </c:pt>
                <c:pt idx="6">
                  <c:v>45733</c:v>
                </c:pt>
              </c:numCache>
            </c:numRef>
          </c:cat>
          <c:val>
            <c:numRef>
              <c:f>'P54'!$F$4:$F$10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3.4482758620689655E-2</c:v>
                </c:pt>
                <c:pt idx="6">
                  <c:v>0.22222222222222221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47-EB46-9472-5BAF9BDC2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944288"/>
        <c:axId val="1869815472"/>
      </c:lineChart>
      <c:dateAx>
        <c:axId val="18509442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15472"/>
        <c:crosses val="autoZero"/>
        <c:auto val="1"/>
        <c:lblOffset val="100"/>
        <c:baseTimeUnit val="days"/>
      </c:dateAx>
      <c:valAx>
        <c:axId val="18698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4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</a:t>
            </a:r>
            <a:r>
              <a:rPr lang="en-US" baseline="0"/>
              <a:t> Vs Cobranza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'P55'!$C$3</c:f>
              <c:strCache>
                <c:ptCount val="1"/>
                <c:pt idx="0">
                  <c:v>Meta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'P55'!$B$4:$B$10</c:f>
              <c:numCache>
                <c:formatCode>m/d/yy</c:formatCode>
                <c:ptCount val="7"/>
                <c:pt idx="0">
                  <c:v>45691</c:v>
                </c:pt>
                <c:pt idx="1">
                  <c:v>45698</c:v>
                </c:pt>
                <c:pt idx="2">
                  <c:v>45705</c:v>
                </c:pt>
                <c:pt idx="3">
                  <c:v>45712</c:v>
                </c:pt>
                <c:pt idx="4">
                  <c:v>45719</c:v>
                </c:pt>
                <c:pt idx="5">
                  <c:v>45726</c:v>
                </c:pt>
                <c:pt idx="6">
                  <c:v>45733</c:v>
                </c:pt>
              </c:numCache>
            </c:numRef>
          </c:cat>
          <c:val>
            <c:numRef>
              <c:f>'P55'!$C$4:$C$10</c:f>
              <c:numCache>
                <c:formatCode>_("$"* #,##0.00_);_("$"* \(#,##0.00\);_("$"* "-"??_);_(@_)</c:formatCode>
                <c:ptCount val="7"/>
                <c:pt idx="0">
                  <c:v>900</c:v>
                </c:pt>
                <c:pt idx="1">
                  <c:v>2100</c:v>
                </c:pt>
                <c:pt idx="2">
                  <c:v>3000</c:v>
                </c:pt>
                <c:pt idx="3">
                  <c:v>4200</c:v>
                </c:pt>
                <c:pt idx="4">
                  <c:v>4500</c:v>
                </c:pt>
                <c:pt idx="5">
                  <c:v>4500</c:v>
                </c:pt>
                <c:pt idx="6">
                  <c:v>5100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86-4641-A1DC-36F5E0CD8D86}"/>
            </c:ext>
          </c:extLst>
        </c:ser>
        <c:ser>
          <c:idx val="1"/>
          <c:order val="1"/>
          <c:tx>
            <c:strRef>
              <c:f>'P55'!$D$3</c:f>
              <c:strCache>
                <c:ptCount val="1"/>
                <c:pt idx="0">
                  <c:v>Cobranza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'P55'!$B$4:$B$10</c:f>
              <c:numCache>
                <c:formatCode>m/d/yy</c:formatCode>
                <c:ptCount val="7"/>
                <c:pt idx="0">
                  <c:v>45691</c:v>
                </c:pt>
                <c:pt idx="1">
                  <c:v>45698</c:v>
                </c:pt>
                <c:pt idx="2">
                  <c:v>45705</c:v>
                </c:pt>
                <c:pt idx="3">
                  <c:v>45712</c:v>
                </c:pt>
                <c:pt idx="4">
                  <c:v>45719</c:v>
                </c:pt>
                <c:pt idx="5">
                  <c:v>45726</c:v>
                </c:pt>
                <c:pt idx="6">
                  <c:v>45733</c:v>
                </c:pt>
              </c:numCache>
            </c:numRef>
          </c:cat>
          <c:val>
            <c:numRef>
              <c:f>'P55'!$D$4:$D$10</c:f>
              <c:numCache>
                <c:formatCode>_("$"* #,##0.00_);_("$"* \(#,##0.00\);_("$"* "-"??_);_(@_)</c:formatCode>
                <c:ptCount val="7"/>
                <c:pt idx="0">
                  <c:v>900</c:v>
                </c:pt>
                <c:pt idx="1">
                  <c:v>2100</c:v>
                </c:pt>
                <c:pt idx="2">
                  <c:v>3000</c:v>
                </c:pt>
                <c:pt idx="3">
                  <c:v>4200</c:v>
                </c:pt>
                <c:pt idx="4">
                  <c:v>4500</c:v>
                </c:pt>
                <c:pt idx="5">
                  <c:v>4500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86-4641-A1DC-36F5E0CD8D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989984"/>
        <c:axId val="1601586976"/>
      </c:lineChart>
      <c:dateAx>
        <c:axId val="16019899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586976"/>
        <c:crosses val="autoZero"/>
        <c:auto val="1"/>
        <c:lblOffset val="100"/>
        <c:baseTimeUnit val="days"/>
      </c:dateAx>
      <c:valAx>
        <c:axId val="160158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98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'P55'!$F$3</c:f>
              <c:strCache>
                <c:ptCount val="1"/>
                <c:pt idx="0">
                  <c:v>% de Deuda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'P55'!$B$4:$B$10</c:f>
              <c:numCache>
                <c:formatCode>m/d/yy</c:formatCode>
                <c:ptCount val="7"/>
                <c:pt idx="0">
                  <c:v>45691</c:v>
                </c:pt>
                <c:pt idx="1">
                  <c:v>45698</c:v>
                </c:pt>
                <c:pt idx="2">
                  <c:v>45705</c:v>
                </c:pt>
                <c:pt idx="3">
                  <c:v>45712</c:v>
                </c:pt>
                <c:pt idx="4">
                  <c:v>45719</c:v>
                </c:pt>
                <c:pt idx="5">
                  <c:v>45726</c:v>
                </c:pt>
                <c:pt idx="6">
                  <c:v>45733</c:v>
                </c:pt>
              </c:numCache>
            </c:numRef>
          </c:cat>
          <c:val>
            <c:numRef>
              <c:f>'P55'!$F$4:$F$10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0.20987654320987653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22-AD45-AAD9-AB32D07CC6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944288"/>
        <c:axId val="1869815472"/>
      </c:lineChart>
      <c:dateAx>
        <c:axId val="18509442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15472"/>
        <c:crosses val="autoZero"/>
        <c:auto val="1"/>
        <c:lblOffset val="100"/>
        <c:baseTimeUnit val="days"/>
      </c:dateAx>
      <c:valAx>
        <c:axId val="18698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4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</a:t>
            </a:r>
            <a:r>
              <a:rPr lang="en-US" baseline="0"/>
              <a:t> Vs Cobranza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'P56'!$C$3</c:f>
              <c:strCache>
                <c:ptCount val="1"/>
                <c:pt idx="0">
                  <c:v>Meta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'P56'!$B$4:$B$9</c:f>
              <c:numCache>
                <c:formatCode>m/d/yy</c:formatCode>
                <c:ptCount val="6"/>
                <c:pt idx="0">
                  <c:v>45698</c:v>
                </c:pt>
                <c:pt idx="1">
                  <c:v>45705</c:v>
                </c:pt>
                <c:pt idx="2">
                  <c:v>45712</c:v>
                </c:pt>
                <c:pt idx="3">
                  <c:v>45719</c:v>
                </c:pt>
                <c:pt idx="4">
                  <c:v>45726</c:v>
                </c:pt>
                <c:pt idx="5">
                  <c:v>45733</c:v>
                </c:pt>
              </c:numCache>
            </c:numRef>
          </c:cat>
          <c:val>
            <c:numRef>
              <c:f>'P56'!$C$4:$C$9</c:f>
              <c:numCache>
                <c:formatCode>_("$"* #,##0.00_);_("$"* \(#,##0.00\);_("$"* "-"??_);_(@_)</c:formatCode>
                <c:ptCount val="6"/>
                <c:pt idx="0">
                  <c:v>1200</c:v>
                </c:pt>
                <c:pt idx="1">
                  <c:v>1200</c:v>
                </c:pt>
                <c:pt idx="2">
                  <c:v>1200</c:v>
                </c:pt>
                <c:pt idx="3">
                  <c:v>1800</c:v>
                </c:pt>
                <c:pt idx="4">
                  <c:v>1800</c:v>
                </c:pt>
                <c:pt idx="5">
                  <c:v>1800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A5-7041-9A29-A215FB8FB5E8}"/>
            </c:ext>
          </c:extLst>
        </c:ser>
        <c:ser>
          <c:idx val="1"/>
          <c:order val="1"/>
          <c:tx>
            <c:strRef>
              <c:f>'P56'!$D$3</c:f>
              <c:strCache>
                <c:ptCount val="1"/>
                <c:pt idx="0">
                  <c:v>Cobranza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'P56'!$B$4:$B$9</c:f>
              <c:numCache>
                <c:formatCode>m/d/yy</c:formatCode>
                <c:ptCount val="6"/>
                <c:pt idx="0">
                  <c:v>45698</c:v>
                </c:pt>
                <c:pt idx="1">
                  <c:v>45705</c:v>
                </c:pt>
                <c:pt idx="2">
                  <c:v>45712</c:v>
                </c:pt>
                <c:pt idx="3">
                  <c:v>45719</c:v>
                </c:pt>
                <c:pt idx="4">
                  <c:v>45726</c:v>
                </c:pt>
                <c:pt idx="5">
                  <c:v>45733</c:v>
                </c:pt>
              </c:numCache>
            </c:numRef>
          </c:cat>
          <c:val>
            <c:numRef>
              <c:f>'P56'!$D$4:$D$9</c:f>
              <c:numCache>
                <c:formatCode>_("$"* #,##0.00_);_("$"* \(#,##0.00\);_("$"* "-"??_);_(@_)</c:formatCode>
                <c:ptCount val="6"/>
                <c:pt idx="0">
                  <c:v>1200</c:v>
                </c:pt>
                <c:pt idx="1">
                  <c:v>1200</c:v>
                </c:pt>
                <c:pt idx="2">
                  <c:v>1200</c:v>
                </c:pt>
                <c:pt idx="3">
                  <c:v>0</c:v>
                </c:pt>
                <c:pt idx="4">
                  <c:v>7200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A5-7041-9A29-A215FB8FB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989984"/>
        <c:axId val="1601586976"/>
      </c:lineChart>
      <c:dateAx>
        <c:axId val="16019899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586976"/>
        <c:crosses val="autoZero"/>
        <c:auto val="1"/>
        <c:lblOffset val="100"/>
        <c:baseTimeUnit val="days"/>
      </c:dateAx>
      <c:valAx>
        <c:axId val="160158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98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'P56'!$F$3</c:f>
              <c:strCache>
                <c:ptCount val="1"/>
                <c:pt idx="0">
                  <c:v>% de Deuda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'P56'!$B$4:$B$9</c:f>
              <c:numCache>
                <c:formatCode>m/d/yy</c:formatCode>
                <c:ptCount val="6"/>
                <c:pt idx="0">
                  <c:v>45698</c:v>
                </c:pt>
                <c:pt idx="1">
                  <c:v>45705</c:v>
                </c:pt>
                <c:pt idx="2">
                  <c:v>45712</c:v>
                </c:pt>
                <c:pt idx="3">
                  <c:v>45719</c:v>
                </c:pt>
                <c:pt idx="4">
                  <c:v>45726</c:v>
                </c:pt>
                <c:pt idx="5">
                  <c:v>45733</c:v>
                </c:pt>
              </c:numCache>
            </c:numRef>
          </c:cat>
          <c:val>
            <c:numRef>
              <c:f>'P56'!$F$4:$F$9</c:f>
              <c:numCache>
                <c:formatCode>0.00%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0.33333333333333331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7E-374B-91D9-565CC3E530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944288"/>
        <c:axId val="1869815472"/>
      </c:lineChart>
      <c:dateAx>
        <c:axId val="18509442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15472"/>
        <c:crosses val="autoZero"/>
        <c:auto val="1"/>
        <c:lblOffset val="100"/>
        <c:baseTimeUnit val="days"/>
      </c:dateAx>
      <c:valAx>
        <c:axId val="18698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4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</a:t>
            </a:r>
            <a:r>
              <a:rPr lang="en-US" baseline="0"/>
              <a:t> Vs Cobranza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'P57'!$C$3</c:f>
              <c:strCache>
                <c:ptCount val="1"/>
                <c:pt idx="0">
                  <c:v>Meta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'P57'!$B$4:$B$9</c:f>
              <c:numCache>
                <c:formatCode>m/d/yy</c:formatCode>
                <c:ptCount val="6"/>
                <c:pt idx="0">
                  <c:v>45698</c:v>
                </c:pt>
                <c:pt idx="1">
                  <c:v>45705</c:v>
                </c:pt>
                <c:pt idx="2">
                  <c:v>45712</c:v>
                </c:pt>
                <c:pt idx="3">
                  <c:v>45719</c:v>
                </c:pt>
                <c:pt idx="4">
                  <c:v>45726</c:v>
                </c:pt>
                <c:pt idx="5">
                  <c:v>45733</c:v>
                </c:pt>
              </c:numCache>
            </c:numRef>
          </c:cat>
          <c:val>
            <c:numRef>
              <c:f>'P57'!$C$4:$C$9</c:f>
              <c:numCache>
                <c:formatCode>_("$"* #,##0.00_);_("$"* \(#,##0.00\);_("$"* "-"??_);_(@_)</c:formatCode>
                <c:ptCount val="6"/>
                <c:pt idx="0">
                  <c:v>300</c:v>
                </c:pt>
                <c:pt idx="1">
                  <c:v>900</c:v>
                </c:pt>
                <c:pt idx="2">
                  <c:v>1200</c:v>
                </c:pt>
                <c:pt idx="3">
                  <c:v>1200</c:v>
                </c:pt>
                <c:pt idx="4">
                  <c:v>1500</c:v>
                </c:pt>
                <c:pt idx="5">
                  <c:v>2100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5F-4547-ADC2-390C8DEE1971}"/>
            </c:ext>
          </c:extLst>
        </c:ser>
        <c:ser>
          <c:idx val="1"/>
          <c:order val="1"/>
          <c:tx>
            <c:strRef>
              <c:f>'P57'!$D$3</c:f>
              <c:strCache>
                <c:ptCount val="1"/>
                <c:pt idx="0">
                  <c:v>Cobranza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'P57'!$B$4:$B$9</c:f>
              <c:numCache>
                <c:formatCode>m/d/yy</c:formatCode>
                <c:ptCount val="6"/>
                <c:pt idx="0">
                  <c:v>45698</c:v>
                </c:pt>
                <c:pt idx="1">
                  <c:v>45705</c:v>
                </c:pt>
                <c:pt idx="2">
                  <c:v>45712</c:v>
                </c:pt>
                <c:pt idx="3">
                  <c:v>45719</c:v>
                </c:pt>
                <c:pt idx="4">
                  <c:v>45726</c:v>
                </c:pt>
                <c:pt idx="5">
                  <c:v>45733</c:v>
                </c:pt>
              </c:numCache>
            </c:numRef>
          </c:cat>
          <c:val>
            <c:numRef>
              <c:f>'P57'!$D$4:$D$9</c:f>
              <c:numCache>
                <c:formatCode>_("$"* #,##0.00_);_("$"* \(#,##0.00\);_("$"* "-"??_);_(@_)</c:formatCode>
                <c:ptCount val="6"/>
                <c:pt idx="0">
                  <c:v>300</c:v>
                </c:pt>
                <c:pt idx="1">
                  <c:v>900</c:v>
                </c:pt>
                <c:pt idx="2">
                  <c:v>1200</c:v>
                </c:pt>
                <c:pt idx="3">
                  <c:v>1200</c:v>
                </c:pt>
                <c:pt idx="4">
                  <c:v>1500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5F-4547-ADC2-390C8DEE1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989984"/>
        <c:axId val="1601586976"/>
      </c:lineChart>
      <c:dateAx>
        <c:axId val="16019899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586976"/>
        <c:crosses val="autoZero"/>
        <c:auto val="1"/>
        <c:lblOffset val="100"/>
        <c:baseTimeUnit val="days"/>
      </c:dateAx>
      <c:valAx>
        <c:axId val="160158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98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'P57'!$F$3</c:f>
              <c:strCache>
                <c:ptCount val="1"/>
                <c:pt idx="0">
                  <c:v>% de Deuda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'P57'!$B$4:$B$9</c:f>
              <c:numCache>
                <c:formatCode>m/d/yy</c:formatCode>
                <c:ptCount val="6"/>
                <c:pt idx="0">
                  <c:v>45698</c:v>
                </c:pt>
                <c:pt idx="1">
                  <c:v>45705</c:v>
                </c:pt>
                <c:pt idx="2">
                  <c:v>45712</c:v>
                </c:pt>
                <c:pt idx="3">
                  <c:v>45719</c:v>
                </c:pt>
                <c:pt idx="4">
                  <c:v>45726</c:v>
                </c:pt>
                <c:pt idx="5">
                  <c:v>45733</c:v>
                </c:pt>
              </c:numCache>
            </c:numRef>
          </c:cat>
          <c:val>
            <c:numRef>
              <c:f>'P57'!$F$4:$F$9</c:f>
              <c:numCache>
                <c:formatCode>0.00%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0.29166666666666669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FE-9F4C-9BE6-F534F2526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944288"/>
        <c:axId val="1869815472"/>
      </c:lineChart>
      <c:dateAx>
        <c:axId val="18509442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15472"/>
        <c:crosses val="autoZero"/>
        <c:auto val="1"/>
        <c:lblOffset val="100"/>
        <c:baseTimeUnit val="days"/>
      </c:dateAx>
      <c:valAx>
        <c:axId val="18698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4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</a:t>
            </a:r>
            <a:r>
              <a:rPr lang="en-US" baseline="0"/>
              <a:t> Vs Cobranza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'P59'!$C$3</c:f>
              <c:strCache>
                <c:ptCount val="1"/>
                <c:pt idx="0">
                  <c:v>Meta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'P59'!$B$4:$B$9</c:f>
              <c:numCache>
                <c:formatCode>m/d/yy</c:formatCode>
                <c:ptCount val="6"/>
                <c:pt idx="0">
                  <c:v>45698</c:v>
                </c:pt>
                <c:pt idx="1">
                  <c:v>45705</c:v>
                </c:pt>
                <c:pt idx="2">
                  <c:v>45712</c:v>
                </c:pt>
                <c:pt idx="3">
                  <c:v>45719</c:v>
                </c:pt>
                <c:pt idx="4">
                  <c:v>45726</c:v>
                </c:pt>
                <c:pt idx="5">
                  <c:v>45733</c:v>
                </c:pt>
              </c:numCache>
            </c:numRef>
          </c:cat>
          <c:val>
            <c:numRef>
              <c:f>'P59'!$C$4:$C$9</c:f>
              <c:numCache>
                <c:formatCode>_("$"* #,##0.00_);_("$"* \(#,##0.00\);_("$"* "-"??_);_(@_)</c:formatCode>
                <c:ptCount val="6"/>
                <c:pt idx="0">
                  <c:v>1200</c:v>
                </c:pt>
                <c:pt idx="1">
                  <c:v>2100</c:v>
                </c:pt>
                <c:pt idx="2">
                  <c:v>3300</c:v>
                </c:pt>
                <c:pt idx="3">
                  <c:v>4200</c:v>
                </c:pt>
                <c:pt idx="4">
                  <c:v>4800</c:v>
                </c:pt>
                <c:pt idx="5">
                  <c:v>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9C-A54F-8072-377B00339CC2}"/>
            </c:ext>
          </c:extLst>
        </c:ser>
        <c:ser>
          <c:idx val="1"/>
          <c:order val="1"/>
          <c:tx>
            <c:strRef>
              <c:f>'P59'!$D$3</c:f>
              <c:strCache>
                <c:ptCount val="1"/>
                <c:pt idx="0">
                  <c:v>Cobranza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'P59'!$B$4:$B$9</c:f>
              <c:numCache>
                <c:formatCode>m/d/yy</c:formatCode>
                <c:ptCount val="6"/>
                <c:pt idx="0">
                  <c:v>45698</c:v>
                </c:pt>
                <c:pt idx="1">
                  <c:v>45705</c:v>
                </c:pt>
                <c:pt idx="2">
                  <c:v>45712</c:v>
                </c:pt>
                <c:pt idx="3">
                  <c:v>45719</c:v>
                </c:pt>
                <c:pt idx="4">
                  <c:v>45726</c:v>
                </c:pt>
                <c:pt idx="5">
                  <c:v>45733</c:v>
                </c:pt>
              </c:numCache>
            </c:numRef>
          </c:cat>
          <c:val>
            <c:numRef>
              <c:f>'P59'!$D$4:$D$9</c:f>
              <c:numCache>
                <c:formatCode>_("$"* #,##0.00_);_("$"* \(#,##0.00\);_("$"* "-"??_);_(@_)</c:formatCode>
                <c:ptCount val="6"/>
                <c:pt idx="0">
                  <c:v>1200</c:v>
                </c:pt>
                <c:pt idx="1">
                  <c:v>2100</c:v>
                </c:pt>
                <c:pt idx="2">
                  <c:v>3300</c:v>
                </c:pt>
                <c:pt idx="3">
                  <c:v>4200</c:v>
                </c:pt>
                <c:pt idx="4">
                  <c:v>4800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9C-A54F-8072-377B00339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989984"/>
        <c:axId val="1601586976"/>
      </c:lineChart>
      <c:dateAx>
        <c:axId val="16019899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586976"/>
        <c:crosses val="autoZero"/>
        <c:auto val="1"/>
        <c:lblOffset val="100"/>
        <c:baseTimeUnit val="days"/>
      </c:dateAx>
      <c:valAx>
        <c:axId val="160158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98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'P59'!$F$3</c:f>
              <c:strCache>
                <c:ptCount val="1"/>
                <c:pt idx="0">
                  <c:v>% de Deuda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'P59'!$B$4:$B$9</c:f>
              <c:numCache>
                <c:formatCode>m/d/yy</c:formatCode>
                <c:ptCount val="6"/>
                <c:pt idx="0">
                  <c:v>45698</c:v>
                </c:pt>
                <c:pt idx="1">
                  <c:v>45705</c:v>
                </c:pt>
                <c:pt idx="2">
                  <c:v>45712</c:v>
                </c:pt>
                <c:pt idx="3">
                  <c:v>45719</c:v>
                </c:pt>
                <c:pt idx="4">
                  <c:v>45726</c:v>
                </c:pt>
                <c:pt idx="5">
                  <c:v>45733</c:v>
                </c:pt>
              </c:numCache>
            </c:numRef>
          </c:cat>
          <c:val>
            <c:numRef>
              <c:f>'P59'!$F$4:$F$9</c:f>
              <c:numCache>
                <c:formatCode>0.00%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0.27777777777777779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95-E441-B6E0-5B42ECE692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944288"/>
        <c:axId val="1869815472"/>
      </c:lineChart>
      <c:dateAx>
        <c:axId val="18509442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15472"/>
        <c:crosses val="autoZero"/>
        <c:auto val="1"/>
        <c:lblOffset val="100"/>
        <c:baseTimeUnit val="days"/>
      </c:dateAx>
      <c:valAx>
        <c:axId val="18698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4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</a:t>
            </a:r>
            <a:r>
              <a:rPr lang="en-US" baseline="0"/>
              <a:t> Vs Cobranza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'P60'!$C$3</c:f>
              <c:strCache>
                <c:ptCount val="1"/>
                <c:pt idx="0">
                  <c:v>Meta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'P60'!$B$4:$B$9</c:f>
              <c:numCache>
                <c:formatCode>m/d/yy</c:formatCode>
                <c:ptCount val="6"/>
                <c:pt idx="0">
                  <c:v>45698</c:v>
                </c:pt>
                <c:pt idx="1">
                  <c:v>45705</c:v>
                </c:pt>
                <c:pt idx="2">
                  <c:v>45712</c:v>
                </c:pt>
                <c:pt idx="3">
                  <c:v>45719</c:v>
                </c:pt>
                <c:pt idx="4">
                  <c:v>45726</c:v>
                </c:pt>
                <c:pt idx="5">
                  <c:v>45733</c:v>
                </c:pt>
              </c:numCache>
            </c:numRef>
          </c:cat>
          <c:val>
            <c:numRef>
              <c:f>'P60'!$C$4:$C$9</c:f>
              <c:numCache>
                <c:formatCode>_("$"* #,##0.00_);_("$"* \(#,##0.00\);_("$"* "-"??_);_(@_)</c:formatCode>
                <c:ptCount val="6"/>
                <c:pt idx="0">
                  <c:v>1500</c:v>
                </c:pt>
                <c:pt idx="1">
                  <c:v>2100</c:v>
                </c:pt>
                <c:pt idx="2">
                  <c:v>3600</c:v>
                </c:pt>
                <c:pt idx="3">
                  <c:v>3900</c:v>
                </c:pt>
                <c:pt idx="4">
                  <c:v>4500</c:v>
                </c:pt>
                <c:pt idx="5">
                  <c:v>4500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DE-B64E-963D-8A750421D082}"/>
            </c:ext>
          </c:extLst>
        </c:ser>
        <c:ser>
          <c:idx val="1"/>
          <c:order val="1"/>
          <c:tx>
            <c:strRef>
              <c:f>'P60'!$D$3</c:f>
              <c:strCache>
                <c:ptCount val="1"/>
                <c:pt idx="0">
                  <c:v>Cobranza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'P60'!$B$4:$B$9</c:f>
              <c:numCache>
                <c:formatCode>m/d/yy</c:formatCode>
                <c:ptCount val="6"/>
                <c:pt idx="0">
                  <c:v>45698</c:v>
                </c:pt>
                <c:pt idx="1">
                  <c:v>45705</c:v>
                </c:pt>
                <c:pt idx="2">
                  <c:v>45712</c:v>
                </c:pt>
                <c:pt idx="3">
                  <c:v>45719</c:v>
                </c:pt>
                <c:pt idx="4">
                  <c:v>45726</c:v>
                </c:pt>
                <c:pt idx="5">
                  <c:v>45733</c:v>
                </c:pt>
              </c:numCache>
            </c:numRef>
          </c:cat>
          <c:val>
            <c:numRef>
              <c:f>'P60'!$D$4:$D$9</c:f>
              <c:numCache>
                <c:formatCode>_("$"* #,##0.00_);_("$"* \(#,##0.00\);_("$"* "-"??_);_(@_)</c:formatCode>
                <c:ptCount val="6"/>
                <c:pt idx="0">
                  <c:v>1500</c:v>
                </c:pt>
                <c:pt idx="1">
                  <c:v>2100</c:v>
                </c:pt>
                <c:pt idx="2">
                  <c:v>0</c:v>
                </c:pt>
                <c:pt idx="3">
                  <c:v>0</c:v>
                </c:pt>
                <c:pt idx="4">
                  <c:v>12300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DE-B64E-963D-8A750421D0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989984"/>
        <c:axId val="1601586976"/>
      </c:lineChart>
      <c:dateAx>
        <c:axId val="16019899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586976"/>
        <c:crosses val="autoZero"/>
        <c:auto val="1"/>
        <c:lblOffset val="100"/>
        <c:baseTimeUnit val="days"/>
      </c:dateAx>
      <c:valAx>
        <c:axId val="160158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98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'P60'!$F$3</c:f>
              <c:strCache>
                <c:ptCount val="1"/>
                <c:pt idx="0">
                  <c:v>% de Deuda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'P60'!$B$4:$B$9</c:f>
              <c:numCache>
                <c:formatCode>m/d/yy</c:formatCode>
                <c:ptCount val="6"/>
                <c:pt idx="0">
                  <c:v>45698</c:v>
                </c:pt>
                <c:pt idx="1">
                  <c:v>45705</c:v>
                </c:pt>
                <c:pt idx="2">
                  <c:v>45712</c:v>
                </c:pt>
                <c:pt idx="3">
                  <c:v>45719</c:v>
                </c:pt>
                <c:pt idx="4">
                  <c:v>45726</c:v>
                </c:pt>
                <c:pt idx="5">
                  <c:v>45733</c:v>
                </c:pt>
              </c:numCache>
            </c:numRef>
          </c:cat>
          <c:val>
            <c:numRef>
              <c:f>'P60'!$F$4:$F$9</c:f>
              <c:numCache>
                <c:formatCode>0.00%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0.67567567567567566</c:v>
                </c:pt>
                <c:pt idx="4">
                  <c:v>0</c:v>
                </c:pt>
                <c:pt idx="5">
                  <c:v>0.20895522388059701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18-7D40-ACE5-33F39B22D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944288"/>
        <c:axId val="1869815472"/>
      </c:lineChart>
      <c:dateAx>
        <c:axId val="18509442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15472"/>
        <c:crosses val="autoZero"/>
        <c:auto val="1"/>
        <c:lblOffset val="100"/>
        <c:baseTimeUnit val="days"/>
      </c:dateAx>
      <c:valAx>
        <c:axId val="18698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4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</a:t>
            </a:r>
            <a:r>
              <a:rPr lang="en-US" baseline="0"/>
              <a:t> Vs Cobranza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'P61'!$C$3</c:f>
              <c:strCache>
                <c:ptCount val="1"/>
                <c:pt idx="0">
                  <c:v>Meta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'P61'!$B$4</c:f>
              <c:numCache>
                <c:formatCode>m/d/yy</c:formatCode>
                <c:ptCount val="1"/>
                <c:pt idx="0">
                  <c:v>45698</c:v>
                </c:pt>
              </c:numCache>
            </c:numRef>
          </c:cat>
          <c:val>
            <c:numRef>
              <c:f>'P61'!$C$4</c:f>
              <c:numCache>
                <c:formatCode>_("$"* #,##0.00_);_("$"* \(#,##0.00\);_("$"* "-"??_);_(@_)</c:formatCode>
                <c:ptCount val="1"/>
                <c:pt idx="0">
                  <c:v>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9A-AF4E-94AD-4A9C773605B6}"/>
            </c:ext>
          </c:extLst>
        </c:ser>
        <c:ser>
          <c:idx val="1"/>
          <c:order val="1"/>
          <c:tx>
            <c:strRef>
              <c:f>'P61'!$D$3</c:f>
              <c:strCache>
                <c:ptCount val="1"/>
                <c:pt idx="0">
                  <c:v>Cobranza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'P61'!$B$4</c:f>
              <c:numCache>
                <c:formatCode>m/d/yy</c:formatCode>
                <c:ptCount val="1"/>
                <c:pt idx="0">
                  <c:v>45698</c:v>
                </c:pt>
              </c:numCache>
            </c:numRef>
          </c:cat>
          <c:val>
            <c:numRef>
              <c:f>'P61'!$D$4</c:f>
              <c:numCache>
                <c:formatCode>_("$"* #,##0.00_);_("$"* \(#,##0.00\);_("$"* "-"??_);_(@_)</c:formatCode>
                <c:ptCount val="1"/>
                <c:pt idx="0">
                  <c:v>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9A-AF4E-94AD-4A9C77360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989984"/>
        <c:axId val="1601586976"/>
      </c:lineChart>
      <c:dateAx>
        <c:axId val="16019899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586976"/>
        <c:crosses val="autoZero"/>
        <c:auto val="1"/>
        <c:lblOffset val="100"/>
        <c:baseTimeUnit val="days"/>
      </c:dateAx>
      <c:valAx>
        <c:axId val="160158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98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'P61'!$F$3</c:f>
              <c:strCache>
                <c:ptCount val="1"/>
                <c:pt idx="0">
                  <c:v>% de Deuda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'P61'!$B$4</c:f>
              <c:numCache>
                <c:formatCode>m/d/yy</c:formatCode>
                <c:ptCount val="1"/>
                <c:pt idx="0">
                  <c:v>45698</c:v>
                </c:pt>
              </c:numCache>
            </c:numRef>
          </c:cat>
          <c:val>
            <c:numRef>
              <c:f>'P61'!$F$4</c:f>
              <c:numCache>
                <c:formatCode>0.00%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C6-F544-8456-5693E04DF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944288"/>
        <c:axId val="1869815472"/>
      </c:lineChart>
      <c:dateAx>
        <c:axId val="18509442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15472"/>
        <c:crosses val="autoZero"/>
        <c:auto val="1"/>
        <c:lblOffset val="100"/>
        <c:baseTimeUnit val="days"/>
      </c:dateAx>
      <c:valAx>
        <c:axId val="18698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4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</a:t>
            </a:r>
            <a:r>
              <a:rPr lang="en-US" baseline="0"/>
              <a:t> Vs Cobranza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'P62'!$C$3</c:f>
              <c:strCache>
                <c:ptCount val="1"/>
                <c:pt idx="0">
                  <c:v>Meta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'P62'!$B$4:$B$9</c:f>
              <c:numCache>
                <c:formatCode>m/d/yy</c:formatCode>
                <c:ptCount val="6"/>
                <c:pt idx="0">
                  <c:v>45698</c:v>
                </c:pt>
                <c:pt idx="1">
                  <c:v>45705</c:v>
                </c:pt>
                <c:pt idx="2">
                  <c:v>45712</c:v>
                </c:pt>
                <c:pt idx="3">
                  <c:v>45719</c:v>
                </c:pt>
                <c:pt idx="4">
                  <c:v>45726</c:v>
                </c:pt>
                <c:pt idx="5">
                  <c:v>45733</c:v>
                </c:pt>
              </c:numCache>
            </c:numRef>
          </c:cat>
          <c:val>
            <c:numRef>
              <c:f>'P62'!$C$4:$C$9</c:f>
              <c:numCache>
                <c:formatCode>_("$"* #,##0.00_);_("$"* \(#,##0.00\);_("$"* "-"??_);_(@_)</c:formatCode>
                <c:ptCount val="6"/>
                <c:pt idx="0">
                  <c:v>0</c:v>
                </c:pt>
                <c:pt idx="1">
                  <c:v>1500</c:v>
                </c:pt>
                <c:pt idx="2">
                  <c:v>2100</c:v>
                </c:pt>
                <c:pt idx="3">
                  <c:v>3600</c:v>
                </c:pt>
                <c:pt idx="4">
                  <c:v>5100</c:v>
                </c:pt>
                <c:pt idx="5">
                  <c:v>6300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8B-5747-BE29-A875103DFF51}"/>
            </c:ext>
          </c:extLst>
        </c:ser>
        <c:ser>
          <c:idx val="1"/>
          <c:order val="1"/>
          <c:tx>
            <c:strRef>
              <c:f>'P62'!$D$3</c:f>
              <c:strCache>
                <c:ptCount val="1"/>
                <c:pt idx="0">
                  <c:v>Cobranza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'P62'!$B$4:$B$9</c:f>
              <c:numCache>
                <c:formatCode>m/d/yy</c:formatCode>
                <c:ptCount val="6"/>
                <c:pt idx="0">
                  <c:v>45698</c:v>
                </c:pt>
                <c:pt idx="1">
                  <c:v>45705</c:v>
                </c:pt>
                <c:pt idx="2">
                  <c:v>45712</c:v>
                </c:pt>
                <c:pt idx="3">
                  <c:v>45719</c:v>
                </c:pt>
                <c:pt idx="4">
                  <c:v>45726</c:v>
                </c:pt>
                <c:pt idx="5">
                  <c:v>45733</c:v>
                </c:pt>
              </c:numCache>
            </c:numRef>
          </c:cat>
          <c:val>
            <c:numRef>
              <c:f>'P62'!$D$4:$D$9</c:f>
              <c:numCache>
                <c:formatCode>_("$"* #,##0.00_);_("$"* \(#,##0.00\);_("$"* "-"??_);_(@_)</c:formatCode>
                <c:ptCount val="6"/>
                <c:pt idx="0">
                  <c:v>0</c:v>
                </c:pt>
                <c:pt idx="1">
                  <c:v>1500</c:v>
                </c:pt>
                <c:pt idx="2">
                  <c:v>2100</c:v>
                </c:pt>
                <c:pt idx="3">
                  <c:v>3600</c:v>
                </c:pt>
                <c:pt idx="4">
                  <c:v>5100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8B-5747-BE29-A875103DFF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989984"/>
        <c:axId val="1601586976"/>
      </c:lineChart>
      <c:dateAx>
        <c:axId val="16019899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586976"/>
        <c:crosses val="autoZero"/>
        <c:auto val="1"/>
        <c:lblOffset val="100"/>
        <c:baseTimeUnit val="days"/>
      </c:dateAx>
      <c:valAx>
        <c:axId val="160158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98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'P62'!$F$3</c:f>
              <c:strCache>
                <c:ptCount val="1"/>
                <c:pt idx="0">
                  <c:v>% de Deuda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'P62'!$B$4:$B$9</c:f>
              <c:numCache>
                <c:formatCode>m/d/yy</c:formatCode>
                <c:ptCount val="6"/>
                <c:pt idx="0">
                  <c:v>45698</c:v>
                </c:pt>
                <c:pt idx="1">
                  <c:v>45705</c:v>
                </c:pt>
                <c:pt idx="2">
                  <c:v>45712</c:v>
                </c:pt>
                <c:pt idx="3">
                  <c:v>45719</c:v>
                </c:pt>
                <c:pt idx="4">
                  <c:v>45726</c:v>
                </c:pt>
                <c:pt idx="5">
                  <c:v>45733</c:v>
                </c:pt>
              </c:numCache>
            </c:numRef>
          </c:cat>
          <c:val>
            <c:numRef>
              <c:f>'P62'!$F$4:$F$9</c:f>
              <c:numCache>
                <c:formatCode>0.00%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0.33870967741935482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CC-9646-A32C-9CC08288B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944288"/>
        <c:axId val="1869815472"/>
      </c:lineChart>
      <c:dateAx>
        <c:axId val="18509442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15472"/>
        <c:crosses val="autoZero"/>
        <c:auto val="1"/>
        <c:lblOffset val="100"/>
        <c:baseTimeUnit val="days"/>
      </c:dateAx>
      <c:valAx>
        <c:axId val="18698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4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4.xml"/><Relationship Id="rId1" Type="http://schemas.openxmlformats.org/officeDocument/2006/relationships/chart" Target="../charts/chart33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6.xml"/><Relationship Id="rId1" Type="http://schemas.openxmlformats.org/officeDocument/2006/relationships/chart" Target="../charts/chart35.xml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8.xml"/><Relationship Id="rId1" Type="http://schemas.openxmlformats.org/officeDocument/2006/relationships/chart" Target="../charts/chart37.xml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0.xml"/><Relationship Id="rId1" Type="http://schemas.openxmlformats.org/officeDocument/2006/relationships/chart" Target="../charts/chart39.xml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2.xml"/><Relationship Id="rId1" Type="http://schemas.openxmlformats.org/officeDocument/2006/relationships/chart" Target="../charts/chart41.xml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4.xml"/><Relationship Id="rId1" Type="http://schemas.openxmlformats.org/officeDocument/2006/relationships/chart" Target="../charts/chart43.xml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6.xml"/><Relationship Id="rId1" Type="http://schemas.openxmlformats.org/officeDocument/2006/relationships/chart" Target="../charts/chart45.xml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8.xml"/><Relationship Id="rId1" Type="http://schemas.openxmlformats.org/officeDocument/2006/relationships/chart" Target="../charts/chart47.xml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0.xml"/><Relationship Id="rId1" Type="http://schemas.openxmlformats.org/officeDocument/2006/relationships/chart" Target="../charts/chart49.xml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2.xml"/><Relationship Id="rId1" Type="http://schemas.openxmlformats.org/officeDocument/2006/relationships/chart" Target="../charts/chart51.xml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4.xml"/><Relationship Id="rId1" Type="http://schemas.openxmlformats.org/officeDocument/2006/relationships/chart" Target="../charts/chart53.xml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6.xml"/><Relationship Id="rId1" Type="http://schemas.openxmlformats.org/officeDocument/2006/relationships/chart" Target="../charts/chart55.xml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8.xml"/><Relationship Id="rId1" Type="http://schemas.openxmlformats.org/officeDocument/2006/relationships/chart" Target="../charts/chart57.xml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0.xml"/><Relationship Id="rId1" Type="http://schemas.openxmlformats.org/officeDocument/2006/relationships/chart" Target="../charts/chart59.xml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2.xml"/><Relationship Id="rId1" Type="http://schemas.openxmlformats.org/officeDocument/2006/relationships/chart" Target="../charts/chart61.xml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4.xml"/><Relationship Id="rId1" Type="http://schemas.openxmlformats.org/officeDocument/2006/relationships/chart" Target="../charts/chart63.xml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6.xml"/><Relationship Id="rId1" Type="http://schemas.openxmlformats.org/officeDocument/2006/relationships/chart" Target="../charts/chart65.xml"/></Relationships>
</file>

<file path=xl/drawings/_rels/drawing3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8.xml"/><Relationship Id="rId1" Type="http://schemas.openxmlformats.org/officeDocument/2006/relationships/chart" Target="../charts/chart67.xml"/></Relationships>
</file>

<file path=xl/drawings/_rels/drawing3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0.xml"/><Relationship Id="rId1" Type="http://schemas.openxmlformats.org/officeDocument/2006/relationships/chart" Target="../charts/chart69.xml"/></Relationships>
</file>

<file path=xl/drawings/_rels/drawing3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2.xml"/><Relationship Id="rId1" Type="http://schemas.openxmlformats.org/officeDocument/2006/relationships/chart" Target="../charts/chart71.xml"/></Relationships>
</file>

<file path=xl/drawings/_rels/drawing3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4.xml"/><Relationship Id="rId1" Type="http://schemas.openxmlformats.org/officeDocument/2006/relationships/chart" Target="../charts/chart73.xml"/></Relationships>
</file>

<file path=xl/drawings/_rels/drawing3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6.xml"/><Relationship Id="rId1" Type="http://schemas.openxmlformats.org/officeDocument/2006/relationships/chart" Target="../charts/chart75.xml"/></Relationships>
</file>

<file path=xl/drawings/_rels/drawing4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8.xml"/><Relationship Id="rId1" Type="http://schemas.openxmlformats.org/officeDocument/2006/relationships/chart" Target="../charts/chart77.xml"/></Relationships>
</file>

<file path=xl/drawings/_rels/drawing4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0.xml"/><Relationship Id="rId1" Type="http://schemas.openxmlformats.org/officeDocument/2006/relationships/chart" Target="../charts/chart79.xml"/></Relationships>
</file>

<file path=xl/drawings/_rels/drawing4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2.xml"/><Relationship Id="rId1" Type="http://schemas.openxmlformats.org/officeDocument/2006/relationships/chart" Target="../charts/chart81.xml"/></Relationships>
</file>

<file path=xl/drawings/_rels/drawing4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4.xml"/><Relationship Id="rId1" Type="http://schemas.openxmlformats.org/officeDocument/2006/relationships/chart" Target="../charts/chart83.xml"/></Relationships>
</file>

<file path=xl/drawings/_rels/drawing4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6.xml"/><Relationship Id="rId1" Type="http://schemas.openxmlformats.org/officeDocument/2006/relationships/chart" Target="../charts/chart85.xml"/></Relationships>
</file>

<file path=xl/drawings/_rels/drawing4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8.xml"/><Relationship Id="rId1" Type="http://schemas.openxmlformats.org/officeDocument/2006/relationships/chart" Target="../charts/chart87.xml"/></Relationships>
</file>

<file path=xl/drawings/_rels/drawing4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0.xml"/><Relationship Id="rId1" Type="http://schemas.openxmlformats.org/officeDocument/2006/relationships/chart" Target="../charts/chart89.xml"/></Relationships>
</file>

<file path=xl/drawings/_rels/drawing4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2.xml"/><Relationship Id="rId1" Type="http://schemas.openxmlformats.org/officeDocument/2006/relationships/chart" Target="../charts/chart91.xml"/></Relationships>
</file>

<file path=xl/drawings/_rels/drawing4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4.xml"/><Relationship Id="rId1" Type="http://schemas.openxmlformats.org/officeDocument/2006/relationships/chart" Target="../charts/chart93.xml"/></Relationships>
</file>

<file path=xl/drawings/_rels/drawing4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6.xml"/><Relationship Id="rId1" Type="http://schemas.openxmlformats.org/officeDocument/2006/relationships/chart" Target="../charts/chart95.xml"/></Relationships>
</file>

<file path=xl/drawings/_rels/drawing5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8.xml"/><Relationship Id="rId1" Type="http://schemas.openxmlformats.org/officeDocument/2006/relationships/chart" Target="../charts/chart97.xml"/></Relationships>
</file>

<file path=xl/drawings/_rels/drawing5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0.xml"/><Relationship Id="rId1" Type="http://schemas.openxmlformats.org/officeDocument/2006/relationships/chart" Target="../charts/chart99.xml"/></Relationships>
</file>

<file path=xl/drawings/_rels/drawing5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2.xml"/><Relationship Id="rId1" Type="http://schemas.openxmlformats.org/officeDocument/2006/relationships/chart" Target="../charts/chart101.xml"/></Relationships>
</file>

<file path=xl/drawings/_rels/drawing5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4.xml"/><Relationship Id="rId1" Type="http://schemas.openxmlformats.org/officeDocument/2006/relationships/chart" Target="../charts/chart103.xml"/></Relationships>
</file>

<file path=xl/drawings/_rels/drawing5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6.xml"/><Relationship Id="rId1" Type="http://schemas.openxmlformats.org/officeDocument/2006/relationships/chart" Target="../charts/chart105.xml"/></Relationships>
</file>

<file path=xl/drawings/_rels/drawing5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8.xml"/><Relationship Id="rId1" Type="http://schemas.openxmlformats.org/officeDocument/2006/relationships/chart" Target="../charts/chart107.xml"/></Relationships>
</file>

<file path=xl/drawings/_rels/drawing5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0.xml"/><Relationship Id="rId1" Type="http://schemas.openxmlformats.org/officeDocument/2006/relationships/chart" Target="../charts/chart10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63500</xdr:colOff>
      <xdr:row>2</xdr:row>
      <xdr:rowOff>76200</xdr:rowOff>
    </xdr:from>
    <xdr:to>
      <xdr:col>17</xdr:col>
      <xdr:colOff>139700</xdr:colOff>
      <xdr:row>4</xdr:row>
      <xdr:rowOff>139700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27DCB3F-4960-DDCD-C4C8-93CECD8B14C6}"/>
            </a:ext>
          </a:extLst>
        </xdr:cNvPr>
        <xdr:cNvSpPr txBox="1"/>
      </xdr:nvSpPr>
      <xdr:spPr>
        <a:xfrm>
          <a:off x="14490700" y="482600"/>
          <a:ext cx="3378200" cy="469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Balance</a:t>
          </a:r>
          <a:r>
            <a:rPr lang="en-US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Cobranza - : 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Promotora atrasada en pagos</a:t>
          </a:r>
        </a:p>
        <a:p>
          <a:r>
            <a:rPr lang="en-US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Balance de Cobranza + : 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Promotora adelantada en pagos</a:t>
          </a:r>
          <a:endParaRPr lang="en-US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76200</xdr:colOff>
      <xdr:row>5</xdr:row>
      <xdr:rowOff>0</xdr:rowOff>
    </xdr:from>
    <xdr:to>
      <xdr:col>17</xdr:col>
      <xdr:colOff>152400</xdr:colOff>
      <xdr:row>7</xdr:row>
      <xdr:rowOff>63500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3421D09-45C7-414F-91CD-C7ED7EAA908D}"/>
            </a:ext>
          </a:extLst>
        </xdr:cNvPr>
        <xdr:cNvSpPr txBox="1"/>
      </xdr:nvSpPr>
      <xdr:spPr>
        <a:xfrm>
          <a:off x="14503400" y="1016000"/>
          <a:ext cx="3378200" cy="469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%Endeudamiento +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Promotora va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atrasada en pagos</a:t>
          </a:r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%Endeudamiento - :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Promotora va adelantada en pagos</a:t>
          </a:r>
          <a:r>
            <a:rPr lang="en-US"/>
            <a:t> 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69850</xdr:colOff>
      <xdr:row>9</xdr:row>
      <xdr:rowOff>38100</xdr:rowOff>
    </xdr:from>
    <xdr:to>
      <xdr:col>15</xdr:col>
      <xdr:colOff>762000</xdr:colOff>
      <xdr:row>26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F13FF9-0DB3-5AAD-6596-701114C71D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69850</xdr:colOff>
      <xdr:row>27</xdr:row>
      <xdr:rowOff>63500</xdr:rowOff>
    </xdr:from>
    <xdr:to>
      <xdr:col>15</xdr:col>
      <xdr:colOff>774700</xdr:colOff>
      <xdr:row>43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5075B04-B9CB-A08B-5F0B-37B0F9169A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44450</xdr:colOff>
      <xdr:row>9</xdr:row>
      <xdr:rowOff>38100</xdr:rowOff>
    </xdr:from>
    <xdr:to>
      <xdr:col>15</xdr:col>
      <xdr:colOff>800100</xdr:colOff>
      <xdr:row>26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A5C628-682D-FBEB-2BE3-3A5228382B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50800</xdr:colOff>
      <xdr:row>27</xdr:row>
      <xdr:rowOff>63500</xdr:rowOff>
    </xdr:from>
    <xdr:to>
      <xdr:col>15</xdr:col>
      <xdr:colOff>812800</xdr:colOff>
      <xdr:row>44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2A6B4E8-4DC1-6D41-8E7B-B07F729D09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49388</xdr:colOff>
      <xdr:row>9</xdr:row>
      <xdr:rowOff>25400</xdr:rowOff>
    </xdr:from>
    <xdr:to>
      <xdr:col>15</xdr:col>
      <xdr:colOff>804333</xdr:colOff>
      <xdr:row>26</xdr:row>
      <xdr:rowOff>169334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88666F-DD6B-BD76-7A48-422D4E1DF0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84666</xdr:colOff>
      <xdr:row>27</xdr:row>
      <xdr:rowOff>70556</xdr:rowOff>
    </xdr:from>
    <xdr:to>
      <xdr:col>15</xdr:col>
      <xdr:colOff>566560</xdr:colOff>
      <xdr:row>44</xdr:row>
      <xdr:rowOff>39511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930F6E9-953C-304E-9516-115971DA77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69850</xdr:colOff>
      <xdr:row>9</xdr:row>
      <xdr:rowOff>12700</xdr:rowOff>
    </xdr:from>
    <xdr:to>
      <xdr:col>15</xdr:col>
      <xdr:colOff>762000</xdr:colOff>
      <xdr:row>26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A31153-C80E-EB56-798D-BDC4C01D3F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76200</xdr:colOff>
      <xdr:row>27</xdr:row>
      <xdr:rowOff>63500</xdr:rowOff>
    </xdr:from>
    <xdr:to>
      <xdr:col>15</xdr:col>
      <xdr:colOff>704850</xdr:colOff>
      <xdr:row>43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8C0EE5-E677-624E-8F96-B3FAA8E5FE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69850</xdr:colOff>
      <xdr:row>9</xdr:row>
      <xdr:rowOff>38100</xdr:rowOff>
    </xdr:from>
    <xdr:to>
      <xdr:col>15</xdr:col>
      <xdr:colOff>774700</xdr:colOff>
      <xdr:row>26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89CE1F-BC42-5998-B4E0-22969DE92B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88900</xdr:colOff>
      <xdr:row>27</xdr:row>
      <xdr:rowOff>50800</xdr:rowOff>
    </xdr:from>
    <xdr:to>
      <xdr:col>15</xdr:col>
      <xdr:colOff>793750</xdr:colOff>
      <xdr:row>43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F20CEEE-F412-6947-9AFF-C81C83B344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44450</xdr:colOff>
      <xdr:row>9</xdr:row>
      <xdr:rowOff>38100</xdr:rowOff>
    </xdr:from>
    <xdr:to>
      <xdr:col>15</xdr:col>
      <xdr:colOff>762000</xdr:colOff>
      <xdr:row>26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35BDEF-053D-D9BB-5D22-FA089B7C27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76200</xdr:colOff>
      <xdr:row>27</xdr:row>
      <xdr:rowOff>76200</xdr:rowOff>
    </xdr:from>
    <xdr:to>
      <xdr:col>15</xdr:col>
      <xdr:colOff>781050</xdr:colOff>
      <xdr:row>43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7DE3417-F628-2D49-814E-29EA4A74C2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44450</xdr:colOff>
      <xdr:row>9</xdr:row>
      <xdr:rowOff>38100</xdr:rowOff>
    </xdr:from>
    <xdr:to>
      <xdr:col>15</xdr:col>
      <xdr:colOff>800100</xdr:colOff>
      <xdr:row>26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4087BD-7FC5-D0FD-9E6A-8A13D489A1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88900</xdr:colOff>
      <xdr:row>27</xdr:row>
      <xdr:rowOff>76200</xdr:rowOff>
    </xdr:from>
    <xdr:to>
      <xdr:col>15</xdr:col>
      <xdr:colOff>793750</xdr:colOff>
      <xdr:row>43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AE21ABD-CEBE-2440-AB16-D5BDC36339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44450</xdr:colOff>
      <xdr:row>9</xdr:row>
      <xdr:rowOff>25400</xdr:rowOff>
    </xdr:from>
    <xdr:to>
      <xdr:col>15</xdr:col>
      <xdr:colOff>774700</xdr:colOff>
      <xdr:row>26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55EE71-43D6-FA68-94D9-351D7FE7C7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76200</xdr:colOff>
      <xdr:row>27</xdr:row>
      <xdr:rowOff>50800</xdr:rowOff>
    </xdr:from>
    <xdr:to>
      <xdr:col>15</xdr:col>
      <xdr:colOff>730250</xdr:colOff>
      <xdr:row>43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E8E122C-95A0-A647-AF95-0C68A87F7F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44450</xdr:colOff>
      <xdr:row>9</xdr:row>
      <xdr:rowOff>25400</xdr:rowOff>
    </xdr:from>
    <xdr:to>
      <xdr:col>15</xdr:col>
      <xdr:colOff>787400</xdr:colOff>
      <xdr:row>26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486F31-7956-6CE5-0ACD-6F0B068F1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63500</xdr:colOff>
      <xdr:row>27</xdr:row>
      <xdr:rowOff>63500</xdr:rowOff>
    </xdr:from>
    <xdr:to>
      <xdr:col>15</xdr:col>
      <xdr:colOff>692150</xdr:colOff>
      <xdr:row>43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37E8EB9-2F52-E440-84AB-C21E56996C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44450</xdr:colOff>
      <xdr:row>9</xdr:row>
      <xdr:rowOff>38100</xdr:rowOff>
    </xdr:from>
    <xdr:to>
      <xdr:col>15</xdr:col>
      <xdr:colOff>800100</xdr:colOff>
      <xdr:row>26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62A688-09E8-0E87-919A-802782B8A3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50800</xdr:colOff>
      <xdr:row>27</xdr:row>
      <xdr:rowOff>38100</xdr:rowOff>
    </xdr:from>
    <xdr:to>
      <xdr:col>15</xdr:col>
      <xdr:colOff>679450</xdr:colOff>
      <xdr:row>43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1F1E814-ED7E-FC44-879C-0531A70BA7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27</xdr:row>
      <xdr:rowOff>50800</xdr:rowOff>
    </xdr:from>
    <xdr:to>
      <xdr:col>15</xdr:col>
      <xdr:colOff>749300</xdr:colOff>
      <xdr:row>43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3458BE-F35E-914C-82B2-205136C689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50800</xdr:colOff>
      <xdr:row>9</xdr:row>
      <xdr:rowOff>50800</xdr:rowOff>
    </xdr:from>
    <xdr:to>
      <xdr:col>15</xdr:col>
      <xdr:colOff>755650</xdr:colOff>
      <xdr:row>26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EF0333-7EBA-2442-9512-9179542625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63500</xdr:colOff>
      <xdr:row>27</xdr:row>
      <xdr:rowOff>76200</xdr:rowOff>
    </xdr:from>
    <xdr:to>
      <xdr:col>15</xdr:col>
      <xdr:colOff>787400</xdr:colOff>
      <xdr:row>43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6F1B6B-7723-7440-8F5F-44E23D7B68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50800</xdr:colOff>
      <xdr:row>9</xdr:row>
      <xdr:rowOff>38100</xdr:rowOff>
    </xdr:from>
    <xdr:to>
      <xdr:col>15</xdr:col>
      <xdr:colOff>768350</xdr:colOff>
      <xdr:row>26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93BAA3C-CC28-2D49-8101-F27BD1627A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27</xdr:row>
      <xdr:rowOff>63500</xdr:rowOff>
    </xdr:from>
    <xdr:to>
      <xdr:col>15</xdr:col>
      <xdr:colOff>774700</xdr:colOff>
      <xdr:row>43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328575-7B0C-C840-A494-789501D9F4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76200</xdr:colOff>
      <xdr:row>8</xdr:row>
      <xdr:rowOff>165100</xdr:rowOff>
    </xdr:from>
    <xdr:to>
      <xdr:col>15</xdr:col>
      <xdr:colOff>793750</xdr:colOff>
      <xdr:row>26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B999C70-3D25-644D-8996-8DB5933B2E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9</xdr:row>
      <xdr:rowOff>25400</xdr:rowOff>
    </xdr:from>
    <xdr:to>
      <xdr:col>15</xdr:col>
      <xdr:colOff>768350</xdr:colOff>
      <xdr:row>26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11D567-8AE1-A84D-8595-4A6681B1AD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76200</xdr:colOff>
      <xdr:row>27</xdr:row>
      <xdr:rowOff>63500</xdr:rowOff>
    </xdr:from>
    <xdr:to>
      <xdr:col>15</xdr:col>
      <xdr:colOff>800100</xdr:colOff>
      <xdr:row>43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DCAA83-9D42-F34D-8586-0953D74F4D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9</xdr:row>
      <xdr:rowOff>38100</xdr:rowOff>
    </xdr:from>
    <xdr:to>
      <xdr:col>15</xdr:col>
      <xdr:colOff>793750</xdr:colOff>
      <xdr:row>26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045F44-C4C9-BE4E-874E-48EFEC06FD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50800</xdr:colOff>
      <xdr:row>27</xdr:row>
      <xdr:rowOff>50800</xdr:rowOff>
    </xdr:from>
    <xdr:to>
      <xdr:col>15</xdr:col>
      <xdr:colOff>800100</xdr:colOff>
      <xdr:row>43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9062E4-327B-4C4A-B1AD-FAC539628F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9</xdr:row>
      <xdr:rowOff>38100</xdr:rowOff>
    </xdr:from>
    <xdr:to>
      <xdr:col>15</xdr:col>
      <xdr:colOff>793750</xdr:colOff>
      <xdr:row>26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BACFD9-1DA2-2E4F-B514-B6FE6A490B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63500</xdr:colOff>
      <xdr:row>27</xdr:row>
      <xdr:rowOff>76200</xdr:rowOff>
    </xdr:from>
    <xdr:to>
      <xdr:col>15</xdr:col>
      <xdr:colOff>812800</xdr:colOff>
      <xdr:row>43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7FE87B-4810-E149-8E79-02003AC403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9</xdr:row>
      <xdr:rowOff>38100</xdr:rowOff>
    </xdr:from>
    <xdr:to>
      <xdr:col>15</xdr:col>
      <xdr:colOff>768350</xdr:colOff>
      <xdr:row>26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948E82-4A78-574D-A3CC-18659C9ED7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63500</xdr:colOff>
      <xdr:row>27</xdr:row>
      <xdr:rowOff>88900</xdr:rowOff>
    </xdr:from>
    <xdr:to>
      <xdr:col>15</xdr:col>
      <xdr:colOff>787400</xdr:colOff>
      <xdr:row>43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D89B22-5AF7-0746-A786-597FB871EE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9</xdr:row>
      <xdr:rowOff>50800</xdr:rowOff>
    </xdr:from>
    <xdr:to>
      <xdr:col>15</xdr:col>
      <xdr:colOff>768350</xdr:colOff>
      <xdr:row>26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379F8C-258C-0B45-AFC1-89D2447200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76200</xdr:colOff>
      <xdr:row>27</xdr:row>
      <xdr:rowOff>63500</xdr:rowOff>
    </xdr:from>
    <xdr:to>
      <xdr:col>15</xdr:col>
      <xdr:colOff>800100</xdr:colOff>
      <xdr:row>43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AB6AEE-C315-2549-80CC-5A5DA638E3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9</xdr:row>
      <xdr:rowOff>38100</xdr:rowOff>
    </xdr:from>
    <xdr:to>
      <xdr:col>15</xdr:col>
      <xdr:colOff>654050</xdr:colOff>
      <xdr:row>26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CCF10C-106C-9F4B-BA62-408D3F2F3B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63500</xdr:colOff>
      <xdr:row>27</xdr:row>
      <xdr:rowOff>63500</xdr:rowOff>
    </xdr:from>
    <xdr:to>
      <xdr:col>15</xdr:col>
      <xdr:colOff>673100</xdr:colOff>
      <xdr:row>43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103588-590C-0444-96CA-6A253A46DA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63500</xdr:colOff>
      <xdr:row>9</xdr:row>
      <xdr:rowOff>50800</xdr:rowOff>
    </xdr:from>
    <xdr:to>
      <xdr:col>15</xdr:col>
      <xdr:colOff>781050</xdr:colOff>
      <xdr:row>26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C27227-F729-974F-AD74-48E14399E3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76200</xdr:colOff>
      <xdr:row>27</xdr:row>
      <xdr:rowOff>38100</xdr:rowOff>
    </xdr:from>
    <xdr:to>
      <xdr:col>15</xdr:col>
      <xdr:colOff>800100</xdr:colOff>
      <xdr:row>43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000E29-FDA0-6845-B8AB-2D20E5559D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63500</xdr:colOff>
      <xdr:row>9</xdr:row>
      <xdr:rowOff>25400</xdr:rowOff>
    </xdr:from>
    <xdr:to>
      <xdr:col>15</xdr:col>
      <xdr:colOff>781050</xdr:colOff>
      <xdr:row>26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CFD754-923A-0044-9326-45A6A27949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76200</xdr:colOff>
      <xdr:row>27</xdr:row>
      <xdr:rowOff>25400</xdr:rowOff>
    </xdr:from>
    <xdr:to>
      <xdr:col>15</xdr:col>
      <xdr:colOff>800100</xdr:colOff>
      <xdr:row>43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35017D-64A9-F24D-930B-4EC8C76C3F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63500</xdr:colOff>
      <xdr:row>9</xdr:row>
      <xdr:rowOff>50800</xdr:rowOff>
    </xdr:from>
    <xdr:to>
      <xdr:col>15</xdr:col>
      <xdr:colOff>812895</xdr:colOff>
      <xdr:row>27</xdr:row>
      <xdr:rowOff>77527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51C1F8-1435-5C48-A07A-83D5571F14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63500</xdr:colOff>
      <xdr:row>28</xdr:row>
      <xdr:rowOff>38100</xdr:rowOff>
    </xdr:from>
    <xdr:to>
      <xdr:col>15</xdr:col>
      <xdr:colOff>819245</xdr:colOff>
      <xdr:row>45</xdr:row>
      <xdr:rowOff>21420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F497E3-35CE-144E-A74E-5C007E29DC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63500</xdr:colOff>
      <xdr:row>9</xdr:row>
      <xdr:rowOff>38100</xdr:rowOff>
    </xdr:from>
    <xdr:to>
      <xdr:col>15</xdr:col>
      <xdr:colOff>812895</xdr:colOff>
      <xdr:row>27</xdr:row>
      <xdr:rowOff>64827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DC1CDB-F26D-3142-9769-23A61A3935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50800</xdr:colOff>
      <xdr:row>28</xdr:row>
      <xdr:rowOff>63500</xdr:rowOff>
    </xdr:from>
    <xdr:to>
      <xdr:col>15</xdr:col>
      <xdr:colOff>806545</xdr:colOff>
      <xdr:row>45</xdr:row>
      <xdr:rowOff>46820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215F32-DD54-D645-B8A3-E93D1F239E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9</xdr:row>
      <xdr:rowOff>38100</xdr:rowOff>
    </xdr:from>
    <xdr:to>
      <xdr:col>16</xdr:col>
      <xdr:colOff>38195</xdr:colOff>
      <xdr:row>27</xdr:row>
      <xdr:rowOff>64827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E2D12A-CF38-6849-8510-08DA51A5F7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76200</xdr:colOff>
      <xdr:row>28</xdr:row>
      <xdr:rowOff>50800</xdr:rowOff>
    </xdr:from>
    <xdr:to>
      <xdr:col>16</xdr:col>
      <xdr:colOff>82645</xdr:colOff>
      <xdr:row>45</xdr:row>
      <xdr:rowOff>34120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69F32F-3BCB-5549-B837-E3B4407D56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63500</xdr:colOff>
      <xdr:row>10</xdr:row>
      <xdr:rowOff>50800</xdr:rowOff>
    </xdr:from>
    <xdr:to>
      <xdr:col>16</xdr:col>
      <xdr:colOff>12795</xdr:colOff>
      <xdr:row>28</xdr:row>
      <xdr:rowOff>77527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A73DB2-C847-964E-AA68-487A94EC29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63500</xdr:colOff>
      <xdr:row>29</xdr:row>
      <xdr:rowOff>25400</xdr:rowOff>
    </xdr:from>
    <xdr:to>
      <xdr:col>16</xdr:col>
      <xdr:colOff>19145</xdr:colOff>
      <xdr:row>46</xdr:row>
      <xdr:rowOff>8720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BD217B-BD68-8E46-8DE7-FDCEC15D81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63500</xdr:colOff>
      <xdr:row>9</xdr:row>
      <xdr:rowOff>50800</xdr:rowOff>
    </xdr:from>
    <xdr:to>
      <xdr:col>15</xdr:col>
      <xdr:colOff>317595</xdr:colOff>
      <xdr:row>27</xdr:row>
      <xdr:rowOff>77527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57E53B-21F8-F04F-B151-73063213AA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63500</xdr:colOff>
      <xdr:row>28</xdr:row>
      <xdr:rowOff>50800</xdr:rowOff>
    </xdr:from>
    <xdr:to>
      <xdr:col>15</xdr:col>
      <xdr:colOff>323945</xdr:colOff>
      <xdr:row>45</xdr:row>
      <xdr:rowOff>34120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88CCDE-9417-CA44-A4E4-DF7FDCED89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9</xdr:row>
      <xdr:rowOff>63500</xdr:rowOff>
    </xdr:from>
    <xdr:to>
      <xdr:col>15</xdr:col>
      <xdr:colOff>381095</xdr:colOff>
      <xdr:row>27</xdr:row>
      <xdr:rowOff>90227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4B7A1B-540C-7543-BFF2-7BB8A86CE5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63500</xdr:colOff>
      <xdr:row>28</xdr:row>
      <xdr:rowOff>63500</xdr:rowOff>
    </xdr:from>
    <xdr:to>
      <xdr:col>15</xdr:col>
      <xdr:colOff>412845</xdr:colOff>
      <xdr:row>45</xdr:row>
      <xdr:rowOff>46820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5732F2-E89D-2A45-B279-01898DA1D4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63500</xdr:colOff>
      <xdr:row>9</xdr:row>
      <xdr:rowOff>63500</xdr:rowOff>
    </xdr:from>
    <xdr:to>
      <xdr:col>15</xdr:col>
      <xdr:colOff>565150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86B6C3-532F-4148-B7E6-E0FB446663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50800</xdr:colOff>
      <xdr:row>28</xdr:row>
      <xdr:rowOff>63500</xdr:rowOff>
    </xdr:from>
    <xdr:to>
      <xdr:col>15</xdr:col>
      <xdr:colOff>590645</xdr:colOff>
      <xdr:row>45</xdr:row>
      <xdr:rowOff>46820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C722FA-7A0B-554F-8789-AE35760FC5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9</xdr:row>
      <xdr:rowOff>25400</xdr:rowOff>
    </xdr:from>
    <xdr:to>
      <xdr:col>15</xdr:col>
      <xdr:colOff>6350</xdr:colOff>
      <xdr:row>26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EBEB25-FCDA-C940-B549-F4AE6EA2EE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76200</xdr:colOff>
      <xdr:row>27</xdr:row>
      <xdr:rowOff>76200</xdr:rowOff>
    </xdr:from>
    <xdr:to>
      <xdr:col>15</xdr:col>
      <xdr:colOff>69945</xdr:colOff>
      <xdr:row>44</xdr:row>
      <xdr:rowOff>59520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0504E5-5775-B548-BC73-8790E1BDF3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9</xdr:row>
      <xdr:rowOff>38100</xdr:rowOff>
    </xdr:from>
    <xdr:to>
      <xdr:col>15</xdr:col>
      <xdr:colOff>603250</xdr:colOff>
      <xdr:row>26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6BAE93-DCC1-BC46-9063-E204C4A7F0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63500</xdr:colOff>
      <xdr:row>27</xdr:row>
      <xdr:rowOff>25400</xdr:rowOff>
    </xdr:from>
    <xdr:to>
      <xdr:col>15</xdr:col>
      <xdr:colOff>654145</xdr:colOff>
      <xdr:row>44</xdr:row>
      <xdr:rowOff>8720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573EAC-6DF4-9549-9AAA-0D41F833E9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9</xdr:row>
      <xdr:rowOff>25400</xdr:rowOff>
    </xdr:from>
    <xdr:to>
      <xdr:col>15</xdr:col>
      <xdr:colOff>793750</xdr:colOff>
      <xdr:row>26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D2AE86-C4E9-3B4B-88DF-2957D036B6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63500</xdr:colOff>
      <xdr:row>27</xdr:row>
      <xdr:rowOff>63500</xdr:rowOff>
    </xdr:from>
    <xdr:to>
      <xdr:col>16</xdr:col>
      <xdr:colOff>31845</xdr:colOff>
      <xdr:row>44</xdr:row>
      <xdr:rowOff>46820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866068-4E02-1F4D-B2C1-EACD3B359C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9</xdr:row>
      <xdr:rowOff>38100</xdr:rowOff>
    </xdr:from>
    <xdr:to>
      <xdr:col>16</xdr:col>
      <xdr:colOff>6350</xdr:colOff>
      <xdr:row>26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F2B13A-2A71-144D-9738-555DAE42C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50800</xdr:colOff>
      <xdr:row>27</xdr:row>
      <xdr:rowOff>50800</xdr:rowOff>
    </xdr:from>
    <xdr:to>
      <xdr:col>16</xdr:col>
      <xdr:colOff>44545</xdr:colOff>
      <xdr:row>44</xdr:row>
      <xdr:rowOff>34120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9D6BD1-B6F4-DB46-BC08-857F993166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9</xdr:row>
      <xdr:rowOff>25400</xdr:rowOff>
    </xdr:from>
    <xdr:to>
      <xdr:col>16</xdr:col>
      <xdr:colOff>6350</xdr:colOff>
      <xdr:row>26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C69885-2E06-6B42-A9A2-8A3D87BEA9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50800</xdr:colOff>
      <xdr:row>27</xdr:row>
      <xdr:rowOff>50800</xdr:rowOff>
    </xdr:from>
    <xdr:to>
      <xdr:col>16</xdr:col>
      <xdr:colOff>57245</xdr:colOff>
      <xdr:row>44</xdr:row>
      <xdr:rowOff>34120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133815-9CF9-2944-94C6-F9C70995C4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63500</xdr:colOff>
      <xdr:row>8</xdr:row>
      <xdr:rowOff>38100</xdr:rowOff>
    </xdr:from>
    <xdr:to>
      <xdr:col>16</xdr:col>
      <xdr:colOff>95250</xdr:colOff>
      <xdr:row>25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00E2DE-C91E-C14C-8F33-5EBE4AA892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50800</xdr:colOff>
      <xdr:row>26</xdr:row>
      <xdr:rowOff>50800</xdr:rowOff>
    </xdr:from>
    <xdr:to>
      <xdr:col>16</xdr:col>
      <xdr:colOff>120745</xdr:colOff>
      <xdr:row>43</xdr:row>
      <xdr:rowOff>34120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E565E7-26B7-DC40-AD15-938C7C4127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63500</xdr:colOff>
      <xdr:row>9</xdr:row>
      <xdr:rowOff>50800</xdr:rowOff>
    </xdr:from>
    <xdr:to>
      <xdr:col>16</xdr:col>
      <xdr:colOff>107950</xdr:colOff>
      <xdr:row>26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B064A4-9702-224D-898C-A2B9BACBBC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76200</xdr:colOff>
      <xdr:row>27</xdr:row>
      <xdr:rowOff>38100</xdr:rowOff>
    </xdr:from>
    <xdr:to>
      <xdr:col>16</xdr:col>
      <xdr:colOff>158845</xdr:colOff>
      <xdr:row>44</xdr:row>
      <xdr:rowOff>21420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5A8B54-CF92-784A-9E39-2457D86801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9</xdr:row>
      <xdr:rowOff>25400</xdr:rowOff>
    </xdr:from>
    <xdr:to>
      <xdr:col>16</xdr:col>
      <xdr:colOff>6350</xdr:colOff>
      <xdr:row>26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443688-0FD8-574B-87F3-F2AFC55850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50800</xdr:colOff>
      <xdr:row>27</xdr:row>
      <xdr:rowOff>50800</xdr:rowOff>
    </xdr:from>
    <xdr:to>
      <xdr:col>16</xdr:col>
      <xdr:colOff>57245</xdr:colOff>
      <xdr:row>44</xdr:row>
      <xdr:rowOff>34120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C4CD75-3D99-4D4A-9AC8-F735B84DCB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63500</xdr:colOff>
      <xdr:row>9</xdr:row>
      <xdr:rowOff>38100</xdr:rowOff>
    </xdr:from>
    <xdr:to>
      <xdr:col>15</xdr:col>
      <xdr:colOff>755650</xdr:colOff>
      <xdr:row>26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8CA4D4-3439-B740-BC40-15E5B92648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76200</xdr:colOff>
      <xdr:row>27</xdr:row>
      <xdr:rowOff>50800</xdr:rowOff>
    </xdr:from>
    <xdr:to>
      <xdr:col>15</xdr:col>
      <xdr:colOff>806545</xdr:colOff>
      <xdr:row>44</xdr:row>
      <xdr:rowOff>34120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221EFE-AD2B-A14E-82E2-C08195BAB4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63500</xdr:colOff>
      <xdr:row>9</xdr:row>
      <xdr:rowOff>38100</xdr:rowOff>
    </xdr:from>
    <xdr:to>
      <xdr:col>15</xdr:col>
      <xdr:colOff>552450</xdr:colOff>
      <xdr:row>26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0D4CD2-9B1E-1C42-A1CA-3A8328EBEE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76200</xdr:colOff>
      <xdr:row>27</xdr:row>
      <xdr:rowOff>50800</xdr:rowOff>
    </xdr:from>
    <xdr:to>
      <xdr:col>15</xdr:col>
      <xdr:colOff>603345</xdr:colOff>
      <xdr:row>44</xdr:row>
      <xdr:rowOff>34120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FA0A7C-AFDD-7B46-A58E-A78C6F4BFE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9</xdr:row>
      <xdr:rowOff>25400</xdr:rowOff>
    </xdr:from>
    <xdr:to>
      <xdr:col>15</xdr:col>
      <xdr:colOff>679450</xdr:colOff>
      <xdr:row>26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902464-36CA-5247-A912-5F04C4C700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50800</xdr:colOff>
      <xdr:row>27</xdr:row>
      <xdr:rowOff>63500</xdr:rowOff>
    </xdr:from>
    <xdr:to>
      <xdr:col>15</xdr:col>
      <xdr:colOff>730345</xdr:colOff>
      <xdr:row>44</xdr:row>
      <xdr:rowOff>46820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403EF8-1E08-CB4B-9AE3-28E3F07F06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63500</xdr:colOff>
      <xdr:row>9</xdr:row>
      <xdr:rowOff>38100</xdr:rowOff>
    </xdr:from>
    <xdr:to>
      <xdr:col>15</xdr:col>
      <xdr:colOff>679450</xdr:colOff>
      <xdr:row>26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223936-7165-7E4E-8FAA-639D201E16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63500</xdr:colOff>
      <xdr:row>27</xdr:row>
      <xdr:rowOff>38100</xdr:rowOff>
    </xdr:from>
    <xdr:to>
      <xdr:col>15</xdr:col>
      <xdr:colOff>717645</xdr:colOff>
      <xdr:row>44</xdr:row>
      <xdr:rowOff>21420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DF593C-B81D-044D-AF4E-CF86D9FFF9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9</xdr:row>
      <xdr:rowOff>38100</xdr:rowOff>
    </xdr:from>
    <xdr:to>
      <xdr:col>15</xdr:col>
      <xdr:colOff>590550</xdr:colOff>
      <xdr:row>26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B7CF16-251F-AD45-BA9E-46C45A7196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63500</xdr:colOff>
      <xdr:row>27</xdr:row>
      <xdr:rowOff>12700</xdr:rowOff>
    </xdr:from>
    <xdr:to>
      <xdr:col>15</xdr:col>
      <xdr:colOff>641445</xdr:colOff>
      <xdr:row>43</xdr:row>
      <xdr:rowOff>199220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2F695B-1988-8449-90BB-E35A8D9C06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9</xdr:row>
      <xdr:rowOff>38100</xdr:rowOff>
    </xdr:from>
    <xdr:to>
      <xdr:col>15</xdr:col>
      <xdr:colOff>361950</xdr:colOff>
      <xdr:row>26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7B793D-B1F0-D745-AC1D-33BE130275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63500</xdr:colOff>
      <xdr:row>27</xdr:row>
      <xdr:rowOff>38100</xdr:rowOff>
    </xdr:from>
    <xdr:to>
      <xdr:col>15</xdr:col>
      <xdr:colOff>425545</xdr:colOff>
      <xdr:row>44</xdr:row>
      <xdr:rowOff>21420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9D4109-426D-FB4A-9A4D-B088F12DF0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9</xdr:row>
      <xdr:rowOff>25400</xdr:rowOff>
    </xdr:from>
    <xdr:to>
      <xdr:col>16</xdr:col>
      <xdr:colOff>19050</xdr:colOff>
      <xdr:row>26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C49230-82F9-F24C-B17D-532B461372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63500</xdr:colOff>
      <xdr:row>27</xdr:row>
      <xdr:rowOff>25400</xdr:rowOff>
    </xdr:from>
    <xdr:to>
      <xdr:col>16</xdr:col>
      <xdr:colOff>82645</xdr:colOff>
      <xdr:row>44</xdr:row>
      <xdr:rowOff>8720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B51D38-20E6-E348-AF5D-AAE2D036FD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9</xdr:row>
      <xdr:rowOff>38100</xdr:rowOff>
    </xdr:from>
    <xdr:to>
      <xdr:col>15</xdr:col>
      <xdr:colOff>184150</xdr:colOff>
      <xdr:row>26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5B5256-EEB0-C845-993D-92E7337B7A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76200</xdr:colOff>
      <xdr:row>27</xdr:row>
      <xdr:rowOff>38100</xdr:rowOff>
    </xdr:from>
    <xdr:to>
      <xdr:col>15</xdr:col>
      <xdr:colOff>247745</xdr:colOff>
      <xdr:row>44</xdr:row>
      <xdr:rowOff>21420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40D49B-A735-5648-8264-B24223E774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9</xdr:row>
      <xdr:rowOff>38100</xdr:rowOff>
    </xdr:from>
    <xdr:to>
      <xdr:col>16</xdr:col>
      <xdr:colOff>44450</xdr:colOff>
      <xdr:row>26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9AF086-1B20-8B4D-80AC-D266AE8DEE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76200</xdr:colOff>
      <xdr:row>27</xdr:row>
      <xdr:rowOff>38100</xdr:rowOff>
    </xdr:from>
    <xdr:to>
      <xdr:col>16</xdr:col>
      <xdr:colOff>108045</xdr:colOff>
      <xdr:row>44</xdr:row>
      <xdr:rowOff>21420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FBF792-4C93-014F-9A29-37AA35B304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9</xdr:row>
      <xdr:rowOff>50800</xdr:rowOff>
    </xdr:from>
    <xdr:to>
      <xdr:col>16</xdr:col>
      <xdr:colOff>69850</xdr:colOff>
      <xdr:row>26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A69129-4C59-214B-BD3A-EF8CBF5B51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76200</xdr:colOff>
      <xdr:row>27</xdr:row>
      <xdr:rowOff>50800</xdr:rowOff>
    </xdr:from>
    <xdr:to>
      <xdr:col>16</xdr:col>
      <xdr:colOff>133445</xdr:colOff>
      <xdr:row>44</xdr:row>
      <xdr:rowOff>34120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59B90B-BB35-8443-8955-0BB54E3E74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63500</xdr:colOff>
      <xdr:row>9</xdr:row>
      <xdr:rowOff>38100</xdr:rowOff>
    </xdr:from>
    <xdr:to>
      <xdr:col>16</xdr:col>
      <xdr:colOff>57150</xdr:colOff>
      <xdr:row>26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BC1382-C3DC-9B48-9892-BCF8913A90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88900</xdr:colOff>
      <xdr:row>27</xdr:row>
      <xdr:rowOff>38100</xdr:rowOff>
    </xdr:from>
    <xdr:to>
      <xdr:col>16</xdr:col>
      <xdr:colOff>120745</xdr:colOff>
      <xdr:row>44</xdr:row>
      <xdr:rowOff>21420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D6AE92-B1F8-834C-8B5C-92A37EE9E2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9</xdr:row>
      <xdr:rowOff>50800</xdr:rowOff>
    </xdr:from>
    <xdr:to>
      <xdr:col>15</xdr:col>
      <xdr:colOff>768350</xdr:colOff>
      <xdr:row>26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1D7252-427B-7948-8EF2-63C0682DF0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101600</xdr:colOff>
      <xdr:row>27</xdr:row>
      <xdr:rowOff>50800</xdr:rowOff>
    </xdr:from>
    <xdr:to>
      <xdr:col>16</xdr:col>
      <xdr:colOff>6445</xdr:colOff>
      <xdr:row>44</xdr:row>
      <xdr:rowOff>34120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186C5D-2639-7F48-B020-C347434C5E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9</xdr:row>
      <xdr:rowOff>38100</xdr:rowOff>
    </xdr:from>
    <xdr:to>
      <xdr:col>15</xdr:col>
      <xdr:colOff>692150</xdr:colOff>
      <xdr:row>26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0F595E-6EB4-2949-BE30-E098214AA7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63500</xdr:colOff>
      <xdr:row>27</xdr:row>
      <xdr:rowOff>38100</xdr:rowOff>
    </xdr:from>
    <xdr:to>
      <xdr:col>15</xdr:col>
      <xdr:colOff>755745</xdr:colOff>
      <xdr:row>44</xdr:row>
      <xdr:rowOff>21420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56775E-CBDA-824C-B53B-98EA65CC8E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63500</xdr:colOff>
      <xdr:row>9</xdr:row>
      <xdr:rowOff>50800</xdr:rowOff>
    </xdr:from>
    <xdr:to>
      <xdr:col>15</xdr:col>
      <xdr:colOff>641350</xdr:colOff>
      <xdr:row>26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0E5176-63DE-AF40-84F2-591683DE2A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88900</xdr:colOff>
      <xdr:row>27</xdr:row>
      <xdr:rowOff>50800</xdr:rowOff>
    </xdr:from>
    <xdr:to>
      <xdr:col>15</xdr:col>
      <xdr:colOff>704945</xdr:colOff>
      <xdr:row>44</xdr:row>
      <xdr:rowOff>34120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0E374F-975F-DD46-AF9F-D5D25E5448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9</xdr:row>
      <xdr:rowOff>38100</xdr:rowOff>
    </xdr:from>
    <xdr:to>
      <xdr:col>15</xdr:col>
      <xdr:colOff>603250</xdr:colOff>
      <xdr:row>26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9B06B6-3DA0-5C43-8B78-3895A81A69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76200</xdr:colOff>
      <xdr:row>27</xdr:row>
      <xdr:rowOff>38100</xdr:rowOff>
    </xdr:from>
    <xdr:to>
      <xdr:col>15</xdr:col>
      <xdr:colOff>666845</xdr:colOff>
      <xdr:row>44</xdr:row>
      <xdr:rowOff>21420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44630D-FA78-5541-A864-F011C29132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9</xdr:row>
      <xdr:rowOff>50800</xdr:rowOff>
    </xdr:from>
    <xdr:to>
      <xdr:col>16</xdr:col>
      <xdr:colOff>44450</xdr:colOff>
      <xdr:row>26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A5EFB8-5817-0843-856D-E6E4A404FF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76200</xdr:colOff>
      <xdr:row>27</xdr:row>
      <xdr:rowOff>50800</xdr:rowOff>
    </xdr:from>
    <xdr:to>
      <xdr:col>16</xdr:col>
      <xdr:colOff>108045</xdr:colOff>
      <xdr:row>44</xdr:row>
      <xdr:rowOff>34120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D6D0818-AC0B-8E41-99A2-4F79CE0212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9</xdr:row>
      <xdr:rowOff>50800</xdr:rowOff>
    </xdr:from>
    <xdr:to>
      <xdr:col>15</xdr:col>
      <xdr:colOff>615950</xdr:colOff>
      <xdr:row>26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1E20D2-7B08-A44C-A2CB-6A689386EF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101600</xdr:colOff>
      <xdr:row>27</xdr:row>
      <xdr:rowOff>50800</xdr:rowOff>
    </xdr:from>
    <xdr:to>
      <xdr:col>15</xdr:col>
      <xdr:colOff>679545</xdr:colOff>
      <xdr:row>44</xdr:row>
      <xdr:rowOff>34120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58B3A5-8C12-F74F-8952-C239E9B1F6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9</xdr:row>
      <xdr:rowOff>50800</xdr:rowOff>
    </xdr:from>
    <xdr:to>
      <xdr:col>15</xdr:col>
      <xdr:colOff>641350</xdr:colOff>
      <xdr:row>26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D2C929-9529-E94B-89F8-D7B8E6DF5C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76200</xdr:colOff>
      <xdr:row>27</xdr:row>
      <xdr:rowOff>50800</xdr:rowOff>
    </xdr:from>
    <xdr:to>
      <xdr:col>15</xdr:col>
      <xdr:colOff>704945</xdr:colOff>
      <xdr:row>44</xdr:row>
      <xdr:rowOff>34120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B3A330-B154-F242-B1D7-9F5D30FAFA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63500</xdr:colOff>
      <xdr:row>9</xdr:row>
      <xdr:rowOff>38100</xdr:rowOff>
    </xdr:from>
    <xdr:to>
      <xdr:col>15</xdr:col>
      <xdr:colOff>692150</xdr:colOff>
      <xdr:row>26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FF2352-ECE8-2A46-B04B-93C9720882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88900</xdr:colOff>
      <xdr:row>27</xdr:row>
      <xdr:rowOff>38100</xdr:rowOff>
    </xdr:from>
    <xdr:to>
      <xdr:col>15</xdr:col>
      <xdr:colOff>755745</xdr:colOff>
      <xdr:row>44</xdr:row>
      <xdr:rowOff>21420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B7EFBB-F022-A446-80F9-164D01298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BFF42B-6E1D-7843-BC8F-2B123C2416FD}" name="Table1" displayName="Table1" ref="A3:G31" totalsRowShown="0">
  <autoFilter ref="A3:G31" xr:uid="{00BFF42B-6E1D-7843-BC8F-2B123C2416FD}"/>
  <tableColumns count="7">
    <tableColumn id="1" xr3:uid="{AE898E13-8FB7-2147-A611-0F2F19D1567A}" name="Semana"/>
    <tableColumn id="2" xr3:uid="{9E71D58B-51A8-9744-858A-401F65546D11}" name="Fecha" dataDxfId="525"/>
    <tableColumn id="3" xr3:uid="{DD2254A5-E480-AE49-A093-441B9C4BAD22}" name="Meta" dataDxfId="524" dataCellStyle="Currency"/>
    <tableColumn id="4" xr3:uid="{F08A49C0-185F-784B-A233-0F75EC18C889}" name="Cobranza" dataDxfId="523" dataCellStyle="Currency"/>
    <tableColumn id="5" xr3:uid="{6C414FA5-1198-524D-986F-BF8CFC764D87}" name="Cumplimiento de Meta %" dataDxfId="522" dataCellStyle="Percent"/>
    <tableColumn id="7" xr3:uid="{114D2F20-DDF3-B949-ACD5-0BBF3F7543BC}" name="% de Deuda" dataDxfId="521" dataCellStyle="Percent">
      <calculatedColumnFormula>IF(SUM($C$4:C4)-SUM($D$4:D4)&gt;0, (SUM($C$4:C4)-SUM($D$4:D4))/SUM($C$4:C4), 0)</calculatedColumnFormula>
    </tableColumn>
    <tableColumn id="6" xr3:uid="{E5770DF0-4716-464B-910D-F357CA1CECC3}" name="Didiferencia Absoluta" dataDxfId="5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B5C2ED-1D28-AE4F-852A-DCFA24B52921}" name="Table2" displayName="Table2" ref="A3:G25" totalsRowShown="0">
  <autoFilter ref="A3:G25" xr:uid="{8CB5C2ED-1D28-AE4F-852A-DCFA24B52921}"/>
  <tableColumns count="7">
    <tableColumn id="1" xr3:uid="{CD47DFF2-3EF9-9447-B1F3-599CE9B3A847}" name="Semana"/>
    <tableColumn id="2" xr3:uid="{6CE79566-A692-574E-932B-A22AB3B470BF}" name="Fecha" dataDxfId="519"/>
    <tableColumn id="3" xr3:uid="{1B74BCE5-118E-B54D-8933-760028BC2581}" name="Meta" dataDxfId="518" dataCellStyle="Currency"/>
    <tableColumn id="4" xr3:uid="{579B623D-B7B8-1640-A31E-9D7CAA498B95}" name="Cobranza" dataDxfId="517" dataCellStyle="Currency"/>
    <tableColumn id="5" xr3:uid="{CF4A73BF-6862-6B4E-9AFC-98BE276DFA1C}" name="Cumplimiento de Meta %" dataDxfId="516" dataCellStyle="Percent">
      <calculatedColumnFormula>D4/C4</calculatedColumnFormula>
    </tableColumn>
    <tableColumn id="7" xr3:uid="{74D56DF0-CF2D-204C-AE4E-EC808BBBABB7}" name="% de Deuda" dataDxfId="515" dataCellStyle="Percent">
      <calculatedColumnFormula>IF(SUM($C$4:C5)-SUM($D$4:D5)&gt;0, (SUM($C$4:C5)-SUM($D$4:D5))/SUM($C$4:C5), 0)</calculatedColumnFormula>
    </tableColumn>
    <tableColumn id="6" xr3:uid="{50ED1A89-CE5E-8A42-8BD6-C6755DBE7D49}" name="Didiferencia Absoluta" dataDxfId="514">
      <calculatedColumnFormula>D4-C4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DF0126-E748-504B-A11E-089C4F3F4672}" name="Table3" displayName="Table3" ref="A3:F4" totalsRowShown="0">
  <autoFilter ref="A3:F4" xr:uid="{E6DF0126-E748-504B-A11E-089C4F3F4672}"/>
  <tableColumns count="6">
    <tableColumn id="1" xr3:uid="{086EEF7B-4BE8-5647-8606-0FE1442B19BF}" name="Semana"/>
    <tableColumn id="2" xr3:uid="{DE528314-0B55-C348-A0E8-30DC4D477635}" name="Fecha"/>
    <tableColumn id="3" xr3:uid="{A7F68438-4C07-1E4C-96C3-D185302160E7}" name="Meta"/>
    <tableColumn id="4" xr3:uid="{5AC41A41-933E-7348-BD96-02438CA16EBD}" name="Cobranza"/>
    <tableColumn id="5" xr3:uid="{D3027476-16D9-F34E-933C-65C7E36EEA73}" name="Cumplimiento de Meta %"/>
    <tableColumn id="6" xr3:uid="{51D149B6-8D79-5441-9BF5-46BF62B3C467}" name="Didiferencia Absolut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8ED58B-A569-D64A-913A-A2306614C0FE}" name="Table4" displayName="Table4" ref="A3:G42" totalsRowShown="0">
  <autoFilter ref="A3:G42" xr:uid="{A68ED58B-A569-D64A-913A-A2306614C0FE}"/>
  <tableColumns count="7">
    <tableColumn id="1" xr3:uid="{153E0385-49B2-6141-B29F-4108C8087C2D}" name="Semana"/>
    <tableColumn id="2" xr3:uid="{E8A0D917-189D-B148-839B-60ABACAE6003}" name="Fecha" dataDxfId="513"/>
    <tableColumn id="3" xr3:uid="{935B379C-0F55-EA45-A090-9F6AA8668C2B}" name="Meta" dataDxfId="512" dataCellStyle="Currency"/>
    <tableColumn id="4" xr3:uid="{6874CE88-B034-9E49-9D25-771F1069A559}" name="Cobranza" dataDxfId="511" dataCellStyle="Currency"/>
    <tableColumn id="5" xr3:uid="{3B409364-98D8-3D49-91F8-8D17BADF2244}" name="Cumplimiento de Meta %" dataDxfId="510" dataCellStyle="Percent">
      <calculatedColumnFormula>D4/C4</calculatedColumnFormula>
    </tableColumn>
    <tableColumn id="7" xr3:uid="{B2C2E2E0-2E9F-5148-B7E7-96B052ACF16E}" name="% de Deuda" dataDxfId="509" dataCellStyle="Percent">
      <calculatedColumnFormula>IF(SUM($C$4:C4)-SUM($D$4:D4)&gt;0, (SUM($C$4:C4)-SUM($D$4:D4))/SUM($C$4:C4), 0)</calculatedColumnFormula>
    </tableColumn>
    <tableColumn id="6" xr3:uid="{8756AB5B-6BA6-E84D-B080-E448C20040FB}" name="Diferencia Absoluta" dataDxfId="508">
      <calculatedColumnFormula>D4-C4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10E961-A8EA-F041-9C92-A685803D0417}" name="Table5" displayName="Table5" ref="A3:G43" totalsRowShown="0">
  <autoFilter ref="A3:G43" xr:uid="{3010E961-A8EA-F041-9C92-A685803D0417}"/>
  <tableColumns count="7">
    <tableColumn id="1" xr3:uid="{EA254866-08E4-C34A-9100-E5190F5D28A4}" name="Semana"/>
    <tableColumn id="2" xr3:uid="{7CC5058A-D65C-8E49-A78D-2C23247B4B0B}" name="Fecha" dataDxfId="507"/>
    <tableColumn id="3" xr3:uid="{F8C8BC27-8146-1545-B640-7CB53B75FF93}" name="Meta" dataDxfId="506" dataCellStyle="Currency"/>
    <tableColumn id="4" xr3:uid="{DB74130A-B004-EC41-9B77-124DEFAE31E3}" name="Cobranza" dataDxfId="505" dataCellStyle="Currency"/>
    <tableColumn id="5" xr3:uid="{455DD307-D61D-7843-9FBA-5CADB24B3C0C}" name="Cumplimiento de Meta %" dataDxfId="504" dataCellStyle="Percent">
      <calculatedColumnFormula>D4/C4</calculatedColumnFormula>
    </tableColumn>
    <tableColumn id="7" xr3:uid="{340AFB30-4FA7-8441-AEE4-BF23E2AD7741}" name="% de Deuda" dataDxfId="503" dataCellStyle="Percent"/>
    <tableColumn id="6" xr3:uid="{8869CDB0-27B6-B347-B5E3-8E3E18D8589B}" name="Didiferencia Absoluta" dataDxfId="502">
      <calculatedColumnFormula>D4-C4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0E3D7C5-60F1-FE44-BBF3-FF18ACA68D87}" name="Table6" displayName="Table6" ref="A3:G42" totalsRowShown="0">
  <autoFilter ref="A3:G42" xr:uid="{60E3D7C5-60F1-FE44-BBF3-FF18ACA68D87}"/>
  <tableColumns count="7">
    <tableColumn id="1" xr3:uid="{E054F964-BF6B-DE4F-A5D0-EC9B3FB41FDD}" name="Semana"/>
    <tableColumn id="2" xr3:uid="{4796F153-6737-3E49-BE2C-F3531689DAF5}" name="Fecha" dataDxfId="501"/>
    <tableColumn id="3" xr3:uid="{929F1D0A-4EB8-B945-A95E-EB21D3DF1593}" name="Meta" dataDxfId="500" dataCellStyle="Currency"/>
    <tableColumn id="4" xr3:uid="{B1583728-D69E-EC4E-8861-39496B992208}" name="Cobranza" dataDxfId="499" dataCellStyle="Currency"/>
    <tableColumn id="5" xr3:uid="{F42A2A49-1DC4-A64E-8A0B-8603600FF693}" name="Cumplimiento de Meta %" dataDxfId="498" dataCellStyle="Percent">
      <calculatedColumnFormula>D4/C4</calculatedColumnFormula>
    </tableColumn>
    <tableColumn id="7" xr3:uid="{AF4869C1-601F-CB41-8571-C209690A335C}" name="% de Deuda" dataDxfId="497" dataCellStyle="Percent">
      <calculatedColumnFormula>IF(SUM($C$4:C4)-SUM($D$4:D4)&gt;0, (SUM($C$4:C4)-SUM($D$4:D4))/SUM($C$4:C4), 0)</calculatedColumnFormula>
    </tableColumn>
    <tableColumn id="6" xr3:uid="{2FB8394B-F3E1-2142-9AFB-2DA02DB393B8}" name="Didiferencia Absoluta" dataDxfId="496">
      <calculatedColumnFormula>D4-C4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C91AABD-A7C6-EC45-A8EF-A11F6295AB54}" name="Table7" displayName="Table7" ref="A3:G40" totalsRowShown="0">
  <autoFilter ref="A3:G40" xr:uid="{5C91AABD-A7C6-EC45-A8EF-A11F6295AB54}"/>
  <tableColumns count="7">
    <tableColumn id="1" xr3:uid="{42F589AD-1FAE-EB42-832D-2AD52AA65268}" name="Semana"/>
    <tableColumn id="2" xr3:uid="{DECD8F67-86B0-BC46-BFC5-5660173E968E}" name="Fecha" dataDxfId="495"/>
    <tableColumn id="3" xr3:uid="{0DCE8481-F33B-D44E-88F1-5E26EAE76125}" name="Meta" dataDxfId="494" dataCellStyle="Currency"/>
    <tableColumn id="4" xr3:uid="{334C6E18-D344-504B-873E-A4FA9B33A49E}" name="Cobranza" dataDxfId="493" dataCellStyle="Currency"/>
    <tableColumn id="5" xr3:uid="{853A4E4F-9B66-C144-A96E-14F812DA7A1C}" name="Cumplimiento de Meta %" dataDxfId="492" dataCellStyle="Percent">
      <calculatedColumnFormula>D4/C4</calculatedColumnFormula>
    </tableColumn>
    <tableColumn id="7" xr3:uid="{3843C55D-4562-DC40-9769-3C88DC87EB04}" name="% de Deuda" dataDxfId="491" dataCellStyle="Percent">
      <calculatedColumnFormula>IF(SUM($C$4:C4)-SUM($D$4:D4)&gt;0, (SUM($C$4:C4)-SUM($D$4:D4))/SUM($C$4:C4), 0)</calculatedColumnFormula>
    </tableColumn>
    <tableColumn id="6" xr3:uid="{210CC7B7-1E25-C447-A01B-D146DA3D97DF}" name="Didiferencia Absoluta" dataDxfId="490">
      <calculatedColumnFormula>D4-C4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26F010-E84D-104A-88E7-E827472AE921}" name="Table8" displayName="Table8" ref="A3:G40" totalsRowShown="0">
  <autoFilter ref="A3:G40" xr:uid="{5726F010-E84D-104A-88E7-E827472AE921}"/>
  <tableColumns count="7">
    <tableColumn id="1" xr3:uid="{72E811AE-21C1-A141-99B3-787405791AF6}" name="Semana"/>
    <tableColumn id="2" xr3:uid="{1E70CD27-C576-BE4E-A677-A5FFCBCCB2D8}" name="Fecha" dataDxfId="489"/>
    <tableColumn id="3" xr3:uid="{8BF35D94-C4A0-5643-93C3-A4BA8716A499}" name="Meta" dataDxfId="488" dataCellStyle="Currency"/>
    <tableColumn id="4" xr3:uid="{2FE1BF95-5EDC-2241-B5D2-2142DEAC4B2F}" name="Cobranza" dataDxfId="487" dataCellStyle="Currency"/>
    <tableColumn id="5" xr3:uid="{816EF7CF-30D2-2245-B0EB-8269997B163D}" name="Cumplimiento de Meta %" dataDxfId="486" dataCellStyle="Percent">
      <calculatedColumnFormula>D4/C4</calculatedColumnFormula>
    </tableColumn>
    <tableColumn id="7" xr3:uid="{8B20C046-1BA9-604D-8767-31D5DD495DF6}" name="% de Deuda" dataDxfId="485" dataCellStyle="Percent">
      <calculatedColumnFormula>IF(SUM($C$4:C4)-SUM($D$4:D4)&gt;0, (SUM($C$4:C4)-SUM($D$4:D4))/SUM($C$4:C4), 0)</calculatedColumnFormula>
    </tableColumn>
    <tableColumn id="6" xr3:uid="{4FFE6D5C-3F9E-EB4A-8F91-1FB529200A9C}" name="Didiferencia Absoluta" dataDxfId="484">
      <calculatedColumnFormula>D4-C4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41D5112-46AC-6A4C-A84D-0DF3D6225387}" name="Table9" displayName="Table9" ref="A3:G40" totalsRowShown="0">
  <autoFilter ref="A3:G40" xr:uid="{B41D5112-46AC-6A4C-A84D-0DF3D6225387}"/>
  <tableColumns count="7">
    <tableColumn id="1" xr3:uid="{A08AF4A6-A8E8-6140-99A2-B174D2FF3659}" name="Semana"/>
    <tableColumn id="2" xr3:uid="{A65CA906-729D-BB41-9E00-8B8D59A8B99B}" name="Fecha" dataDxfId="483"/>
    <tableColumn id="3" xr3:uid="{5E8BF1F1-68AD-1049-9665-85F4F9D29085}" name="Meta" dataDxfId="482" dataCellStyle="Currency"/>
    <tableColumn id="4" xr3:uid="{21319B95-6E87-BE4E-9F08-64B2EFBF5B11}" name="Cobranza" dataDxfId="481" dataCellStyle="Currency"/>
    <tableColumn id="5" xr3:uid="{3E2C568C-DF4C-294B-881A-1805BE3562F9}" name="Cumplimiento de Meta %" dataDxfId="480" dataCellStyle="Percent">
      <calculatedColumnFormula>D4/C4</calculatedColumnFormula>
    </tableColumn>
    <tableColumn id="7" xr3:uid="{B1791E72-D8DE-B940-AF57-E0B0F70A2236}" name="% de Deuda" dataDxfId="479" dataCellStyle="Percent">
      <calculatedColumnFormula>IF(SUM($C$4:C4)-SUM($D$4:D4)&gt;0, (SUM($C$4:C4)-SUM($D$4:D4))/SUM($C$4:C4), 0)</calculatedColumnFormula>
    </tableColumn>
    <tableColumn id="6" xr3:uid="{20EB4869-D059-3145-B2F6-E67B55F7A632}" name="Didiferencia Absoluta" dataDxfId="478">
      <calculatedColumnFormula>D4-C4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E0636B1-EB71-3F4B-9016-D9CF0D07DFCF}" name="Table10" displayName="Table10" ref="A3:G39" totalsRowShown="0">
  <autoFilter ref="A3:G39" xr:uid="{6E0636B1-EB71-3F4B-9016-D9CF0D07DFCF}"/>
  <tableColumns count="7">
    <tableColumn id="1" xr3:uid="{C8C1A019-639B-8E40-8F3E-1881A596F87A}" name="Semana"/>
    <tableColumn id="2" xr3:uid="{EF12FB14-A44D-E94E-A3CE-75DD53A8EC6F}" name="Fecha" dataDxfId="477"/>
    <tableColumn id="3" xr3:uid="{A3070014-CDAC-694F-8A01-07F051118CDF}" name="Meta" dataDxfId="476" dataCellStyle="Currency"/>
    <tableColumn id="4" xr3:uid="{7ED43D3D-1530-FC47-8E2A-C1E8EE466B8A}" name="Cobranza" dataDxfId="475" dataCellStyle="Currency"/>
    <tableColumn id="5" xr3:uid="{042E7DB9-77F3-A740-BDE5-D4DE6C097687}" name="Cumplimiento de Meta %" dataDxfId="474" dataCellStyle="Percent">
      <calculatedColumnFormula>D4/C4</calculatedColumnFormula>
    </tableColumn>
    <tableColumn id="7" xr3:uid="{44330D76-E8D3-E642-B574-B1820E49288C}" name="% de Deuda" dataDxfId="473" dataCellStyle="Percent">
      <calculatedColumnFormula>IF(SUM($C$4:C4)-SUM($D$4:D4)&gt;0, (SUM($C$4:C4)-SUM($D$4:D4))/SUM($C$4:C4), 0)</calculatedColumnFormula>
    </tableColumn>
    <tableColumn id="6" xr3:uid="{5E9F5DA7-B033-0047-B25F-B9A698E2AC34}" name="Didiferencia Absoluta" dataDxfId="472">
      <calculatedColumnFormula>D4-C4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4D3D92B-027E-0C4E-ADB2-18DE9346D86E}" name="Table11" displayName="Table11" ref="A3:G33" totalsRowShown="0">
  <autoFilter ref="A3:G33" xr:uid="{84D3D92B-027E-0C4E-ADB2-18DE9346D86E}"/>
  <tableColumns count="7">
    <tableColumn id="1" xr3:uid="{DDF089BA-37C9-7040-B1F0-D68DA2B9F983}" name="Semana"/>
    <tableColumn id="2" xr3:uid="{D5A97500-E035-4540-989D-82F7A04D9606}" name="Fecha" dataDxfId="471"/>
    <tableColumn id="3" xr3:uid="{528F4B41-C9E4-094D-A04E-0B72C3B5ABD7}" name="Meta" dataCellStyle="Currency"/>
    <tableColumn id="4" xr3:uid="{EE263FC2-F84C-054F-8E7F-29BF1049BF76}" name="Cobranza" dataCellStyle="Currency"/>
    <tableColumn id="5" xr3:uid="{9E3E7E51-AA05-F64A-8EF7-0803D1BD8001}" name="Cumplimiento de Meta %" dataDxfId="470" dataCellStyle="Percent">
      <calculatedColumnFormula>D4/C4</calculatedColumnFormula>
    </tableColumn>
    <tableColumn id="7" xr3:uid="{98DCAE69-FB61-EA4E-B96E-13EE2011CF66}" name="% de Deuda" dataDxfId="469" dataCellStyle="Percent">
      <calculatedColumnFormula>IF(SUM($C$4:C4)-SUM($D$4:D4)&gt;0, (SUM($C$4:C4)-SUM($D$4:D4))/SUM($C$4:C4), 0)</calculatedColumnFormula>
    </tableColumn>
    <tableColumn id="6" xr3:uid="{455BF064-5117-3A4A-B576-430229876015}" name="Didiferencia Absoluta" dataDxfId="468">
      <calculatedColumnFormula>D4-C4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EAF8A07-D4A9-784A-ACB1-1A143FBB4425}" name="Table12" displayName="Table12" ref="A3:G32" totalsRowShown="0" headerRowDxfId="467" headerRowBorderDxfId="466" tableBorderDxfId="465">
  <autoFilter ref="A3:G32" xr:uid="{4EAF8A07-D4A9-784A-ACB1-1A143FBB4425}"/>
  <tableColumns count="7">
    <tableColumn id="1" xr3:uid="{76ACB133-C914-974F-86E1-5647690CFB06}" name="Semana"/>
    <tableColumn id="2" xr3:uid="{A97C3B86-336E-B14F-B754-30FDAFBE7A7E}" name="Fecha" dataDxfId="464"/>
    <tableColumn id="3" xr3:uid="{307322CD-C978-B245-B1DA-49546CC775D2}" name="Meta" dataCellStyle="Currency"/>
    <tableColumn id="4" xr3:uid="{20DC4F59-A10F-1945-8CA0-A5A575E5F1AE}" name="Cobranza" dataCellStyle="Currency"/>
    <tableColumn id="5" xr3:uid="{4E9462CC-E269-C14D-ADDE-4F99AC485222}" name="Cumplimiento de Meta %" dataDxfId="463" dataCellStyle="Percent">
      <calculatedColumnFormula>D4/C4</calculatedColumnFormula>
    </tableColumn>
    <tableColumn id="6" xr3:uid="{D4BEB096-B63C-2E45-9137-56B446122422}" name="% de Deuda" dataDxfId="462" dataCellStyle="Percent">
      <calculatedColumnFormula>IF(SUM($C$4:C4)-SUM($D$4:D4)&gt;0, (SUM($C$4:C4)-SUM($D$4:D4))/SUM($C$4:C4), 0)</calculatedColumnFormula>
    </tableColumn>
    <tableColumn id="7" xr3:uid="{7973733D-1C60-C942-8666-7968C704FF0D}" name="Didiferencia Absoluta" dataDxfId="461">
      <calculatedColumnFormula>D4-C4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D713D94-A915-C44E-B5EB-D96F1DC62B23}" name="Table13" displayName="Table13" ref="A3:G31" totalsRowShown="0" headerRowDxfId="460" headerRowBorderDxfId="459" tableBorderDxfId="458">
  <autoFilter ref="A3:G31" xr:uid="{CD713D94-A915-C44E-B5EB-D96F1DC62B23}"/>
  <tableColumns count="7">
    <tableColumn id="1" xr3:uid="{42E979ED-44E6-4B43-8391-77F683191593}" name="Semana"/>
    <tableColumn id="2" xr3:uid="{A36BF6B8-2FA3-6647-AA50-9E4FAB515F2A}" name="Fecha" dataDxfId="457"/>
    <tableColumn id="3" xr3:uid="{29C0E400-28B0-B543-8D0E-2F5D734CC7B1}" name="Meta" dataCellStyle="Currency"/>
    <tableColumn id="4" xr3:uid="{5FE52FC4-713E-2B4A-AFA7-084AB696A4AE}" name="Cobranza" dataCellStyle="Currency"/>
    <tableColumn id="5" xr3:uid="{B986591E-1FDA-104F-BBC4-6717033CCEEE}" name="Cumplimiento de Meta %" dataDxfId="456" dataCellStyle="Percent">
      <calculatedColumnFormula>D4/C4</calculatedColumnFormula>
    </tableColumn>
    <tableColumn id="6" xr3:uid="{81456438-5D56-F64E-8E10-F70807B32732}" name="% de Deuda" dataDxfId="455" dataCellStyle="Percent">
      <calculatedColumnFormula>IF(SUM($C$4:C4)-SUM($D$4:D4)&gt;0, (SUM($C$4:C4)-SUM($D$4:D4))/SUM($C$4:C4), 0)</calculatedColumnFormula>
    </tableColumn>
    <tableColumn id="7" xr3:uid="{CE2F86FD-97D2-1D4E-906A-D5635B772F60}" name="Didiferencia Absoluta" dataDxfId="454">
      <calculatedColumnFormula>D4-C4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3BEC9F6-01C8-1944-A577-103336FDEBAA}" name="Table14" displayName="Table14" ref="A3:G30" totalsRowShown="0" headerRowDxfId="453" headerRowBorderDxfId="452" tableBorderDxfId="451">
  <autoFilter ref="A3:G30" xr:uid="{A3BEC9F6-01C8-1944-A577-103336FDEBAA}"/>
  <tableColumns count="7">
    <tableColumn id="1" xr3:uid="{BA9DE355-F1FF-1549-8828-47178469A9A8}" name="Semana"/>
    <tableColumn id="2" xr3:uid="{D749235D-0215-E74E-9607-B639F55FDE7E}" name="Fecha" dataDxfId="450"/>
    <tableColumn id="3" xr3:uid="{46FAF631-439A-E94C-A3EF-E40C2A9D14BC}" name="Meta" dataCellStyle="Currency"/>
    <tableColumn id="4" xr3:uid="{422A371F-1852-EE4C-B5CE-D070CABC79ED}" name="Cobranza" dataCellStyle="Currency"/>
    <tableColumn id="5" xr3:uid="{94A203B4-FA5E-8B4D-B793-31FA61B5F81D}" name="Cumplimiento de Meta %" dataDxfId="449" dataCellStyle="Percent">
      <calculatedColumnFormula>D4/C4</calculatedColumnFormula>
    </tableColumn>
    <tableColumn id="6" xr3:uid="{2C0FEFF2-84BF-DC4B-B3EE-891A9197CB88}" name="% de Deuda" dataDxfId="448" dataCellStyle="Percent">
      <calculatedColumnFormula>IF(SUM($C$4:C4)-SUM($D$4:D4)&gt;0, (SUM($C$4:C4)-SUM($D$4:D4))/SUM($C$4:C4), 0)</calculatedColumnFormula>
    </tableColumn>
    <tableColumn id="7" xr3:uid="{C7C6A2A8-BA18-8446-8688-F0E083597710}" name="Didiferencia Absoluta" dataDxfId="447">
      <calculatedColumnFormula>D4-C4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473205C-EBFF-E546-A4F6-46AE1FD64FC3}" name="Table15" displayName="Table15" ref="A3:G30" totalsRowShown="0" headerRowDxfId="446" headerRowBorderDxfId="445" tableBorderDxfId="444">
  <autoFilter ref="A3:G30" xr:uid="{F473205C-EBFF-E546-A4F6-46AE1FD64FC3}"/>
  <tableColumns count="7">
    <tableColumn id="1" xr3:uid="{EAA19E88-96FE-2A42-B557-B04076375B02}" name="Semana"/>
    <tableColumn id="2" xr3:uid="{3E1E4DFE-014B-B64A-BA30-294CC16E5998}" name="Fecha" dataDxfId="443"/>
    <tableColumn id="3" xr3:uid="{FE0C4A8C-BBAA-BC45-AE4C-AD5C79F44725}" name="Meta" dataDxfId="442" dataCellStyle="Currency"/>
    <tableColumn id="4" xr3:uid="{E1388886-1B3F-7C47-89E9-57CA2D251190}" name="Cobranza" dataDxfId="441" dataCellStyle="Currency"/>
    <tableColumn id="5" xr3:uid="{A8F22D1F-FD0F-254B-A0FC-A2A065F95FFA}" name="Cumplimiento de Meta %" dataDxfId="440" dataCellStyle="Percent">
      <calculatedColumnFormula>D4/C4</calculatedColumnFormula>
    </tableColumn>
    <tableColumn id="6" xr3:uid="{731185E8-61E5-3C40-8CE2-8984F0191283}" name="% de Deuda" dataDxfId="439" dataCellStyle="Percent">
      <calculatedColumnFormula>IF(SUM($C$4:C4)-SUM($D$4:D4)&gt;0, (SUM($C$4:C4)-SUM($D$4:D4))/SUM($C$4:C4), 0)</calculatedColumnFormula>
    </tableColumn>
    <tableColumn id="7" xr3:uid="{0B7BE658-10D9-294C-9DF6-FD51FDBC9A30}" name="Didiferencia Absoluta" dataDxfId="438">
      <calculatedColumnFormula>D4-C4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A29A430-5411-4541-9D6A-ED82D1744794}" name="Table16" displayName="Table16" ref="A3:G4" totalsRowShown="0" headerRowDxfId="437" headerRowBorderDxfId="436" tableBorderDxfId="435">
  <autoFilter ref="A3:G4" xr:uid="{8A29A430-5411-4541-9D6A-ED82D1744794}"/>
  <tableColumns count="7">
    <tableColumn id="1" xr3:uid="{6901D2E5-7E1D-4C48-B9E3-D89450B0F9D2}" name="Semana"/>
    <tableColumn id="2" xr3:uid="{3C23FF12-E932-9445-B300-C08D25EB55F7}" name="Fecha"/>
    <tableColumn id="3" xr3:uid="{644A63DB-7CBA-2546-9095-9A8D1CBBEA53}" name="Meta"/>
    <tableColumn id="4" xr3:uid="{FC8A3D4E-07C3-8C44-8BD1-97D37ED0C589}" name="Cobranza"/>
    <tableColumn id="5" xr3:uid="{2270CB7A-8FD9-5B41-8937-9B3FB3B5C2B7}" name="Cumplimiento de Meta %"/>
    <tableColumn id="6" xr3:uid="{F925CE0A-01AF-5A43-8252-5D4893B8124C}" name="% de Deuda"/>
    <tableColumn id="7" xr3:uid="{8FD2E9A1-D372-7242-988C-DA5DA664A452}" name="Didiferencia Absoluta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A290C87-1411-3646-B044-82A454C5F33C}" name="Table17" displayName="Table17" ref="A3:G28" totalsRowShown="0" headerRowDxfId="434" headerRowBorderDxfId="433" tableBorderDxfId="432">
  <autoFilter ref="A3:G28" xr:uid="{CA290C87-1411-3646-B044-82A454C5F33C}"/>
  <tableColumns count="7">
    <tableColumn id="1" xr3:uid="{ACC76E58-4CB5-CD4F-8D92-ECBED0874D05}" name="Semana"/>
    <tableColumn id="2" xr3:uid="{BBF74996-FC9A-FB46-9E13-437A5BFE72F7}" name="Fecha" dataDxfId="431"/>
    <tableColumn id="3" xr3:uid="{6F9771D9-F50F-0741-A2BC-6BAF836DD745}" name="Meta" dataDxfId="430" dataCellStyle="Currency"/>
    <tableColumn id="4" xr3:uid="{AE85AC85-BEB4-C94D-9540-270E502F6A46}" name="Cobranza" dataDxfId="429" dataCellStyle="Currency"/>
    <tableColumn id="5" xr3:uid="{A6607C4C-1444-A247-B07F-26EC2230A43B}" name="Cumplimiento de Meta %" dataDxfId="428" dataCellStyle="Percent">
      <calculatedColumnFormula>D4/C4</calculatedColumnFormula>
    </tableColumn>
    <tableColumn id="6" xr3:uid="{5ED270E8-C38E-9F4F-A856-A931384C5144}" name="% de Deuda" dataDxfId="427" dataCellStyle="Percent">
      <calculatedColumnFormula>IF(SUM($C$4:C4)-SUM($D$4:D4)&gt;0, (SUM($C$4:C4)-SUM($D$4:D4))/SUM($C$4:C4), 0)</calculatedColumnFormula>
    </tableColumn>
    <tableColumn id="7" xr3:uid="{A76EB888-B7DA-D44F-A264-058E2CBB068F}" name="Didiferencia Absoluta" dataDxfId="426">
      <calculatedColumnFormula>D4-C4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D420687-F897-E74E-8FCA-74C62021E1D4}" name="Table18" displayName="Table18" ref="A3:G28" totalsRowShown="0" headerRowDxfId="425" headerRowBorderDxfId="424" tableBorderDxfId="423">
  <autoFilter ref="A3:G28" xr:uid="{3D420687-F897-E74E-8FCA-74C62021E1D4}"/>
  <tableColumns count="7">
    <tableColumn id="1" xr3:uid="{D98F3684-E9EB-EC46-A119-1554562F6BD6}" name="Semana"/>
    <tableColumn id="2" xr3:uid="{A78E8DCF-C8B0-6A4C-BB91-DA97E4036280}" name="Fecha" dataDxfId="422"/>
    <tableColumn id="3" xr3:uid="{30A1BFA2-E93C-D841-BED9-9A5B167FF70D}" name="Meta" dataDxfId="421" dataCellStyle="Currency"/>
    <tableColumn id="4" xr3:uid="{4A6C9AB9-6F07-1447-A5A7-EE4A73E2E2BE}" name="Cobranza" dataDxfId="420" dataCellStyle="Currency"/>
    <tableColumn id="5" xr3:uid="{41E27358-E8A2-EA43-B170-462A6C6937E0}" name="Cumplimiento de Meta %" dataDxfId="419" dataCellStyle="Percent">
      <calculatedColumnFormula>D4/C4</calculatedColumnFormula>
    </tableColumn>
    <tableColumn id="6" xr3:uid="{48F5F2B6-79CE-934C-B206-7ADC15228C9F}" name="% de Deuda" dataDxfId="418" dataCellStyle="Percent">
      <calculatedColumnFormula>IF(SUM($C$4:C4)-SUM($D$4:D4)&gt;0, (SUM($C$4:C4)-SUM($D$4:D4))/SUM($C$4:C4), 0)</calculatedColumnFormula>
    </tableColumn>
    <tableColumn id="7" xr3:uid="{75B469A8-9A8D-2742-8BB0-4B5700C683CC}" name="Didiferencia Absoluta" dataDxfId="417">
      <calculatedColumnFormula>D4-C4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A08690-9D10-C04C-BC40-74B1B54B25E3}" name="Table19" displayName="Table19" ref="A3:G28" totalsRowShown="0" headerRowDxfId="416" headerRowBorderDxfId="415" tableBorderDxfId="414">
  <autoFilter ref="A3:G28" xr:uid="{56A08690-9D10-C04C-BC40-74B1B54B25E3}"/>
  <tableColumns count="7">
    <tableColumn id="1" xr3:uid="{F560B864-6A67-C440-AB78-9E38A0DE15A2}" name="Semana"/>
    <tableColumn id="2" xr3:uid="{7C1DA03B-CED4-144D-97F0-5DF54EDA19C3}" name="Fecha" dataDxfId="413"/>
    <tableColumn id="3" xr3:uid="{C782AA86-933E-A04A-9C01-BD544C1C5DEF}" name="Meta" dataDxfId="412" dataCellStyle="Currency"/>
    <tableColumn id="4" xr3:uid="{5DA495C4-E53F-2F49-B62A-DF19A509E9CD}" name="Cobranza" dataDxfId="411" dataCellStyle="Currency"/>
    <tableColumn id="5" xr3:uid="{7E0D0C12-3AE9-EC48-B347-D6F5CC097120}" name="Cumplimiento de Meta %" dataDxfId="410" dataCellStyle="Percent">
      <calculatedColumnFormula>D4/C4</calculatedColumnFormula>
    </tableColumn>
    <tableColumn id="6" xr3:uid="{1D45E483-AC84-5341-847D-26F47CC6B735}" name="% de Deuda" dataDxfId="409" dataCellStyle="Percent">
      <calculatedColumnFormula>IF(SUM($C$4:C4)-SUM($D$4:D4)&gt;0, (SUM($C$4:C4)-SUM($D$4:D4))/SUM($C$4:C4), 0)</calculatedColumnFormula>
    </tableColumn>
    <tableColumn id="7" xr3:uid="{E69746A2-3DBE-8F42-93A8-F98EBE55DB2E}" name="Didiferencia Absoluta" dataDxfId="408">
      <calculatedColumnFormula>D4-C4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63AD533-9A40-224A-B751-80833037EFE9}" name="Table20" displayName="Table20" ref="A3:G27" totalsRowShown="0" headerRowDxfId="407" headerRowBorderDxfId="406" tableBorderDxfId="405">
  <autoFilter ref="A3:G27" xr:uid="{E63AD533-9A40-224A-B751-80833037EFE9}"/>
  <tableColumns count="7">
    <tableColumn id="1" xr3:uid="{9A6F4494-46B4-A544-8D84-EB563D24FE76}" name="Semana"/>
    <tableColumn id="2" xr3:uid="{F5263400-D4F1-8746-AC41-6A4B0CE8E6F7}" name="Fecha" dataDxfId="404"/>
    <tableColumn id="3" xr3:uid="{32149CCE-7E74-BB45-87CC-FC7F374A47D2}" name="Meta" dataDxfId="403" dataCellStyle="Currency"/>
    <tableColumn id="4" xr3:uid="{70E27300-27C9-8B4B-924B-9A103537AA2F}" name="Cobranza" dataDxfId="402" dataCellStyle="Currency"/>
    <tableColumn id="5" xr3:uid="{3C02144C-5517-FE42-BB35-08CC72A3AC7E}" name="Cumplimiento de Meta %" dataDxfId="401" dataCellStyle="Percent">
      <calculatedColumnFormula>D4/C4</calculatedColumnFormula>
    </tableColumn>
    <tableColumn id="6" xr3:uid="{1A11BB5A-C616-2747-A5EE-F8BB2FED4EB9}" name="% de Deuda" dataDxfId="400" dataCellStyle="Percent">
      <calculatedColumnFormula>IF(SUM($C$4:C4)-SUM($D$4:D4)&gt;0, (SUM($C$4:C4)-SUM($D$4:D4))/SUM($C$4:C4), 0)</calculatedColumnFormula>
    </tableColumn>
    <tableColumn id="7" xr3:uid="{C1295419-6A11-784E-8E51-0A66D38B2E8D}" name="Didiferencia Absoluta" dataDxfId="399">
      <calculatedColumnFormula>D4-C4</calculatedColumnFormula>
    </tableColumn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C53E43D-EFDF-6D4D-AB6B-B33909300792}" name="Table21" displayName="Table21" ref="A3:G27" totalsRowShown="0" headerRowDxfId="398" headerRowBorderDxfId="397" tableBorderDxfId="396">
  <autoFilter ref="A3:G27" xr:uid="{7C53E43D-EFDF-6D4D-AB6B-B33909300792}"/>
  <tableColumns count="7">
    <tableColumn id="1" xr3:uid="{D87231F8-F536-6747-B001-396E2EA1AB2A}" name="Semana"/>
    <tableColumn id="2" xr3:uid="{47F90C5B-4194-9F40-AF7C-4832AC7DD552}" name="Fecha" dataDxfId="395"/>
    <tableColumn id="3" xr3:uid="{9D4B255A-7D68-B94D-AD36-B053D82F128E}" name="Meta" dataDxfId="394" dataCellStyle="Currency"/>
    <tableColumn id="4" xr3:uid="{4AE9868A-7EC6-EE4B-AC0E-38AEA20671FF}" name="Cobranza" dataDxfId="393" dataCellStyle="Currency"/>
    <tableColumn id="5" xr3:uid="{64E15CD6-9BE2-D947-B209-0BFF35422E1E}" name="Cumplimiento de Meta %" dataDxfId="392" dataCellStyle="Percent">
      <calculatedColumnFormula>D4/C4</calculatedColumnFormula>
    </tableColumn>
    <tableColumn id="6" xr3:uid="{E5CFB0CD-558E-0D41-B43C-BEC553F943B4}" name="% de Deuda" dataDxfId="391" dataCellStyle="Percent">
      <calculatedColumnFormula>IF(SUM($C$4:C4)-SUM($D$4:D4)&gt;0, (SUM($C$4:C4)-SUM($D$4:D4))/SUM($C$4:C4), 0)</calculatedColumnFormula>
    </tableColumn>
    <tableColumn id="7" xr3:uid="{D5989EFC-FFDC-ED4E-8F92-73279DD313ED}" name="Didiferencia Absoluta" dataDxfId="390">
      <calculatedColumnFormula>D4-C4</calculatedColumnFormula>
    </tableColumn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4FAE28A-64A5-CC4C-AAE7-98C603EF53F5}" name="Table22" displayName="Table22" ref="A3:G27" totalsRowShown="0" headerRowDxfId="389" headerRowBorderDxfId="388" tableBorderDxfId="387">
  <autoFilter ref="A3:G27" xr:uid="{24FAE28A-64A5-CC4C-AAE7-98C603EF53F5}"/>
  <tableColumns count="7">
    <tableColumn id="1" xr3:uid="{262BDC80-4A40-3C42-A9A6-2FD1F2AC625A}" name="Semana"/>
    <tableColumn id="2" xr3:uid="{97832123-368A-C543-9437-058962A3F194}" name="Fecha" dataDxfId="386"/>
    <tableColumn id="3" xr3:uid="{E2F4E4CB-7BAE-FF43-AFFD-2608FB860F77}" name="Meta" dataDxfId="385" dataCellStyle="Currency"/>
    <tableColumn id="4" xr3:uid="{771694B8-FF48-1649-B8E3-8DB97C235175}" name="Cobranza" dataDxfId="384" dataCellStyle="Currency"/>
    <tableColumn id="5" xr3:uid="{11695378-EBB6-164E-976D-1A75B0EFB5BB}" name="Cumplimiento de Meta %" dataDxfId="383" dataCellStyle="Percent">
      <calculatedColumnFormula>D4/C4</calculatedColumnFormula>
    </tableColumn>
    <tableColumn id="6" xr3:uid="{7482B4B2-A2F2-944E-AF30-36A72BDA53C3}" name="% de Deuda" dataDxfId="382" dataCellStyle="Percent">
      <calculatedColumnFormula>IF(SUM($C$4:C4)-SUM($D$4:D4)&gt;0, (SUM($C$4:C4)-SUM($D$4:D4))/SUM($C$4:C4), 0)</calculatedColumnFormula>
    </tableColumn>
    <tableColumn id="7" xr3:uid="{3D98788B-7DA9-4B4D-A525-0522FEA65FEF}" name="Didiferencia Absoluta" dataDxfId="381">
      <calculatedColumnFormula>D4-C4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06BA574-B292-4A45-96A5-7C52E261F58F}" name="Table23" displayName="Table23" ref="A3:G25" totalsRowShown="0" headerRowDxfId="380" headerRowBorderDxfId="379">
  <autoFilter ref="A3:G25" xr:uid="{206BA574-B292-4A45-96A5-7C52E261F58F}"/>
  <tableColumns count="7">
    <tableColumn id="1" xr3:uid="{AE0A21F4-D4DA-3943-B4A9-142D8D3A746E}" name="Semana"/>
    <tableColumn id="2" xr3:uid="{FB4E07FE-98B6-D349-A7B7-04FEFDD2786E}" name="Fecha" dataDxfId="378"/>
    <tableColumn id="3" xr3:uid="{489C1D08-A020-0346-8175-CBCB65784A44}" name="Meta" dataDxfId="377" dataCellStyle="Currency"/>
    <tableColumn id="4" xr3:uid="{C678AA28-00FF-9844-8CF8-87BB0000DB63}" name="Cobranza" dataDxfId="376" dataCellStyle="Currency"/>
    <tableColumn id="5" xr3:uid="{5BD50C17-5165-154F-9EC2-AF9BC78F7CD5}" name="Cumplimiento de Meta %" dataDxfId="375" dataCellStyle="Percent">
      <calculatedColumnFormula>D4/C4</calculatedColumnFormula>
    </tableColumn>
    <tableColumn id="6" xr3:uid="{55DC26EA-E625-0E4E-8A0A-5F9952A22017}" name="% de Deuda" dataDxfId="374" dataCellStyle="Percent">
      <calculatedColumnFormula>IF(SUM($C$4:C4)-SUM($D$4:D4)&gt;0, (SUM($C$4:C4)-SUM($D$4:D4))/SUM($C$4:C4), 0)</calculatedColumnFormula>
    </tableColumn>
    <tableColumn id="7" xr3:uid="{00DE62EE-4FD5-8346-BFF8-D4A4746C2DA3}" name="Didiferencia Absoluta" dataDxfId="373">
      <calculatedColumnFormula>D4-C4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788A1B9-BC5B-BE43-A9BD-738186E788EC}" name="Table24" displayName="Table24" ref="A3:G26" totalsRowShown="0" headerRowDxfId="372" headerRowBorderDxfId="371">
  <autoFilter ref="A3:G26" xr:uid="{1788A1B9-BC5B-BE43-A9BD-738186E788EC}"/>
  <tableColumns count="7">
    <tableColumn id="1" xr3:uid="{22809FB3-E5CF-2B47-A54F-1876033A77BC}" name="Semana"/>
    <tableColumn id="2" xr3:uid="{EF601C22-8438-A143-A4F9-02291BDD869B}" name="Fecha" dataDxfId="370"/>
    <tableColumn id="3" xr3:uid="{6A84CEF6-49DD-B241-BA9A-C13C4C19E8F3}" name="Meta" dataDxfId="369" dataCellStyle="Currency"/>
    <tableColumn id="4" xr3:uid="{07FC93AE-D127-9942-977F-FB4A52F7F9C5}" name="Cobranza" dataDxfId="368" dataCellStyle="Currency"/>
    <tableColumn id="5" xr3:uid="{E113F740-5F7E-D042-9FB9-B26D86BC99DB}" name="Cumplimiento de Meta %" dataDxfId="367" dataCellStyle="Percent">
      <calculatedColumnFormula>D4/C4</calculatedColumnFormula>
    </tableColumn>
    <tableColumn id="6" xr3:uid="{AE405123-555F-CE41-BBD3-D361199BD504}" name="% de Deuda" dataDxfId="366" dataCellStyle="Percent">
      <calculatedColumnFormula>IF(SUM($C$4:C4)-SUM($D$4:D4)&gt;0, (SUM($C$4:C4)-SUM($D$4:D4))/SUM($C$4:C4), 0)</calculatedColumnFormula>
    </tableColumn>
    <tableColumn id="7" xr3:uid="{FE693F68-EF9A-304C-A205-4E6F6A8E4A53}" name="Didiferencia Absoluta" dataDxfId="365">
      <calculatedColumnFormula>D4-C4</calculatedColumnFormula>
    </tableColumn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CD8EF5B-4988-F942-9A27-FDA53BEFECB2}" name="Table25" displayName="Table25" ref="A3:G26" totalsRowShown="0" headerRowDxfId="364" headerRowBorderDxfId="363" tableBorderDxfId="362">
  <autoFilter ref="A3:G26" xr:uid="{5CD8EF5B-4988-F942-9A27-FDA53BEFECB2}"/>
  <tableColumns count="7">
    <tableColumn id="1" xr3:uid="{00217212-C68C-9B4A-AB99-D6584468E1D7}" name="Semana" dataDxfId="361"/>
    <tableColumn id="2" xr3:uid="{72D86429-C72B-DF49-9EBD-BD9B9095167D}" name="Fecha" dataDxfId="360"/>
    <tableColumn id="3" xr3:uid="{17A48C8F-A2E3-9042-9CA9-0045EE05EEF9}" name="Meta" dataDxfId="359" dataCellStyle="Currency"/>
    <tableColumn id="4" xr3:uid="{69B28ED0-779C-014F-A30E-D0852D97ADEA}" name="Cobranza" dataDxfId="358" dataCellStyle="Currency"/>
    <tableColumn id="5" xr3:uid="{846AFD72-38AD-2148-93A4-97F266D93586}" name="Cumplimiento de Meta %" dataDxfId="357" dataCellStyle="Percent">
      <calculatedColumnFormula>D4/C4</calculatedColumnFormula>
    </tableColumn>
    <tableColumn id="6" xr3:uid="{125AEB40-E882-F64E-80A3-A33C558F36C0}" name="% de Deuda" dataDxfId="356" dataCellStyle="Percent">
      <calculatedColumnFormula>IF(SUM($C$4:C4)-SUM($D$4:D4)&gt;0, (SUM($C$4:C4)-SUM($D$4:D4))/SUM($C$4:C4), 0)</calculatedColumnFormula>
    </tableColumn>
    <tableColumn id="7" xr3:uid="{F1932509-4053-CE45-AB2F-62D0A40B7404}" name="Didiferencia Absoluta" dataDxfId="355">
      <calculatedColumnFormula>D4-C4</calculatedColumnFormula>
    </tableColumn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513B2DE-D169-1E4B-A14B-0A4A8906C141}" name="Table26" displayName="Table26" ref="A3:G26" totalsRowShown="0" headerRowDxfId="354" headerRowBorderDxfId="353">
  <autoFilter ref="A3:G26" xr:uid="{0513B2DE-D169-1E4B-A14B-0A4A8906C141}"/>
  <tableColumns count="7">
    <tableColumn id="1" xr3:uid="{CC649FC3-52A6-B04B-AE78-6E1DCFFE7411}" name="Semana" dataDxfId="352"/>
    <tableColumn id="2" xr3:uid="{91A67157-4E5F-F441-8C02-F2F7B81050F1}" name="Fecha" dataDxfId="351"/>
    <tableColumn id="3" xr3:uid="{8696F4D7-282C-7941-9ED1-9771719DF1FF}" name="Meta" dataDxfId="350" dataCellStyle="Currency"/>
    <tableColumn id="4" xr3:uid="{C374E182-F7B8-A14A-BAFE-5AD926C44741}" name="Cobranza" dataDxfId="349" dataCellStyle="Currency"/>
    <tableColumn id="5" xr3:uid="{DBE0D98B-A576-E640-A365-3CBF29C8710D}" name="Cumplimiento de Meta %" dataDxfId="348" dataCellStyle="Percent">
      <calculatedColumnFormula>D4/C4</calculatedColumnFormula>
    </tableColumn>
    <tableColumn id="6" xr3:uid="{51CF04B5-5BCB-3E42-9C23-9DA89C2833FC}" name="% de Deuda" dataDxfId="347" dataCellStyle="Percent">
      <calculatedColumnFormula>IF(SUM($C$4:C4)-SUM($D$4:D4)&gt;0, (SUM($C$4:C4)-SUM($D$4:D4))/SUM($C$4:C4), 0)</calculatedColumnFormula>
    </tableColumn>
    <tableColumn id="7" xr3:uid="{EFA69DB5-6B3D-6344-A0B3-4B58A57FA0FE}" name="Didiferencia Absoluta" dataDxfId="346">
      <calculatedColumnFormula>D4-C4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CB910CF-8A67-B042-88EC-4E6824699156}" name="Table27" displayName="Table27" ref="A3:G25" totalsRowShown="0" headerRowDxfId="345" headerRowBorderDxfId="344">
  <autoFilter ref="A3:G25" xr:uid="{8CB910CF-8A67-B042-88EC-4E6824699156}"/>
  <tableColumns count="7">
    <tableColumn id="1" xr3:uid="{839B7A59-3B4D-A845-883C-1A6384A8C71D}" name="Semana"/>
    <tableColumn id="2" xr3:uid="{AB78EB45-027E-9949-8DC6-331196BEF1A8}" name="Fecha" dataDxfId="343"/>
    <tableColumn id="3" xr3:uid="{6C560E0D-4722-1949-9BEE-33D388EECCAB}" name="Meta" dataDxfId="342" dataCellStyle="Currency"/>
    <tableColumn id="4" xr3:uid="{C9146A36-0238-F144-BE11-9CA8ED7EE988}" name="Cobranza" dataDxfId="341" dataCellStyle="Currency"/>
    <tableColumn id="5" xr3:uid="{FAAA079F-8683-F047-A563-BFE007445207}" name="Cumplimiento de Meta %" dataDxfId="340" dataCellStyle="Percent">
      <calculatedColumnFormula>D4/C4</calculatedColumnFormula>
    </tableColumn>
    <tableColumn id="6" xr3:uid="{A04132EF-9897-C74C-ABEE-EA9F8CFBB4DD}" name="% de Deuda" dataDxfId="339" dataCellStyle="Percent">
      <calculatedColumnFormula>IF(SUM($C$4:C4)-SUM($D$4:D4)&gt;0, (SUM($C$4:C4)-SUM($D$4:D4))/SUM($C$4:C4), 0)</calculatedColumnFormula>
    </tableColumn>
    <tableColumn id="7" xr3:uid="{B10D3C59-B4C1-7F4A-A880-A117341CD314}" name="Didiferencia Absoluta" dataDxfId="338">
      <calculatedColumnFormula>D4-C4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5DCC2A41-F57E-F343-8F02-58A2733EC770}" name="Table28" displayName="Table28" ref="A3:G25" totalsRowShown="0" headerRowDxfId="337" headerRowBorderDxfId="336">
  <autoFilter ref="A3:G25" xr:uid="{5DCC2A41-F57E-F343-8F02-58A2733EC770}"/>
  <tableColumns count="7">
    <tableColumn id="1" xr3:uid="{D651D027-44D4-C440-87D2-8E1F471529EC}" name="Semana" dataDxfId="335"/>
    <tableColumn id="2" xr3:uid="{5006C4CF-DF4D-CF45-8FB0-FEFB553946C8}" name="Fecha" dataDxfId="334"/>
    <tableColumn id="3" xr3:uid="{61D1CAEE-F96B-CB42-B4F6-BB03D330C6F5}" name="Meta" dataDxfId="333" dataCellStyle="Currency"/>
    <tableColumn id="4" xr3:uid="{A3567C64-B18B-4243-A96E-A1DA04235E5C}" name="Cobranza" dataDxfId="332" dataCellStyle="Currency"/>
    <tableColumn id="5" xr3:uid="{6F6DD924-E89D-8045-AA55-D6FA1E42889D}" name="Cumplimiento de Meta %" dataDxfId="331" dataCellStyle="Percent">
      <calculatedColumnFormula>D4/C4</calculatedColumnFormula>
    </tableColumn>
    <tableColumn id="6" xr3:uid="{74B69025-D7B9-2549-8BE3-31CC20D03EE8}" name="% de Deuda" dataDxfId="330" dataCellStyle="Percent">
      <calculatedColumnFormula>IF(SUM($C$4:C4)-SUM($D$4:D4)&gt;0, (SUM($C$4:C4)-SUM($D$4:D4))/SUM($C$4:C4), 0)</calculatedColumnFormula>
    </tableColumn>
    <tableColumn id="7" xr3:uid="{AFC73E55-BE22-B84E-AC7A-768CF2F44A34}" name="Didiferencia Absoluta" dataDxfId="329">
      <calculatedColumnFormula>D4-C4</calculatedColumnFormula>
    </tableColumn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23D831D2-7E94-2C43-82CA-6012B07A9A0A}" name="Table29" displayName="Table29" ref="A3:G25" totalsRowShown="0" headerRowDxfId="328" headerRowBorderDxfId="327">
  <autoFilter ref="A3:G25" xr:uid="{23D831D2-7E94-2C43-82CA-6012B07A9A0A}"/>
  <tableColumns count="7">
    <tableColumn id="1" xr3:uid="{38B01E62-9DD0-BA43-A771-094BF7EE5166}" name="Semana" dataDxfId="326"/>
    <tableColumn id="2" xr3:uid="{3059851B-4450-7945-B42B-EB9F58CFED0B}" name="Fecha" dataDxfId="325"/>
    <tableColumn id="3" xr3:uid="{995B2919-8662-1B43-B48E-4B4A53EADB02}" name="Meta" dataDxfId="324" dataCellStyle="Currency"/>
    <tableColumn id="4" xr3:uid="{370ECFA9-B44F-2E42-B986-3E6D0CC80EB2}" name="Cobranza" dataDxfId="323" dataCellStyle="Currency"/>
    <tableColumn id="5" xr3:uid="{41C80F33-8CE7-1B40-A240-3CFF78EF9D3F}" name="Cumplimiento de Meta %" dataDxfId="322" dataCellStyle="Percent">
      <calculatedColumnFormula>D4/C4</calculatedColumnFormula>
    </tableColumn>
    <tableColumn id="6" xr3:uid="{934C3483-2FC8-3B41-A26D-5FE5656C957A}" name="% de Deuda" dataDxfId="321" dataCellStyle="Percent">
      <calculatedColumnFormula>IF(SUM($C$4:C4)-SUM($D$4:D4)&gt;0, (SUM($C$4:C4)-SUM($D$4:D4))/SUM($C$4:C4), 0)</calculatedColumnFormula>
    </tableColumn>
    <tableColumn id="7" xr3:uid="{0F30E8C7-34DF-034B-81EC-CC6F463D5708}" name="Didiferencia Absoluta" dataDxfId="320">
      <calculatedColumnFormula>D4-C4</calculatedColumnFormula>
    </tableColumn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E5B955FE-FDE9-0B45-9CB7-0AB0210515F0}" name="Table30" displayName="Table30" ref="A3:G25" totalsRowShown="0" headerRowDxfId="319" headerRowBorderDxfId="318">
  <autoFilter ref="A3:G25" xr:uid="{E5B955FE-FDE9-0B45-9CB7-0AB0210515F0}"/>
  <tableColumns count="7">
    <tableColumn id="1" xr3:uid="{1890A9A3-9E12-AC4F-8F62-57402C8E17B7}" name="Semana" dataDxfId="317"/>
    <tableColumn id="2" xr3:uid="{4FD412E3-421C-8C4F-9BCE-7EAFBF569271}" name="Fecha" dataDxfId="316"/>
    <tableColumn id="3" xr3:uid="{57ED08FD-048D-6245-A169-0DD835BAF2EE}" name="Meta" dataDxfId="315" dataCellStyle="Currency"/>
    <tableColumn id="4" xr3:uid="{5ACBB850-82F2-1349-9BA6-94BEA4E70217}" name="Cobranza" dataDxfId="314" dataCellStyle="Currency"/>
    <tableColumn id="5" xr3:uid="{CB75E18D-0303-C44B-966E-0F8C27F58315}" name="Cumplimiento de Meta %" dataDxfId="313" dataCellStyle="Percent">
      <calculatedColumnFormula>D4/C4</calculatedColumnFormula>
    </tableColumn>
    <tableColumn id="6" xr3:uid="{731333D2-4BA4-1146-9AB8-9C7D37BF1B7B}" name="% de Deuda" dataDxfId="312" dataCellStyle="Percent">
      <calculatedColumnFormula>IF(SUM($C$4:C4)-SUM($D$4:D4)&gt;0, (SUM($C$4:C4)-SUM($D$4:D4))/SUM($C$4:C4), 0)</calculatedColumnFormula>
    </tableColumn>
    <tableColumn id="7" xr3:uid="{296842BA-DA95-F24F-8F1F-B563432EB55A}" name="Didiferencia Absoluta" dataDxfId="311">
      <calculatedColumnFormula>D4-C4</calculatedColumnFormula>
    </tableColumn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AE73AA8C-C21E-EB42-9125-487575540545}" name="Table31" displayName="Table31" ref="A3:G25" totalsRowShown="0" headerRowDxfId="310" headerRowBorderDxfId="309">
  <autoFilter ref="A3:G25" xr:uid="{AE73AA8C-C21E-EB42-9125-487575540545}"/>
  <tableColumns count="7">
    <tableColumn id="1" xr3:uid="{A030F01B-BE0A-4C4C-8148-EC200C92EB14}" name="Semana" dataDxfId="308"/>
    <tableColumn id="2" xr3:uid="{67197376-1C31-854E-A0E9-F18BE6C31E6F}" name="Fecha" dataDxfId="307"/>
    <tableColumn id="3" xr3:uid="{74E4EA10-1845-504A-A4BC-93C2812CC200}" name="Meta" dataDxfId="306" dataCellStyle="Currency"/>
    <tableColumn id="4" xr3:uid="{5C3EE911-0370-CE44-847D-A846A91CB27A}" name="Cobranza" dataDxfId="305" dataCellStyle="Currency"/>
    <tableColumn id="5" xr3:uid="{E3003FBC-0E05-6A47-B336-D49E0CFDC807}" name="Cumplimiento de Meta %" dataDxfId="304" dataCellStyle="Percent"/>
    <tableColumn id="6" xr3:uid="{6F4E44B7-D01C-664B-8563-70C2892F0558}" name="% de Deuda" dataDxfId="303" dataCellStyle="Percent">
      <calculatedColumnFormula>IF(SUM($C$4:C4)-SUM($D$4:D4)&gt;0, (SUM($C$4:C4)-SUM($D$4:D4))/SUM($C$4:C4), 0)</calculatedColumnFormula>
    </tableColumn>
    <tableColumn id="7" xr3:uid="{2297E6CA-C9FD-204B-87A7-0E7BFEFB9268}" name="Didiferencia Absoluta" dataDxfId="302">
      <calculatedColumnFormula>D4-C4</calculatedColumnFormula>
    </tableColumn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7C1212E2-8942-F84F-AB6E-89D44816665A}" name="Table32" displayName="Table32" ref="A3:G21" totalsRowShown="0" headerRowDxfId="301" headerRowBorderDxfId="300">
  <autoFilter ref="A3:G21" xr:uid="{7C1212E2-8942-F84F-AB6E-89D44816665A}"/>
  <tableColumns count="7">
    <tableColumn id="1" xr3:uid="{979875F1-2AFD-A845-B964-883AF8810EB8}" name="Semana"/>
    <tableColumn id="2" xr3:uid="{49CAA3AF-7477-2342-8395-D974C7F478AF}" name="Fecha" dataDxfId="299"/>
    <tableColumn id="3" xr3:uid="{52DB2A6E-E51D-F24E-A6DE-AF93734D6248}" name="Meta" dataDxfId="298" dataCellStyle="Currency"/>
    <tableColumn id="4" xr3:uid="{84741151-EF6B-3B4A-91BE-897B3ECAD89E}" name="Cobranza" dataDxfId="297" dataCellStyle="Currency"/>
    <tableColumn id="5" xr3:uid="{36BAA544-5C63-CD47-BBF0-35B6346CE4A5}" name="Cumplimiento de Meta %" dataDxfId="296" dataCellStyle="Percent">
      <calculatedColumnFormula>D4/C4</calculatedColumnFormula>
    </tableColumn>
    <tableColumn id="6" xr3:uid="{A5E81651-2B1D-DC4F-B70F-F0AC3B5B043D}" name="% de Deuda" dataDxfId="295" dataCellStyle="Percent">
      <calculatedColumnFormula>IF(SUM($C$4:C4)-SUM($D$4:D4)&gt;0, (SUM($C$4:C4)-SUM($D$4:D4))/SUM($C$4:C4), 0)</calculatedColumnFormula>
    </tableColumn>
    <tableColumn id="7" xr3:uid="{658A519D-4B1F-B743-A9F9-864F24CB4728}" name="Didiferencia Absoluta" dataDxfId="294">
      <calculatedColumnFormula>D4-C4</calculatedColumnFormula>
    </tableColumn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D4EABB71-A305-DF45-98B7-17FBDBCFC3ED}" name="Table33" displayName="Table33" ref="A3:G21" totalsRowShown="0" headerRowDxfId="293" headerRowBorderDxfId="292">
  <autoFilter ref="A3:G21" xr:uid="{D4EABB71-A305-DF45-98B7-17FBDBCFC3ED}"/>
  <tableColumns count="7">
    <tableColumn id="1" xr3:uid="{1AFBE028-F752-2B41-9E8F-6B6CED79134A}" name="Semana" dataDxfId="291"/>
    <tableColumn id="2" xr3:uid="{C37EAC8E-E716-824E-AF93-6FCA7BD6ABD5}" name="Fecha" dataDxfId="290"/>
    <tableColumn id="3" xr3:uid="{3BBDFDC4-C541-CF40-8E89-45F7A8EEDCA9}" name="Meta" dataDxfId="289" dataCellStyle="Currency"/>
    <tableColumn id="4" xr3:uid="{51073B1B-52CF-5940-87FB-5BCE5890ECC0}" name="Cobranza" dataDxfId="288" dataCellStyle="Currency"/>
    <tableColumn id="5" xr3:uid="{9C4C3FC8-4A4D-A34B-95B8-5AF3CE044130}" name="Cumplimiento de Meta %" dataDxfId="287" dataCellStyle="Percent">
      <calculatedColumnFormula>D4/C4</calculatedColumnFormula>
    </tableColumn>
    <tableColumn id="6" xr3:uid="{FC3467DF-1C66-CB41-B10A-CF80C54AC6B0}" name="% de Deuda" dataDxfId="286" dataCellStyle="Percent">
      <calculatedColumnFormula>IF(SUM($C$4:C4)-SUM($D$4:D4)&gt;0, (SUM($C$4:C4)-SUM($D$4:D4))/SUM($C$4:C4), 0)</calculatedColumnFormula>
    </tableColumn>
    <tableColumn id="7" xr3:uid="{3737164E-EE6B-C94D-A9AA-79785CD5E813}" name="Didiferencia Absoluta" dataDxfId="285">
      <calculatedColumnFormula>D4-C4</calculatedColumnFormula>
    </tableColumn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D3B3F07-4FE5-0146-9171-6929FEC7A5BD}" name="Table34" displayName="Table34" ref="A3:G21" totalsRowShown="0" headerRowDxfId="284" headerRowBorderDxfId="283">
  <autoFilter ref="A3:G21" xr:uid="{0D3B3F07-4FE5-0146-9171-6929FEC7A5BD}"/>
  <tableColumns count="7">
    <tableColumn id="1" xr3:uid="{2FE1B072-D72F-294E-9AB6-EB77923748D8}" name="Semana" dataDxfId="282"/>
    <tableColumn id="2" xr3:uid="{27EFC694-4DDC-994A-9134-9D5DAC57A711}" name="Fecha" dataDxfId="281"/>
    <tableColumn id="3" xr3:uid="{A092DAA2-D664-3244-8A1C-35A2A85AA8CA}" name="Meta" dataDxfId="280" dataCellStyle="Currency"/>
    <tableColumn id="4" xr3:uid="{5C47147C-ED1E-DD43-AEE9-22551DA0A9D0}" name="Cobranza" dataDxfId="279" dataCellStyle="Currency"/>
    <tableColumn id="5" xr3:uid="{F05E5906-DB7A-E140-8FCA-275D638B63C7}" name="Cumplimiento de Meta %" dataDxfId="278" dataCellStyle="Percent">
      <calculatedColumnFormula>D4/C4</calculatedColumnFormula>
    </tableColumn>
    <tableColumn id="6" xr3:uid="{E55F0919-0C37-D24C-A10C-36955BD730BD}" name="% de Deuda" dataDxfId="277" dataCellStyle="Percent">
      <calculatedColumnFormula>IF(SUM($C$4:C4)-SUM($D$4:D4)&gt;0, (SUM($C$4:C4)-SUM($D$4:D4))/SUM($C$4:C4), 0)</calculatedColumnFormula>
    </tableColumn>
    <tableColumn id="7" xr3:uid="{288A41F3-83F2-7D4B-B5E0-876DCEFC0181}" name="Didiferencia Absoluta" dataDxfId="276">
      <calculatedColumnFormula>D4-C4</calculatedColumnFormula>
    </tableColumn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8C6D059D-6B42-7E45-AC2C-AB925A94DD39}" name="Table35" displayName="Table35" ref="A3:G4" totalsRowShown="0" headerRowDxfId="275" headerRowBorderDxfId="274">
  <autoFilter ref="A3:G4" xr:uid="{8C6D059D-6B42-7E45-AC2C-AB925A94DD39}"/>
  <tableColumns count="7">
    <tableColumn id="1" xr3:uid="{6DFA6AD8-1893-DC4A-9044-E72E20B46108}" name="Semana"/>
    <tableColumn id="2" xr3:uid="{5DE7A2CC-D733-3742-A761-F364D7B46E44}" name="Fecha"/>
    <tableColumn id="3" xr3:uid="{15A68C96-2EC9-E848-8604-78B98103877C}" name="Meta"/>
    <tableColumn id="4" xr3:uid="{593A52AF-3654-9541-A66A-102494AF7213}" name="Cobranza"/>
    <tableColumn id="5" xr3:uid="{36EE134F-9649-BB4E-A78C-FF12F59C7CA5}" name="Cumplimiento de Meta %"/>
    <tableColumn id="6" xr3:uid="{446F2FE8-CE7F-344C-9445-18663535CF82}" name="% de Deuda"/>
    <tableColumn id="7" xr3:uid="{A50E581F-4FA6-444C-B756-A2FFB3879F8E}" name="Didiferencia Absoluta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1CBD98AD-33CD-464A-8336-3AD7E4FF0A23}" name="Table36" displayName="Table36" ref="A3:G21" totalsRowShown="0" headerRowDxfId="273" headerRowBorderDxfId="272">
  <autoFilter ref="A3:G21" xr:uid="{1CBD98AD-33CD-464A-8336-3AD7E4FF0A23}"/>
  <tableColumns count="7">
    <tableColumn id="1" xr3:uid="{4BFACEE2-0313-244A-B8EB-8CF5104DA236}" name="Semana" dataDxfId="271"/>
    <tableColumn id="2" xr3:uid="{B0850891-5499-F544-8144-DB3A67F4E2BC}" name="Fecha" dataDxfId="270"/>
    <tableColumn id="3" xr3:uid="{A6265EAB-39F9-674A-B87C-66FB4277FDC1}" name="Meta" dataDxfId="269" dataCellStyle="Currency"/>
    <tableColumn id="4" xr3:uid="{6BB7160D-07EF-9C4D-B9E5-8D770DDA5C18}" name="Cobranza" dataDxfId="268" dataCellStyle="Currency"/>
    <tableColumn id="5" xr3:uid="{EE20097B-3ECB-3E4F-8C0A-08124F59070C}" name="Cumplimiento de Meta %" dataDxfId="267" dataCellStyle="Percent">
      <calculatedColumnFormula>D4/C4</calculatedColumnFormula>
    </tableColumn>
    <tableColumn id="6" xr3:uid="{BDFB7626-A238-F04E-98B6-B466F6B60E72}" name="% de Deuda" dataDxfId="266" dataCellStyle="Percent">
      <calculatedColumnFormula>IF(SUM($C$4:C4)-SUM($D$4:D4)&gt;0, (SUM($C$4:C4)-SUM($D$4:D4))/SUM($C$4:C4), 0)</calculatedColumnFormula>
    </tableColumn>
    <tableColumn id="7" xr3:uid="{1BE0C1F0-03D2-A744-998F-9DD56DE4DB00}" name="Didiferencia Absoluta" dataDxfId="265">
      <calculatedColumnFormula>D4-C4</calculatedColumnFormula>
    </tableColumn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24669E36-E176-3A43-969D-F85183D51BB1}" name="Table37" displayName="Table37" ref="A3:G22" totalsRowShown="0" headerRowDxfId="264" headerRowBorderDxfId="263">
  <autoFilter ref="A3:G22" xr:uid="{24669E36-E176-3A43-969D-F85183D51BB1}"/>
  <tableColumns count="7">
    <tableColumn id="1" xr3:uid="{6EFCAA87-EF31-4D4E-8E5F-220A4002F624}" name="Semana"/>
    <tableColumn id="2" xr3:uid="{8C021D6C-EFBC-4641-ABFC-EECE2BE192BF}" name="Fecha" dataDxfId="262"/>
    <tableColumn id="3" xr3:uid="{E4904782-0216-B344-AB02-BF97E0EFD24C}" name="Meta" dataDxfId="261" dataCellStyle="Currency"/>
    <tableColumn id="4" xr3:uid="{AAF54F92-362F-D840-99C0-DC5E70CE0051}" name="Cobranza" dataDxfId="260" dataCellStyle="Currency"/>
    <tableColumn id="5" xr3:uid="{6ED39ACC-9F3C-B240-BB64-45F2C9B41DFF}" name="Cumplimiento de Meta %" dataDxfId="259" dataCellStyle="Percent">
      <calculatedColumnFormula>D4/C4</calculatedColumnFormula>
    </tableColumn>
    <tableColumn id="6" xr3:uid="{E0F87DB3-D48F-8E45-9A48-D568C5E97361}" name="% de Deuda" dataDxfId="258" dataCellStyle="Percent">
      <calculatedColumnFormula>IF(SUM($C$4:C4)-SUM($D$4:D4)&gt;0, (SUM($C$4:C4)-SUM($D$4:D4))/SUM($C$4:C4), 0)</calculatedColumnFormula>
    </tableColumn>
    <tableColumn id="7" xr3:uid="{041755D2-133F-2441-9B92-92C89B2F851C}" name="Didiferencia Absoluta" dataDxfId="257">
      <calculatedColumnFormula>D4-C4</calculatedColumnFormula>
    </tableColumn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391F683-F054-3F4D-98A1-1B54E9907441}" name="Table38" displayName="Table38" ref="A3:G18" totalsRowShown="0" headerRowDxfId="256" headerRowBorderDxfId="255">
  <autoFilter ref="A3:G18" xr:uid="{0391F683-F054-3F4D-98A1-1B54E9907441}"/>
  <tableColumns count="7">
    <tableColumn id="1" xr3:uid="{4701C7ED-E2DB-1D44-B3B8-9923AF39F7C2}" name="Semana"/>
    <tableColumn id="2" xr3:uid="{B07C4B7D-80A5-2040-B57A-58BE80BD42C0}" name="Fecha" dataDxfId="254"/>
    <tableColumn id="3" xr3:uid="{0620850E-1CE6-AD42-B55E-2BFE72D0BE89}" name="Meta" dataDxfId="253" dataCellStyle="Currency"/>
    <tableColumn id="4" xr3:uid="{A30A0410-DDEC-F143-B12E-368F7D2C63A2}" name="Cobranza" dataDxfId="252" dataCellStyle="Currency"/>
    <tableColumn id="5" xr3:uid="{3B8080B0-62F2-7647-8FBF-75DEF7F32C07}" name="Cumplimiento de Meta %" dataDxfId="251" dataCellStyle="Percent">
      <calculatedColumnFormula>D4/C4</calculatedColumnFormula>
    </tableColumn>
    <tableColumn id="6" xr3:uid="{0C83A91B-9B85-1140-8FDC-104321DB9886}" name="% de Deuda" dataDxfId="250" dataCellStyle="Percent">
      <calculatedColumnFormula>IF(SUM($C$4:C4)-SUM($D$4:D4)&gt;0, (SUM($C$4:C4)-SUM($D$4:D4))/SUM($C$4:C4), 0)</calculatedColumnFormula>
    </tableColumn>
    <tableColumn id="7" xr3:uid="{677B73E3-D0DD-0443-BCDA-F344FBF86C6A}" name="Didiferencia Absoluta" dataDxfId="249">
      <calculatedColumnFormula>D4-C4</calculatedColumnFormula>
    </tableColumn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CDDF47AC-BBFD-A746-8E79-1582B106E61D}" name="Table39" displayName="Table39" ref="A3:G17" totalsRowShown="0" headerRowDxfId="248" headerRowBorderDxfId="247">
  <autoFilter ref="A3:G17" xr:uid="{CDDF47AC-BBFD-A746-8E79-1582B106E61D}"/>
  <tableColumns count="7">
    <tableColumn id="1" xr3:uid="{21F2BEE7-319D-CF40-99B7-D20C11B89146}" name="Semana"/>
    <tableColumn id="2" xr3:uid="{62E9559B-3F50-2248-9FCB-87985C325261}" name="Fecha" dataDxfId="246"/>
    <tableColumn id="3" xr3:uid="{5EE99547-11B8-D64F-96DF-2318EB4494AB}" name="Meta" dataDxfId="245" dataCellStyle="Currency"/>
    <tableColumn id="4" xr3:uid="{395824DA-9748-FD4C-BE9C-2AA19AF19ACB}" name="Cobranza" dataDxfId="244" dataCellStyle="Currency"/>
    <tableColumn id="5" xr3:uid="{9D497471-62B4-1B44-AC24-0BE77777DCD0}" name="Cumplimiento de Meta %" dataDxfId="243" dataCellStyle="Percent">
      <calculatedColumnFormula>D4/C4</calculatedColumnFormula>
    </tableColumn>
    <tableColumn id="6" xr3:uid="{B888178B-43FE-A649-9EAC-BF01844DC070}" name="% de Deuda" dataDxfId="242" dataCellStyle="Percent">
      <calculatedColumnFormula>IF(SUM($C$4:C4)-SUM($D$4:D4)&gt;0, (SUM($C$4:C4)-SUM($D$4:D4))/SUM($C$4:C4), 0)</calculatedColumnFormula>
    </tableColumn>
    <tableColumn id="7" xr3:uid="{C1E2A25E-C896-A843-B57B-7D1299800A80}" name="Didiferencia Absoluta" dataDxfId="241">
      <calculatedColumnFormula>D4-C4</calculatedColumnFormula>
    </tableColumn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43D9FB7B-7FC0-6447-897C-F702B1E07B38}" name="Table40" displayName="Table40" ref="A3:G18" totalsRowShown="0" headerRowDxfId="240" headerRowBorderDxfId="239">
  <autoFilter ref="A3:G18" xr:uid="{43D9FB7B-7FC0-6447-897C-F702B1E07B38}"/>
  <tableColumns count="7">
    <tableColumn id="1" xr3:uid="{00835993-96CE-8749-95D4-7485FD93861E}" name="Semana"/>
    <tableColumn id="2" xr3:uid="{67D5B62B-8FEA-9448-9783-868DE237083B}" name="Fecha" dataDxfId="238"/>
    <tableColumn id="3" xr3:uid="{9ACAC19F-0B55-9648-9DE7-2D4677697054}" name="Meta" dataDxfId="237" dataCellStyle="Currency"/>
    <tableColumn id="4" xr3:uid="{9A290F0C-9DC2-7347-90E7-46D7DC94ED49}" name="Cobranza" dataDxfId="236" dataCellStyle="Currency"/>
    <tableColumn id="5" xr3:uid="{D95E12FE-B927-7641-A4B2-2D50428AA818}" name="Cumplimiento de Meta %" dataDxfId="235" dataCellStyle="Percent">
      <calculatedColumnFormula>D4/C4</calculatedColumnFormula>
    </tableColumn>
    <tableColumn id="6" xr3:uid="{B308729D-247E-DC44-8099-43156B0C3F3D}" name="% de Deuda" dataDxfId="234" dataCellStyle="Percent">
      <calculatedColumnFormula>IF(SUM($C$4:C4)-SUM($D$4:D4)&gt;0, (SUM($C$4:C4)-SUM($D$4:D4))/SUM($C$4:C4), 0)</calculatedColumnFormula>
    </tableColumn>
    <tableColumn id="7" xr3:uid="{1C434B62-3385-A64E-A08F-4EE56441A576}" name="Didiferencia Absoluta" dataDxfId="233">
      <calculatedColumnFormula>D4-C4</calculatedColumnFormula>
    </tableColumn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24000182-3EDD-2E4B-91B1-239FC24AD2B3}" name="Table41" displayName="Table41" ref="A3:G18" totalsRowShown="0" headerRowDxfId="232" headerRowBorderDxfId="231">
  <autoFilter ref="A3:G18" xr:uid="{24000182-3EDD-2E4B-91B1-239FC24AD2B3}"/>
  <tableColumns count="7">
    <tableColumn id="1" xr3:uid="{85661CD2-6598-6F47-A4B9-981E87D746B8}" name="Semana" dataDxfId="230"/>
    <tableColumn id="2" xr3:uid="{F36C2182-CF65-194B-A786-CF3A1A1753A6}" name="Fecha" dataDxfId="229"/>
    <tableColumn id="3" xr3:uid="{47F5ACA0-D821-F346-97C2-2AEA924F2ACB}" name="Meta" dataDxfId="228" dataCellStyle="Currency"/>
    <tableColumn id="4" xr3:uid="{F14CD9A7-0687-9849-B1FB-93D48E069D05}" name="Cobranza" dataDxfId="227" dataCellStyle="Currency"/>
    <tableColumn id="5" xr3:uid="{70BF2EDD-ED7F-B44E-AC23-4EF8F66F0D74}" name="Cumplimiento de Meta %" dataDxfId="226" dataCellStyle="Percent">
      <calculatedColumnFormula>D4/C4</calculatedColumnFormula>
    </tableColumn>
    <tableColumn id="6" xr3:uid="{614AB22E-55B4-1542-BBF7-6A80299AC1FB}" name="% de Deuda" dataDxfId="225" dataCellStyle="Percent">
      <calculatedColumnFormula>IF(SUM($C$4:C4)-SUM($D$4:D4)&gt;0, (SUM($C$4:C4)-SUM($D$4:D4))/SUM($C$4:C4), 0)</calculatedColumnFormula>
    </tableColumn>
    <tableColumn id="7" xr3:uid="{472B49A2-4990-C44A-9160-AFC00DDFB46E}" name="Didiferencia Absoluta" dataDxfId="224">
      <calculatedColumnFormula>D4-C4</calculatedColumnFormula>
    </tableColumn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508659C1-133A-AB49-B873-D27336D6E7D0}" name="Table42" displayName="Table42" ref="A3:G4" totalsRowShown="0" headerRowDxfId="223" headerRowBorderDxfId="222">
  <autoFilter ref="A3:G4" xr:uid="{508659C1-133A-AB49-B873-D27336D6E7D0}"/>
  <tableColumns count="7">
    <tableColumn id="1" xr3:uid="{C8A5EB86-17DA-3F4D-8B5D-294DB4A71BEA}" name="Semana"/>
    <tableColumn id="2" xr3:uid="{36235B51-7D69-BC46-AE52-9C509030A69B}" name="Fecha"/>
    <tableColumn id="3" xr3:uid="{5F86E38B-8206-7745-956E-9E0AF055EDF3}" name="Meta"/>
    <tableColumn id="4" xr3:uid="{76EC51A9-7FDD-854D-B235-499F90F3750F}" name="Cobranza"/>
    <tableColumn id="5" xr3:uid="{6C96E1E1-5008-1742-8732-A459373C608E}" name="Cumplimiento de Meta %"/>
    <tableColumn id="6" xr3:uid="{574D9C3E-6002-7A4D-85EB-969875088F55}" name="% de Deuda"/>
    <tableColumn id="7" xr3:uid="{BAAD9DE9-E933-BF45-9990-21FF5A355F6C}" name="Didiferencia Absoluta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A17A7E11-9DF3-1C4E-BAE6-6B0DC9CAF473}" name="Table43" displayName="Table43" ref="A3:G16" totalsRowShown="0" headerRowDxfId="221" headerRowBorderDxfId="220">
  <autoFilter ref="A3:G16" xr:uid="{A17A7E11-9DF3-1C4E-BAE6-6B0DC9CAF473}"/>
  <tableColumns count="7">
    <tableColumn id="1" xr3:uid="{7CEC9919-8517-FF41-8ED3-ECF4FBF83BED}" name="Semana"/>
    <tableColumn id="2" xr3:uid="{4550036A-AC2D-6A4F-BD81-9E7915E1E40F}" name="Fecha" dataDxfId="219"/>
    <tableColumn id="3" xr3:uid="{5AFA1086-D8CB-E44B-AB0F-BDA097ED1DD8}" name="Meta" dataDxfId="218" dataCellStyle="Currency"/>
    <tableColumn id="4" xr3:uid="{827D6B9A-C31D-B942-A0F2-526CA3A03A2C}" name="Cobranza" dataDxfId="217" dataCellStyle="Currency"/>
    <tableColumn id="5" xr3:uid="{B749A750-1FB9-7B41-BD0A-82597E62E788}" name="Cumplimiento de Meta %" dataDxfId="216" dataCellStyle="Percent">
      <calculatedColumnFormula>D4/C4</calculatedColumnFormula>
    </tableColumn>
    <tableColumn id="6" xr3:uid="{7329962E-791F-B341-AFC4-6E4B079133CF}" name="% de Deuda" dataDxfId="215" dataCellStyle="Percent">
      <calculatedColumnFormula>IF(SUM($C$4:C4)-SUM($D$4:D4)&gt;0, (SUM($C$4:C4)-SUM($D$4:D4))/SUM($C$4:C4), 0)</calculatedColumnFormula>
    </tableColumn>
    <tableColumn id="7" xr3:uid="{517C1172-A319-4C4F-B490-9F1A29705F64}" name="Didiferencia Absoluta" dataDxfId="214">
      <calculatedColumnFormula>D4-C4</calculatedColumnFormula>
    </tableColumn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3EC242E8-2F1E-BE47-B11D-F9B245A4F86D}" name="Table44" displayName="Table44" ref="A3:G16" totalsRowShown="0" headerRowDxfId="213" headerRowBorderDxfId="212">
  <autoFilter ref="A3:G16" xr:uid="{3EC242E8-2F1E-BE47-B11D-F9B245A4F86D}"/>
  <tableColumns count="7">
    <tableColumn id="1" xr3:uid="{DCF37D40-AA02-CF4A-9D6C-2E8BB8393E91}" name="Semana" dataDxfId="211"/>
    <tableColumn id="2" xr3:uid="{25879510-7313-1E4D-BF1B-E86547BBEEB5}" name="Fecha" dataDxfId="210"/>
    <tableColumn id="3" xr3:uid="{1FBE3AFD-BCE8-3342-BA43-E4042581C3B8}" name="Meta" dataDxfId="209" dataCellStyle="Currency"/>
    <tableColumn id="4" xr3:uid="{1CA4B9F9-E17A-4845-80DE-7E34251817A0}" name="Cobranza" dataDxfId="208" dataCellStyle="Currency"/>
    <tableColumn id="5" xr3:uid="{D3C5B684-264E-BA4C-A5F8-CAEAACF1C496}" name="Cumplimiento de Meta %" dataDxfId="207" dataCellStyle="Percent">
      <calculatedColumnFormula>D4/C4</calculatedColumnFormula>
    </tableColumn>
    <tableColumn id="6" xr3:uid="{029F1EF6-1EF0-9948-B319-98B30106276D}" name="% de Deuda" dataDxfId="206" dataCellStyle="Percent">
      <calculatedColumnFormula>IF(SUM($C$4:C4)-SUM($D$4:D4)&gt;0, (SUM($C$4:C4)-SUM($D$4:D4))/SUM($C$4:C4), 0)</calculatedColumnFormula>
    </tableColumn>
    <tableColumn id="7" xr3:uid="{E3A598F6-7965-E848-BD3F-82408E78F70A}" name="Didiferencia Absoluta" dataDxfId="205">
      <calculatedColumnFormula>D4-C4</calculatedColumnFormula>
    </tableColumn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84B50E53-5718-9F4A-9AD0-23DD97D1A419}" name="Table45" displayName="Table45" ref="A3:G10" totalsRowShown="0" headerRowDxfId="204" headerRowBorderDxfId="203">
  <autoFilter ref="A3:G10" xr:uid="{84B50E53-5718-9F4A-9AD0-23DD97D1A419}"/>
  <tableColumns count="7">
    <tableColumn id="1" xr3:uid="{45A18866-4068-8B44-92C4-041393E7C5EB}" name="Semana"/>
    <tableColumn id="2" xr3:uid="{A654231B-A84D-BC43-9F32-E1ABFB95DC87}" name="Fecha" dataDxfId="202"/>
    <tableColumn id="3" xr3:uid="{3C76F481-625B-FB4E-AEC6-682B800FCD41}" name="Meta" dataDxfId="201" dataCellStyle="Currency"/>
    <tableColumn id="4" xr3:uid="{D477E751-9418-6242-991C-7A098CC8C466}" name="Cobranza" dataDxfId="200" dataCellStyle="Currency"/>
    <tableColumn id="5" xr3:uid="{134BAE31-EC74-AC4B-ACCA-9EF649FBE76C}" name="Cumplimiento de Meta %" dataDxfId="199" dataCellStyle="Percent">
      <calculatedColumnFormula>D4/C4</calculatedColumnFormula>
    </tableColumn>
    <tableColumn id="6" xr3:uid="{4B7F3A11-B9D2-924B-9F36-EF424FDAB6C3}" name="% de Deuda" dataDxfId="198" dataCellStyle="Percent">
      <calculatedColumnFormula>IF(SUM($C$4:C4)-SUM($D$4:D4)&gt;0, (SUM($C$4:C4)-SUM($D$4:D4))/SUM($C$4:C4), 0)</calculatedColumnFormula>
    </tableColumn>
    <tableColumn id="7" xr3:uid="{EBF21B54-D7C9-404B-8A41-B3C4FFD3A3DF}" name="Didiferencia Absoluta" dataDxfId="197">
      <calculatedColumnFormula>D4-C4</calculatedColumnFormula>
    </tableColumn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AA279243-5059-DD43-AFAD-3CF5A75CEC3E}" name="Table46" displayName="Table46" ref="A3:G12" totalsRowShown="0" headerRowDxfId="196" headerRowBorderDxfId="195">
  <autoFilter ref="A3:G12" xr:uid="{AA279243-5059-DD43-AFAD-3CF5A75CEC3E}"/>
  <tableColumns count="7">
    <tableColumn id="1" xr3:uid="{01331554-0388-E147-94FE-CFA668C160F3}" name="Semana"/>
    <tableColumn id="2" xr3:uid="{80D61ABE-0E45-E14C-9AD0-B79B8491592D}" name="Fecha" dataDxfId="194"/>
    <tableColumn id="3" xr3:uid="{CE83448A-1575-BF4D-9B9C-4AD3E97608DB}" name="Meta" dataDxfId="193" dataCellStyle="Currency"/>
    <tableColumn id="4" xr3:uid="{8F1C574D-B03B-8640-8700-5A65503F322F}" name="Cobranza" dataDxfId="192" dataCellStyle="Currency"/>
    <tableColumn id="5" xr3:uid="{DF598194-4EE6-654D-8015-CDF9555DA292}" name="Cumplimiento de Meta %" dataDxfId="191" dataCellStyle="Percent">
      <calculatedColumnFormula>D4/C4</calculatedColumnFormula>
    </tableColumn>
    <tableColumn id="6" xr3:uid="{92B4517D-7D08-C94E-AE4A-E686891FEBBF}" name="% de Deuda" dataDxfId="190" dataCellStyle="Percent">
      <calculatedColumnFormula>IF(SUM($C$4:C4)-SUM($D$4:D4)&gt;0, (SUM($C$4:C4)-SUM($D$4:D4))/SUM($C$4:C4), 0)</calculatedColumnFormula>
    </tableColumn>
    <tableColumn id="7" xr3:uid="{895ADED3-97DB-C949-902B-7280C5E42AA7}" name="Didiferencia Absoluta" dataDxfId="189">
      <calculatedColumnFormula>D4-C4</calculatedColumnFormula>
    </tableColumn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B402D91A-5384-0D4D-9B3F-09112CB63387}" name="Table47" displayName="Table47" ref="A3:G4" totalsRowShown="0" headerRowDxfId="188" headerRowBorderDxfId="187">
  <autoFilter ref="A3:G4" xr:uid="{B402D91A-5384-0D4D-9B3F-09112CB63387}"/>
  <tableColumns count="7">
    <tableColumn id="1" xr3:uid="{BD73DEAA-CC14-584D-ADEC-3DB160569178}" name="Semana"/>
    <tableColumn id="2" xr3:uid="{6D4F4BFB-018E-EC47-8B93-6C473545E4F6}" name="Fecha"/>
    <tableColumn id="3" xr3:uid="{B818773C-E8A1-9A42-8CDE-2CDF27C370E1}" name="Meta"/>
    <tableColumn id="4" xr3:uid="{85A2549F-84A5-4449-B62C-DCEC09B4D160}" name="Cobranza"/>
    <tableColumn id="5" xr3:uid="{F85C04C4-0164-EC41-9D6F-F5CA70E594B5}" name="Cumplimiento de Meta %"/>
    <tableColumn id="6" xr3:uid="{FFF47AF1-94B2-4B43-86E6-DB231E5BA71A}" name="% de Deuda"/>
    <tableColumn id="7" xr3:uid="{72A09212-348D-B342-9DDC-94A0A41940AD}" name="Didiferencia Absoluta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116F19B3-BA1C-BE4A-9C53-4411AD0E5DC6}" name="Table48" displayName="Table48" ref="A3:G11" totalsRowShown="0" headerRowDxfId="186" headerRowBorderDxfId="185">
  <autoFilter ref="A3:G11" xr:uid="{116F19B3-BA1C-BE4A-9C53-4411AD0E5DC6}"/>
  <tableColumns count="7">
    <tableColumn id="1" xr3:uid="{17319D70-6CDA-6549-9BF7-530FB0AB8BA1}" name="Semana"/>
    <tableColumn id="2" xr3:uid="{E72957CE-3F57-DE46-BC9F-273DAF77620D}" name="Fecha" dataDxfId="184"/>
    <tableColumn id="3" xr3:uid="{C39B4D23-53A6-294B-B6C7-3F1C8011F458}" name="Meta" dataDxfId="183" dataCellStyle="Currency"/>
    <tableColumn id="4" xr3:uid="{183BB304-DE40-0043-9DF2-57A462B979F3}" name="Cobranza" dataDxfId="182" dataCellStyle="Currency"/>
    <tableColumn id="5" xr3:uid="{DA9B848B-2F44-3F45-B181-84F687822D3C}" name="Cumplimiento de Meta %" dataDxfId="181" dataCellStyle="Percent">
      <calculatedColumnFormula>D4/C4</calculatedColumnFormula>
    </tableColumn>
    <tableColumn id="6" xr3:uid="{E7CB9027-C02D-7546-B655-728E7F76F7D1}" name="% de Deuda" dataDxfId="180" dataCellStyle="Percent">
      <calculatedColumnFormula>IF(SUM($C$4:C4)-SUM($D$4:D4)&gt;0, (SUM($C$4:C4)-SUM($D$4:D4))/SUM($C$4:C4), 0)</calculatedColumnFormula>
    </tableColumn>
    <tableColumn id="7" xr3:uid="{8F4EA7AB-1A89-224F-AC13-7C62863B26BA}" name="Didiferencia Absoluta" dataDxfId="179">
      <calculatedColumnFormula>D4-C4</calculatedColumnFormula>
    </tableColumn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75395170-CE66-684D-B420-5D976FFFF943}" name="Table49" displayName="Table49" ref="A3:G11" totalsRowShown="0" headerRowDxfId="178" headerRowBorderDxfId="177">
  <autoFilter ref="A3:G11" xr:uid="{75395170-CE66-684D-B420-5D976FFFF943}"/>
  <tableColumns count="7">
    <tableColumn id="1" xr3:uid="{358F92DE-B5CB-D149-92B0-C7F59531C842}" name="Semana" dataDxfId="176"/>
    <tableColumn id="2" xr3:uid="{7B07EE69-F5B8-734C-A813-613632BC279A}" name="Fecha" dataDxfId="175"/>
    <tableColumn id="3" xr3:uid="{534E805B-EE2B-334F-A157-4CA3CD23ECD3}" name="Meta" dataDxfId="174" dataCellStyle="Currency"/>
    <tableColumn id="4" xr3:uid="{040D68F9-58BC-804F-AC25-2FE64A266118}" name="Cobranza" dataDxfId="173" dataCellStyle="Currency"/>
    <tableColumn id="5" xr3:uid="{8A86B2D4-61FE-1649-9452-01701925AA3E}" name="Cumplimiento de Meta %" dataDxfId="172" dataCellStyle="Percent">
      <calculatedColumnFormula>D4/C4</calculatedColumnFormula>
    </tableColumn>
    <tableColumn id="6" xr3:uid="{EB1D7D3F-29F7-464E-AB71-9F732B54517B}" name="% de Deuda" dataDxfId="171" dataCellStyle="Percent">
      <calculatedColumnFormula>IF(SUM($C$4:C4)-SUM($D$4:D4)&gt;0, (SUM($C$4:C4)-SUM($D$4:D4))/SUM($C$4:C4), 0)</calculatedColumnFormula>
    </tableColumn>
    <tableColumn id="7" xr3:uid="{054CD282-E350-A643-816B-755D0E1B1974}" name="Didiferencia Absoluta" dataDxfId="170">
      <calculatedColumnFormula>D4-C4</calculatedColumnFormula>
    </tableColumn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81A7BB13-1CFA-C74D-B8C1-49FF6304F10A}" name="Table50" displayName="Table50" ref="A3:G4" totalsRowShown="0" headerRowDxfId="169" headerRowBorderDxfId="168">
  <autoFilter ref="A3:G4" xr:uid="{81A7BB13-1CFA-C74D-B8C1-49FF6304F10A}"/>
  <tableColumns count="7">
    <tableColumn id="1" xr3:uid="{0D2CCABA-EBE0-E942-96E0-73598482C05B}" name="Semana"/>
    <tableColumn id="2" xr3:uid="{9631E00D-53F7-634A-9CD7-050E83E23EF9}" name="Fecha"/>
    <tableColumn id="3" xr3:uid="{DABB98CB-1B97-B54E-A36F-BADCF5C4437A}" name="Meta"/>
    <tableColumn id="4" xr3:uid="{3811171C-F2ED-DF4A-A643-C2190FA6945D}" name="Cobranza"/>
    <tableColumn id="5" xr3:uid="{9245CE3E-54C5-C944-90D8-9428A19137C2}" name="Cumplimiento de Meta %"/>
    <tableColumn id="6" xr3:uid="{52C2C65F-F9A7-734A-946D-1E5DCD8C07E0}" name="% de Deuda"/>
    <tableColumn id="7" xr3:uid="{12256D4B-5615-E64F-9A7B-87784DB60738}" name="Didiferencia Absoluta"/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DD0440F4-A75F-4D4C-89A8-05B632F331AB}" name="Table51" displayName="Table51" ref="A3:G11" totalsRowShown="0" headerRowDxfId="167" headerRowBorderDxfId="166">
  <autoFilter ref="A3:G11" xr:uid="{DD0440F4-A75F-4D4C-89A8-05B632F331AB}"/>
  <tableColumns count="7">
    <tableColumn id="1" xr3:uid="{B1AAFD0E-7533-2648-8004-E37B6ACB4F19}" name="Semana" dataDxfId="165"/>
    <tableColumn id="2" xr3:uid="{7225627E-6933-8545-BFF1-B53F570AD818}" name="Fecha" dataDxfId="164"/>
    <tableColumn id="3" xr3:uid="{F277711B-8B67-4E47-94A9-9903FEA6D920}" name="Meta" dataDxfId="163" dataCellStyle="Currency"/>
    <tableColumn id="4" xr3:uid="{B49FB991-D783-AF45-AC7E-9ECF48DC2066}" name="Cobranza" dataDxfId="162" dataCellStyle="Currency"/>
    <tableColumn id="5" xr3:uid="{6B9AF1D8-F31D-3248-B85C-48180B574F38}" name="Cumplimiento de Meta %" dataDxfId="161" dataCellStyle="Percent">
      <calculatedColumnFormula>D4/C4</calculatedColumnFormula>
    </tableColumn>
    <tableColumn id="6" xr3:uid="{89ECF9B8-4028-8B4C-8065-0E49CE9B7E1E}" name="% de Deuda" dataDxfId="160" dataCellStyle="Percent">
      <calculatedColumnFormula>IF(SUM($C$4:C4)-SUM($D$4:D4)&gt;0, (SUM($C$4:C4)-SUM($D$4:D4))/SUM($C$4:C4), 0)</calculatedColumnFormula>
    </tableColumn>
    <tableColumn id="7" xr3:uid="{3C53E8D5-E394-8B47-B03D-323A59A3FBAD}" name="Didiferencia Absoluta" dataDxfId="159">
      <calculatedColumnFormula>D4-C4</calculatedColumnFormula>
    </tableColumn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9B05E43A-9AD6-A842-9B91-DEBD253E7B5B}" name="Table52" displayName="Table52" ref="A3:G9" totalsRowShown="0" headerRowDxfId="158" headerRowBorderDxfId="157">
  <autoFilter ref="A3:G9" xr:uid="{9B05E43A-9AD6-A842-9B91-DEBD253E7B5B}"/>
  <tableColumns count="7">
    <tableColumn id="1" xr3:uid="{F8277E1F-067D-BE41-85E2-2AFE664A1C0D}" name="Semana"/>
    <tableColumn id="2" xr3:uid="{57F05E71-40CB-1B48-9909-BEBB2A98D2A8}" name="Fecha" dataDxfId="156"/>
    <tableColumn id="3" xr3:uid="{0C24AE61-4C14-1049-9000-CB7FEA4D7E5C}" name="Meta" dataDxfId="155" dataCellStyle="Currency"/>
    <tableColumn id="4" xr3:uid="{C7E2DC03-1528-4D4F-AFDA-2D86E09C9EE4}" name="Cobranza" dataCellStyle="Currency"/>
    <tableColumn id="5" xr3:uid="{DAD943C5-EEFF-8644-99F8-8C1B0135517A}" name="Cumplimiento de Meta %" dataDxfId="154" dataCellStyle="Percent">
      <calculatedColumnFormula>D4/C4</calculatedColumnFormula>
    </tableColumn>
    <tableColumn id="6" xr3:uid="{DD515902-4AB2-7945-ABF9-8A229E4C078D}" name="% de Deuda" dataDxfId="153" dataCellStyle="Percent">
      <calculatedColumnFormula>IF(SUM($C$4:C4)-SUM($D$4:D4)&gt;0, (SUM($C$4:C4)-SUM($D$4:D4))/SUM($C$4:C4), 0)</calculatedColumnFormula>
    </tableColumn>
    <tableColumn id="7" xr3:uid="{93153EF5-BF9B-1C45-8DB1-9C3B2DF9B3C8}" name="Didiferencia Absoluta" dataDxfId="152">
      <calculatedColumnFormula>D4-C4</calculatedColumnFormula>
    </tableColumn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3BBCAF31-6880-C249-B71D-6B750E7E1034}" name="Table53" displayName="Table53" ref="A3:G10" totalsRowShown="0" headerRowDxfId="151" headerRowBorderDxfId="150">
  <autoFilter ref="A3:G10" xr:uid="{3BBCAF31-6880-C249-B71D-6B750E7E1034}"/>
  <tableColumns count="7">
    <tableColumn id="1" xr3:uid="{F0AEA538-79E3-B34D-8DF7-F067BB84997F}" name="Semana"/>
    <tableColumn id="2" xr3:uid="{BFC0D06D-575A-DA4E-BEB5-C27951ED20E8}" name="Fecha" dataDxfId="149"/>
    <tableColumn id="3" xr3:uid="{95422A6F-EAF1-0E40-A723-DC346432BD0B}" name="Meta" dataCellStyle="Currency"/>
    <tableColumn id="4" xr3:uid="{889F63A6-BC70-E94C-BC47-60C6C3F43837}" name="Cobranza" dataCellStyle="Currency"/>
    <tableColumn id="5" xr3:uid="{497ACEC0-23E0-394B-AC70-3665C0104C49}" name="Cumplimiento de Meta %" dataDxfId="148" dataCellStyle="Percent">
      <calculatedColumnFormula>D4/C4</calculatedColumnFormula>
    </tableColumn>
    <tableColumn id="6" xr3:uid="{03464C48-CFD6-FD41-AC4B-7D341C685D79}" name="% de Deuda" dataDxfId="147" dataCellStyle="Percent">
      <calculatedColumnFormula>IF(SUM($C$4:C4)-SUM($D$4:D4)&gt;0, (SUM($C$4:C4)-SUM($D$4:D4))/SUM($C$4:C4), 0)</calculatedColumnFormula>
    </tableColumn>
    <tableColumn id="7" xr3:uid="{A4E99F28-0E02-6743-9C35-5CEAC260986C}" name="Didiferencia Absoluta" dataDxfId="146">
      <calculatedColumnFormula>D4-C4</calculatedColumnFormula>
    </tableColumn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4E2A4C36-ACE2-D44B-8DBF-D3A2CB573D02}" name="Table54" displayName="Table54" ref="A3:G10" totalsRowShown="0" headerRowDxfId="145" headerRowBorderDxfId="144">
  <autoFilter ref="A3:G10" xr:uid="{4E2A4C36-ACE2-D44B-8DBF-D3A2CB573D02}"/>
  <tableColumns count="7">
    <tableColumn id="1" xr3:uid="{DD0C0EE5-64D0-674E-A240-CDC8D876EAD8}" name="Semana" dataDxfId="143"/>
    <tableColumn id="2" xr3:uid="{8C4D7739-A68C-8E43-AE5A-B41C9E1D5EA8}" name="Fecha" dataDxfId="142"/>
    <tableColumn id="3" xr3:uid="{E1C083C0-B4A0-DB4F-AE70-E37031FBBCE3}" name="Meta" dataDxfId="141" dataCellStyle="Currency"/>
    <tableColumn id="4" xr3:uid="{4A79D1AF-8781-1146-BAD0-30F0A489A7A8}" name="Cobranza" dataDxfId="140" dataCellStyle="Currency"/>
    <tableColumn id="5" xr3:uid="{3982BCE7-525C-A649-8500-8D5457212888}" name="Cumplimiento de Meta %" dataDxfId="139" dataCellStyle="Percent">
      <calculatedColumnFormula>D4/C4</calculatedColumnFormula>
    </tableColumn>
    <tableColumn id="6" xr3:uid="{ACD9E67A-4493-3145-A29F-BF86BDB81883}" name="% de Deuda" dataDxfId="138" dataCellStyle="Percent">
      <calculatedColumnFormula>IF(SUM($C$4:C4)-SUM($D$4:D4)&gt;0, (SUM($C$4:C4)-SUM($D$4:D4))/SUM($C$4:C4), 0)</calculatedColumnFormula>
    </tableColumn>
    <tableColumn id="7" xr3:uid="{B841E4CE-940F-EF4D-B1D1-8A746123992E}" name="Didiferencia Absoluta" dataDxfId="137">
      <calculatedColumnFormula>D4-C4</calculatedColumnFormula>
    </tableColumn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D39EFA0F-240B-754B-AF39-9E7BB1AA40A6}" name="Table55" displayName="Table55" ref="A3:G10" totalsRowShown="0" headerRowDxfId="136" headerRowBorderDxfId="135">
  <autoFilter ref="A3:G10" xr:uid="{D39EFA0F-240B-754B-AF39-9E7BB1AA40A6}"/>
  <tableColumns count="7">
    <tableColumn id="1" xr3:uid="{A9BD0C92-BDBC-5647-BCE2-7444762B10DB}" name="Semana" dataDxfId="134"/>
    <tableColumn id="2" xr3:uid="{D7C1DEB9-8AA4-1547-BAE7-274ECCC7C87E}" name="Fecha" dataDxfId="133"/>
    <tableColumn id="3" xr3:uid="{B55529C2-B73D-F444-978C-698733F6CFD0}" name="Meta" dataDxfId="132" dataCellStyle="Currency"/>
    <tableColumn id="4" xr3:uid="{EBE230BB-D0CD-6347-B832-F3E9C1CEC1EE}" name="Cobranza" dataDxfId="131" dataCellStyle="Currency"/>
    <tableColumn id="5" xr3:uid="{CB264650-AA01-6F44-8B3E-2C07DECE461B}" name="Cumplimiento de Meta %" dataDxfId="130" dataCellStyle="Percent">
      <calculatedColumnFormula>D4/C4</calculatedColumnFormula>
    </tableColumn>
    <tableColumn id="6" xr3:uid="{51E41637-43B3-224E-8AFB-F608619DB370}" name="% de Deuda" dataDxfId="129" dataCellStyle="Percent">
      <calculatedColumnFormula>IF(SUM($C$4:C4)-SUM($D$4:D4)&gt;0, (SUM($C$4:C4)-SUM($D$4:D4))/SUM($C$4:C4), 0)</calculatedColumnFormula>
    </tableColumn>
    <tableColumn id="7" xr3:uid="{116BE451-8A2D-AE45-94D8-9756A29DBF88}" name="Didiferencia Absoluta" dataDxfId="128">
      <calculatedColumnFormula>D4-C4</calculatedColumnFormula>
    </tableColumn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DB768515-3C85-2545-96D7-32BC6DC9E22E}" name="Table56" displayName="Table56" ref="A3:G9" totalsRowShown="0" headerRowDxfId="127" headerRowBorderDxfId="126">
  <autoFilter ref="A3:G9" xr:uid="{DB768515-3C85-2545-96D7-32BC6DC9E22E}"/>
  <tableColumns count="7">
    <tableColumn id="1" xr3:uid="{97EB5E26-EB45-1C4C-9B74-7C2CAE742C0B}" name="Semana"/>
    <tableColumn id="2" xr3:uid="{C37DEF63-AECA-884C-A1A3-D34F31A62EF3}" name="Fecha" dataDxfId="125"/>
    <tableColumn id="3" xr3:uid="{12765039-2B41-B34F-8CCA-F9838E2024AB}" name="Meta" dataDxfId="124" dataCellStyle="Currency"/>
    <tableColumn id="4" xr3:uid="{AA8DAFB0-4FE7-A74C-800C-05FF6FE6373E}" name="Cobranza" dataDxfId="123" dataCellStyle="Currency"/>
    <tableColumn id="5" xr3:uid="{DD01C413-8DFA-904B-83C8-93B8710959FB}" name="Cumplimiento de Meta %" dataDxfId="122" dataCellStyle="Percent">
      <calculatedColumnFormula>D4/C4</calculatedColumnFormula>
    </tableColumn>
    <tableColumn id="6" xr3:uid="{72F220B5-2DAC-4440-989B-4C269BC69614}" name="% de Deuda" dataDxfId="121" dataCellStyle="Percent">
      <calculatedColumnFormula>IF(SUM($C$4:C4)-SUM($D$4:D4)&gt;0, (SUM($C$4:C4)-SUM($D$4:D4))/SUM($C$4:C4), 0)</calculatedColumnFormula>
    </tableColumn>
    <tableColumn id="7" xr3:uid="{194D4B34-0D8D-C441-9F08-B1D328BB497E}" name="Didiferencia Absoluta" dataDxfId="120">
      <calculatedColumnFormula>D4-C4</calculatedColumnFormula>
    </tableColumn>
  </tableColumns>
  <tableStyleInfo name="TableStyleMedium2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B9BFA29A-D932-3D49-8714-534B7979682C}" name="Table57" displayName="Table57" ref="A3:G9" totalsRowShown="0" headerRowDxfId="119" headerRowBorderDxfId="118">
  <autoFilter ref="A3:G9" xr:uid="{B9BFA29A-D932-3D49-8714-534B7979682C}"/>
  <tableColumns count="7">
    <tableColumn id="1" xr3:uid="{1FE59658-268A-FA4C-85DD-9186D71B9E95}" name="Semana" dataDxfId="117"/>
    <tableColumn id="2" xr3:uid="{0A6DFA4B-47C3-934A-98D7-30E6156B7A7A}" name="Fecha" dataDxfId="116"/>
    <tableColumn id="3" xr3:uid="{84612D02-A19F-4F44-9656-63B7B1BF0FFB}" name="Meta" dataDxfId="115" dataCellStyle="Currency"/>
    <tableColumn id="4" xr3:uid="{E64CED86-7B37-594C-AFAD-C0CABD8F5F05}" name="Cobranza" dataDxfId="114" dataCellStyle="Currency"/>
    <tableColumn id="5" xr3:uid="{F65B234C-C740-DF4B-81FB-06BFF80E2D8F}" name="Cumplimiento de Meta %" dataDxfId="113" dataCellStyle="Percent">
      <calculatedColumnFormula>D4/C4</calculatedColumnFormula>
    </tableColumn>
    <tableColumn id="6" xr3:uid="{7B224BDB-733F-B846-AB67-AD24E34F87B1}" name="% de Deuda" dataDxfId="112" dataCellStyle="Percent">
      <calculatedColumnFormula>IF(SUM($C$4:C4)-SUM($D$4:D4)&gt;0, (SUM($C$4:C4)-SUM($D$4:D4))/SUM($C$4:C4), 0)</calculatedColumnFormula>
    </tableColumn>
    <tableColumn id="7" xr3:uid="{7E5442C9-680F-EC4F-98A4-1BA0AFD8C7BA}" name="Didiferencia Absoluta" dataDxfId="111">
      <calculatedColumnFormula>D4-C4</calculatedColumnFormula>
    </tableColumn>
  </tableColumns>
  <tableStyleInfo name="TableStyleMedium2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4FADCEE5-482D-B540-9510-EA5EA3F49034}" name="Table58" displayName="Table58" ref="A3:G4" totalsRowShown="0" headerRowDxfId="110" headerRowBorderDxfId="109">
  <autoFilter ref="A3:G4" xr:uid="{4FADCEE5-482D-B540-9510-EA5EA3F49034}"/>
  <tableColumns count="7">
    <tableColumn id="1" xr3:uid="{F5558A3E-61CF-4B46-BC6A-F265E34CE8D1}" name="Semana"/>
    <tableColumn id="2" xr3:uid="{7209F585-DB82-6F4D-A707-FB8C95047999}" name="Fecha"/>
    <tableColumn id="3" xr3:uid="{A475B1CF-0604-C44C-8748-0C1901E2E515}" name="Meta"/>
    <tableColumn id="4" xr3:uid="{F1033292-6726-1C40-BBB0-CB61B2DDB2AB}" name="Cobranza"/>
    <tableColumn id="5" xr3:uid="{04EF26B5-33A9-1B42-ADDF-8BD5AE827CA4}" name="Cumplimiento de Meta %"/>
    <tableColumn id="6" xr3:uid="{1BF6C52E-2FBA-9242-8300-92ECA083EC31}" name="% de Deuda"/>
    <tableColumn id="7" xr3:uid="{FF9A0F6D-15EE-A94D-A2BF-32620DDBCB7B}" name="Didiferencia Absoluta"/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3126BA92-47D7-D740-B873-5E2AEAB245A1}" name="Table59" displayName="Table59" ref="A3:G9" totalsRowShown="0" headerRowDxfId="108" headerRowBorderDxfId="107" tableBorderDxfId="106" totalsRowBorderDxfId="105">
  <autoFilter ref="A3:G9" xr:uid="{3126BA92-47D7-D740-B873-5E2AEAB245A1}"/>
  <tableColumns count="7">
    <tableColumn id="1" xr3:uid="{9E878B8E-75B1-624A-A90A-2147ED08DDF9}" name="Semana" dataDxfId="104"/>
    <tableColumn id="2" xr3:uid="{E2CD26A2-39F2-B045-98C3-E80DFA43AC65}" name="Fecha" dataDxfId="103"/>
    <tableColumn id="3" xr3:uid="{11F6A53E-73B7-A145-862A-BF30099AD0C9}" name="Meta" dataDxfId="102" dataCellStyle="Currency"/>
    <tableColumn id="4" xr3:uid="{C063B46F-4376-B34E-AD8F-23B6490E5454}" name="Cobranza" dataDxfId="101" dataCellStyle="Currency"/>
    <tableColumn id="5" xr3:uid="{D388F100-9A79-E04B-A8A9-733D43C8EF91}" name="Cumplimiento de Meta %" dataDxfId="100" dataCellStyle="Percent">
      <calculatedColumnFormula>D4/C4</calculatedColumnFormula>
    </tableColumn>
    <tableColumn id="6" xr3:uid="{2F425384-5878-3140-B204-DE22B975ACCE}" name="% de Deuda" dataDxfId="99" dataCellStyle="Percent">
      <calculatedColumnFormula>IF(SUM($C$4:C4)-SUM($D$4:D4)&gt;0, (SUM($C$4:C4)-SUM($D$4:D4))/SUM($C$4:C4), 0)</calculatedColumnFormula>
    </tableColumn>
    <tableColumn id="7" xr3:uid="{52559404-E706-524A-AD11-022E4B3F57CE}" name="Didiferencia Absoluta" dataDxfId="98">
      <calculatedColumnFormula>D4-C4</calculatedColumnFormula>
    </tableColumn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FA58FD6A-D97C-A44A-B513-247FA4E83ACE}" name="Table60" displayName="Table60" ref="A3:G9" totalsRowShown="0" headerRowDxfId="97" headerRowBorderDxfId="96" tableBorderDxfId="95" totalsRowBorderDxfId="94">
  <autoFilter ref="A3:G9" xr:uid="{FA58FD6A-D97C-A44A-B513-247FA4E83ACE}"/>
  <tableColumns count="7">
    <tableColumn id="1" xr3:uid="{E98E6D14-E2DD-2E44-B6F3-2A3EE456191D}" name="Semana" dataDxfId="93"/>
    <tableColumn id="2" xr3:uid="{409F2946-BC09-CA48-8543-0DB8C1CBAE56}" name="Fecha" dataDxfId="92"/>
    <tableColumn id="3" xr3:uid="{83574E78-FFBA-2944-B6A1-E534E11D8027}" name="Meta" dataDxfId="91" dataCellStyle="Currency"/>
    <tableColumn id="4" xr3:uid="{C49FB5C4-5C39-7D4A-A81D-C7E89AF4564E}" name="Cobranza" dataDxfId="90" dataCellStyle="Currency"/>
    <tableColumn id="5" xr3:uid="{B43EB9E6-1B45-8F4F-87E9-3A82481268FF}" name="Cumplimiento de Meta %" dataDxfId="89" dataCellStyle="Percent">
      <calculatedColumnFormula>D4/C4</calculatedColumnFormula>
    </tableColumn>
    <tableColumn id="6" xr3:uid="{C351A1B9-FFD3-9B4F-9F5E-4645FD1B7905}" name="% de Deuda" dataDxfId="88" dataCellStyle="Percent">
      <calculatedColumnFormula>IF(SUM($C$4:C4)-SUM($D$4:D4)&gt;0, (SUM($C$4:C4)-SUM($D$4:D4))/SUM($C$4:C4), 0)</calculatedColumnFormula>
    </tableColumn>
    <tableColumn id="7" xr3:uid="{2B74FA44-0C2D-FE4F-9B9C-7C52A50819BC}" name="Didiferencia Absoluta" dataDxfId="87">
      <calculatedColumnFormula>D4-C4</calculatedColumnFormula>
    </tableColumn>
  </tableColumns>
  <tableStyleInfo name="TableStyleMedium2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971FCE16-AD0C-0A47-B5C4-DB633387F2AF}" name="Table61" displayName="Table61" ref="A3:G9" totalsRowShown="0" headerRowDxfId="86" headerRowBorderDxfId="85" tableBorderDxfId="84" totalsRowBorderDxfId="83">
  <autoFilter ref="A3:G9" xr:uid="{971FCE16-AD0C-0A47-B5C4-DB633387F2AF}"/>
  <tableColumns count="7">
    <tableColumn id="1" xr3:uid="{8768B26D-A16A-2F4E-90AA-389E7C4ADC40}" name="Semana" dataDxfId="82"/>
    <tableColumn id="2" xr3:uid="{5C5C54F5-86F6-CA40-98C4-73067B772FC1}" name="Fecha" dataDxfId="81"/>
    <tableColumn id="3" xr3:uid="{6D9D010C-0B93-BD4D-95D8-BE34462C9341}" name="Meta" dataDxfId="80" dataCellStyle="Currency"/>
    <tableColumn id="4" xr3:uid="{05709377-1C1E-B341-8303-7107A666969B}" name="Cobranza" dataDxfId="79" dataCellStyle="Currency"/>
    <tableColumn id="5" xr3:uid="{86BB7282-388D-384F-A844-713331D01942}" name="Cumplimiento de Meta %" dataDxfId="78" dataCellStyle="Percent">
      <calculatedColumnFormula>D4/C4</calculatedColumnFormula>
    </tableColumn>
    <tableColumn id="6" xr3:uid="{11855581-441A-C545-BCDD-6DC0B47C4833}" name="% de Deuda" dataDxfId="77" dataCellStyle="Percent">
      <calculatedColumnFormula>IF(SUM($C$4:C4)-SUM($D$4:D4)&gt;0, (SUM($C$4:C4)-SUM($D$4:D4))/SUM($C$4:C4), 0)</calculatedColumnFormula>
    </tableColumn>
    <tableColumn id="7" xr3:uid="{9F42E0D9-9876-9049-8BE9-8910FAF3A10E}" name="Didiferencia Absoluta" dataDxfId="76">
      <calculatedColumnFormula>D4-C4</calculatedColumnFormula>
    </tableColumn>
  </tableColumns>
  <tableStyleInfo name="TableStyleMedium2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FF4A78E7-A8BB-0F40-A5B1-55B4535E074F}" name="Table62" displayName="Table62" ref="A3:G9" totalsRowShown="0" headerRowDxfId="75" headerRowBorderDxfId="74" tableBorderDxfId="73" totalsRowBorderDxfId="72">
  <autoFilter ref="A3:G9" xr:uid="{FF4A78E7-A8BB-0F40-A5B1-55B4535E074F}"/>
  <tableColumns count="7">
    <tableColumn id="1" xr3:uid="{3D32FA9B-62E5-A544-972B-3B766B097AD9}" name="Semana" dataDxfId="71"/>
    <tableColumn id="2" xr3:uid="{51DECC13-72CA-DD4B-BA3A-D2300D916D94}" name="Fecha" dataDxfId="70"/>
    <tableColumn id="3" xr3:uid="{36039DAA-18BA-2A49-BB2D-5ADE2D0CE8BD}" name="Meta" dataDxfId="69" dataCellStyle="Currency"/>
    <tableColumn id="4" xr3:uid="{659A4037-FF60-C845-B60E-D3B83F1D2D64}" name="Cobranza" dataDxfId="68" dataCellStyle="Currency"/>
    <tableColumn id="5" xr3:uid="{1EA50598-0F5E-6E4E-A07E-4F4235A3136A}" name="Cumplimiento de Meta %" dataDxfId="67" dataCellStyle="Percent"/>
    <tableColumn id="6" xr3:uid="{DC94D8D3-7D1C-5545-A7D9-501EF857CB43}" name="% de Deuda" dataDxfId="66" dataCellStyle="Percent">
      <calculatedColumnFormula>IF(SUM($C$4:C4)-SUM($D$4:D4)&gt;0, (SUM($C$4:C4)-SUM($D$4:D4))/SUM($C$4:C4), 0)</calculatedColumnFormula>
    </tableColumn>
    <tableColumn id="7" xr3:uid="{6172E7CB-E53F-2A44-8344-120A07579181}" name="Didiferencia Absoluta" dataDxfId="65">
      <calculatedColumnFormula>D4-C4</calculatedColumnFormula>
    </tableColumn>
  </tableColumns>
  <tableStyleInfo name="TableStyleMedium2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9AC752FE-66A0-5F4C-9A15-199FB11E1404}" name="Table63" displayName="Table63" ref="A3:G4" totalsRowShown="0" headerRowDxfId="64" headerRowBorderDxfId="63">
  <autoFilter ref="A3:G4" xr:uid="{9AC752FE-66A0-5F4C-9A15-199FB11E1404}"/>
  <tableColumns count="7">
    <tableColumn id="1" xr3:uid="{1BF315C1-96B4-8E4F-B8F5-884EBDF5784F}" name="Semana"/>
    <tableColumn id="2" xr3:uid="{C74E7304-0040-4048-B2CC-57173938A32E}" name="Fecha"/>
    <tableColumn id="3" xr3:uid="{B3BAECC7-EED1-DA45-B577-F3C3F42C6EA1}" name="Meta"/>
    <tableColumn id="4" xr3:uid="{F76C6C90-84FD-4844-9EB8-B7E007E5C682}" name="Cobranza"/>
    <tableColumn id="5" xr3:uid="{244901A3-A8F8-FF46-ABBB-603DAA56394B}" name="Cumplimiento de Meta %"/>
    <tableColumn id="6" xr3:uid="{D4C99270-DBF2-D34E-89CC-17544DFE74C6}" name="% de Deuda"/>
    <tableColumn id="7" xr3:uid="{FB056706-27F3-CF40-9F65-8971D801484B}" name="Didiferencia Absoluta"/>
  </tableColumns>
  <tableStyleInfo name="TableStyleMedium2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DFEBF829-731B-0443-B3FD-780D2CD1FCD8}" name="Table64" displayName="Table64" ref="A3:G8" totalsRowShown="0" headerRowDxfId="62" headerRowBorderDxfId="61">
  <autoFilter ref="A3:G8" xr:uid="{DFEBF829-731B-0443-B3FD-780D2CD1FCD8}"/>
  <tableColumns count="7">
    <tableColumn id="1" xr3:uid="{0D7E11AF-4E11-E949-A235-D8433176E0F9}" name="Semana" dataDxfId="60"/>
    <tableColumn id="2" xr3:uid="{D6AC056B-8D09-6740-8227-148B94E3E266}" name="Fecha" dataDxfId="59"/>
    <tableColumn id="3" xr3:uid="{E723E0AF-5D8F-4E46-A587-317E13DBBF28}" name="Meta"/>
    <tableColumn id="4" xr3:uid="{2DC437C8-E0E9-B549-B65E-03CC8293B338}" name="Cobranza"/>
    <tableColumn id="5" xr3:uid="{9E6538CF-CD57-654F-92CA-B2A9FE8DC656}" name="Cumplimiento de Meta %" dataDxfId="58" dataCellStyle="Percent">
      <calculatedColumnFormula>D4/C4</calculatedColumnFormula>
    </tableColumn>
    <tableColumn id="6" xr3:uid="{E55C3AA1-237B-3047-BABB-EBBF5A86EA2B}" name="% de Deuda" dataDxfId="57" dataCellStyle="Percent">
      <calculatedColumnFormula>IF(SUM($C$4:C4)-SUM($D$4:D4)&gt;0, (SUM($C$4:C4)-SUM($D$4:D4))/SUM($C$4:C4), 0)</calculatedColumnFormula>
    </tableColumn>
    <tableColumn id="7" xr3:uid="{A04E42FE-2953-014E-B193-B1C73671C59D}" name="Didiferencia Absoluta" dataDxfId="56">
      <calculatedColumnFormula>D4-C4</calculatedColumnFormula>
    </tableColumn>
  </tableColumns>
  <tableStyleInfo name="TableStyleMedium2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485EF92F-2ED7-6748-98E6-6723491A0102}" name="Table65" displayName="Table65" ref="A3:G7" totalsRowShown="0" headerRowDxfId="55" headerRowBorderDxfId="54">
  <autoFilter ref="A3:G7" xr:uid="{485EF92F-2ED7-6748-98E6-6723491A0102}"/>
  <tableColumns count="7">
    <tableColumn id="1" xr3:uid="{B736F5F4-A9C3-B24F-BCD6-7A72A880C236}" name="Semana"/>
    <tableColumn id="2" xr3:uid="{BD0371A9-D224-B94E-A260-93E93662F2EF}" name="Fecha" dataDxfId="53"/>
    <tableColumn id="3" xr3:uid="{823A6B84-7AE7-CC43-A240-36D137A5426E}" name="Meta" dataDxfId="52" dataCellStyle="Currency"/>
    <tableColumn id="4" xr3:uid="{3EF85F4D-1C30-144C-B421-2C1D2097D2F5}" name="Cobranza" dataDxfId="51"/>
    <tableColumn id="5" xr3:uid="{00BF947C-CE5A-AF48-A6AF-A7A396B7CFC9}" name="Cumplimiento de Meta %" dataDxfId="50" dataCellStyle="Percent">
      <calculatedColumnFormula>D4/C4</calculatedColumnFormula>
    </tableColumn>
    <tableColumn id="6" xr3:uid="{04EB846D-2409-0042-A6B9-EC86BDA9C03A}" name="% de Deuda" dataDxfId="2" dataCellStyle="Percent">
      <calculatedColumnFormula>IF(SUM($C$4:C4)-SUM($D$4:D4)&gt;0, (SUM($C$4:C4)-SUM($D$4:D4))/SUM($C$4:C4), 0)</calculatedColumnFormula>
    </tableColumn>
    <tableColumn id="7" xr3:uid="{74137FD4-1A48-0849-BC73-7F4E010DD1BA}" name="Didiferencia Absoluta" dataDxfId="49">
      <calculatedColumnFormula>D4-C4</calculatedColumnFormula>
    </tableColumn>
  </tableColumns>
  <tableStyleInfo name="TableStyleMedium2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0F3AA16C-8D9F-8446-A890-1FEAADC07927}" name="Table66" displayName="Table66" ref="A3:G9" totalsRowShown="0" headerRowDxfId="48" headerRowBorderDxfId="47">
  <autoFilter ref="A3:G9" xr:uid="{0F3AA16C-8D9F-8446-A890-1FEAADC07927}"/>
  <tableColumns count="7">
    <tableColumn id="1" xr3:uid="{A93EC323-89D9-1446-A741-9E49466C8131}" name="Semana" dataDxfId="46"/>
    <tableColumn id="2" xr3:uid="{442F79A8-DE2E-6141-9982-69057072231B}" name="Fecha" dataDxfId="45"/>
    <tableColumn id="3" xr3:uid="{10F7E439-C35A-0A44-967A-5CD42676D6DD}" name="Meta" dataDxfId="44" dataCellStyle="Currency"/>
    <tableColumn id="4" xr3:uid="{2A209BBC-0FC3-264E-A578-0487B58A4AFC}" name="Cobranza" dataDxfId="43" dataCellStyle="Currency"/>
    <tableColumn id="5" xr3:uid="{71C68EBF-4B2C-A74B-96B1-1DCD135FF1BF}" name="Cumplimiento de Meta %" dataDxfId="42" dataCellStyle="Percent">
      <calculatedColumnFormula>D4/C4</calculatedColumnFormula>
    </tableColumn>
    <tableColumn id="6" xr3:uid="{881FF9E1-2B4C-0A49-AE20-E892227DFDA4}" name="% de Deuda" dataDxfId="41" dataCellStyle="Percent">
      <calculatedColumnFormula>IF(SUM($C$4:C4)-SUM($D$4:D4)&gt;0, (SUM($C$4:C4)-SUM($D$4:D4))/SUM($C$4:C4), 0)</calculatedColumnFormula>
    </tableColumn>
    <tableColumn id="7" xr3:uid="{947F5305-590A-7742-8765-CBF1B03B9E42}" name="Didiferencia Absoluta" dataDxfId="40">
      <calculatedColumnFormula>D4-C4</calculatedColumnFormula>
    </tableColumn>
  </tableColumns>
  <tableStyleInfo name="TableStyleMedium2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DF626D8B-FD00-A04F-9C57-B35996DD5B8B}" name="Table67" displayName="Table67" ref="A3:G6" totalsRowShown="0" headerRowDxfId="39" headerRowBorderDxfId="38">
  <autoFilter ref="A3:G6" xr:uid="{DF626D8B-FD00-A04F-9C57-B35996DD5B8B}"/>
  <tableColumns count="7">
    <tableColumn id="1" xr3:uid="{7D870CA9-99F9-FA49-B504-357FA9AC2496}" name="Semana" dataDxfId="37"/>
    <tableColumn id="2" xr3:uid="{6C92E255-823C-E14B-A105-53408EAB660C}" name="Fecha" dataDxfId="36"/>
    <tableColumn id="3" xr3:uid="{18F35D2B-4FC8-3444-AB87-47329B67E041}" name="Meta" dataCellStyle="Currency"/>
    <tableColumn id="4" xr3:uid="{8CCD5354-3786-9E4D-BCB8-87A98A3DE93D}" name="Cobranza" dataCellStyle="Currency"/>
    <tableColumn id="5" xr3:uid="{078FC6A9-E85A-394D-B649-F02C1E228117}" name="Cumplimiento de Meta %" dataDxfId="35" dataCellStyle="Percent">
      <calculatedColumnFormula>D4/C4</calculatedColumnFormula>
    </tableColumn>
    <tableColumn id="6" xr3:uid="{A534B0B1-FCB0-0B45-8C0E-9710ADD49AEC}" name="% de Deuda" dataDxfId="34" dataCellStyle="Percent">
      <calculatedColumnFormula>IF(SUM($C$4:C4)-SUM($D$4:D4)&gt;0, (SUM($C$4:C4)-SUM($D$4:D4))/SUM($C$4:C4), 0)</calculatedColumnFormula>
    </tableColumn>
    <tableColumn id="7" xr3:uid="{C68CE43A-E3BF-4E49-AB61-FD1EB1B72065}" name="Didiferencia Absoluta" dataDxfId="33">
      <calculatedColumnFormula>D4-C4</calculatedColumnFormula>
    </tableColumn>
  </tableColumns>
  <tableStyleInfo name="TableStyleMedium2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15824602-BC4A-B247-A440-E5EF10E1321A}" name="Table70" displayName="Table70" ref="A3:G6" totalsRowShown="0" headerRowDxfId="32" headerRowBorderDxfId="31">
  <autoFilter ref="A3:G6" xr:uid="{15824602-BC4A-B247-A440-E5EF10E1321A}"/>
  <tableColumns count="7">
    <tableColumn id="1" xr3:uid="{AFF98614-7D4A-C241-93E2-423903654931}" name="Semana"/>
    <tableColumn id="2" xr3:uid="{106143CB-0104-7F4F-90B4-A87FF338C0C1}" name="Fecha"/>
    <tableColumn id="3" xr3:uid="{F20FF53B-14D0-A842-99E7-2C912E903328}" name="Meta"/>
    <tableColumn id="4" xr3:uid="{1A7CF8AF-381C-E442-B5BD-4A2DEFCC800E}" name="Cobranza"/>
    <tableColumn id="5" xr3:uid="{51A429CB-59A3-0543-956C-19DE7AAE4CDB}" name="Cumplimiento de Meta %"/>
    <tableColumn id="6" xr3:uid="{E1359E93-E562-FF4E-9754-45C90D3B2E25}" name="% de Deuda"/>
    <tableColumn id="7" xr3:uid="{CF89E2DB-9DA4-A14F-AD69-F8B58D74C811}" name="Didiferencia Absoluta"/>
  </tableColumns>
  <tableStyleInfo name="TableStyleMedium2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B6CBB7F8-252E-374C-82A1-22CBA87FDE77}" name="Table71" displayName="Table71" ref="A3:G5" totalsRowShown="0" headerRowDxfId="30" headerRowBorderDxfId="29">
  <autoFilter ref="A3:G5" xr:uid="{B6CBB7F8-252E-374C-82A1-22CBA87FDE77}"/>
  <tableColumns count="7">
    <tableColumn id="1" xr3:uid="{3484BBD8-D2CA-5243-B912-685E0D126589}" name="Semana"/>
    <tableColumn id="2" xr3:uid="{5DA67239-E261-6D4A-992E-86CC33058447}" name="Fecha"/>
    <tableColumn id="3" xr3:uid="{0FD39B45-5672-0E46-A917-E33397AFE1B7}" name="Meta"/>
    <tableColumn id="4" xr3:uid="{CA9FB8E0-229F-1646-BABF-7734E936F80C}" name="Cobranza"/>
    <tableColumn id="5" xr3:uid="{18AC45BC-B582-5943-AB32-5F1AB24F9B21}" name="Cumplimiento de Meta %"/>
    <tableColumn id="6" xr3:uid="{A3EDC603-6807-A549-998C-B24AA88AFB02}" name="% de Deuda"/>
    <tableColumn id="7" xr3:uid="{DE2E5F46-AD47-2948-8CE8-4E5ED82BA2E9}" name="Didiferencia Absoluta"/>
  </tableColumns>
  <tableStyleInfo name="TableStyleMedium2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1C176196-5B6F-1149-B34F-CBC781E3FB8C}" name="Table72" displayName="Table72" ref="A3:G7" totalsRowShown="0" headerRowDxfId="28" headerRowBorderDxfId="27">
  <autoFilter ref="A3:G7" xr:uid="{1C176196-5B6F-1149-B34F-CBC781E3FB8C}"/>
  <tableColumns count="7">
    <tableColumn id="1" xr3:uid="{6F3D86E4-9EB9-DD40-BA73-0472D5461E6B}" name="Semana"/>
    <tableColumn id="2" xr3:uid="{0792444B-A8BB-3841-9F85-DE37D8EB0747}" name="Fecha" dataDxfId="26"/>
    <tableColumn id="3" xr3:uid="{F25916F9-EC0F-DF4A-92C7-BE489C670AFC}" name="Meta" dataDxfId="25" dataCellStyle="Currency"/>
    <tableColumn id="4" xr3:uid="{83701925-E442-134D-905D-46AFC09FFA66}" name="Cobranza" dataDxfId="24" dataCellStyle="Currency"/>
    <tableColumn id="5" xr3:uid="{D489872C-2AB0-0140-81FC-0D5FE2D01AA8}" name="Cumplimiento de Meta %">
      <calculatedColumnFormula>D4/C4</calculatedColumnFormula>
    </tableColumn>
    <tableColumn id="6" xr3:uid="{D632C794-8FBB-EF49-B578-15ACC48A9EF7}" name="% de Deuda">
      <calculatedColumnFormula>IF(SUM($C$4:C4)-SUM($D$4:D4)&gt;0, (SUM($C$4:C4)-SUM($D$4:D4))/SUM($C$4:C4), 0)</calculatedColumnFormula>
    </tableColumn>
    <tableColumn id="7" xr3:uid="{486391EB-9375-DD47-9D5E-27D1A3AC8B54}" name="Didiferencia Absoluta">
      <calculatedColumnFormula>D4-C4</calculatedColumnFormula>
    </tableColumn>
  </tableColumns>
  <tableStyleInfo name="TableStyleMedium2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D5137FF1-9230-1747-AC33-77B900169B9E}" name="Table73" displayName="Table73" ref="A3:G5" totalsRowShown="0" headerRowDxfId="23" headerRowBorderDxfId="22">
  <autoFilter ref="A3:G5" xr:uid="{D5137FF1-9230-1747-AC33-77B900169B9E}"/>
  <tableColumns count="7">
    <tableColumn id="1" xr3:uid="{155CBA51-9309-A348-81B4-89E41D7813D0}" name="Semana"/>
    <tableColumn id="2" xr3:uid="{A7B552A2-8C84-6A4A-8B9F-AE8AA5F573BF}" name="Fecha" dataDxfId="21"/>
    <tableColumn id="3" xr3:uid="{2757EA30-9CD2-C24C-ADB5-1367675525CF}" name="Meta" dataCellStyle="Currency"/>
    <tableColumn id="4" xr3:uid="{6D496C78-592D-6040-BEF6-1EA82CFC1DB4}" name="Cobranza" dataCellStyle="Currency"/>
    <tableColumn id="5" xr3:uid="{557851B7-83FE-4246-83C7-2BE8FD76A2AD}" name="Cumplimiento de Meta %" dataDxfId="20" dataCellStyle="Percent">
      <calculatedColumnFormula>D4/C4</calculatedColumnFormula>
    </tableColumn>
    <tableColumn id="6" xr3:uid="{2C08C713-7D83-794E-B9A1-623F67FE1EAB}" name="% de Deuda" dataDxfId="1" dataCellStyle="Percent">
      <calculatedColumnFormula>IF(SUM($C$4:C4)-SUM($D$4:D4)&gt;0, (SUM($C$4:C4)-SUM($D$4:D4))/SUM($C$4:C4), 0)</calculatedColumnFormula>
    </tableColumn>
    <tableColumn id="7" xr3:uid="{10C63A18-BA84-6B48-ADD5-4DA3D3DB4474}" name="Didiferencia Absoluta" dataDxfId="19">
      <calculatedColumnFormula>D4-C4</calculatedColumnFormula>
    </tableColumn>
  </tableColumns>
  <tableStyleInfo name="TableStyleMedium2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776D631C-32BA-F540-A642-806BC39C2936}" name="Table74" displayName="Table74" ref="A3:G5" totalsRowShown="0" headerRowDxfId="18" headerRowBorderDxfId="17">
  <autoFilter ref="A3:G5" xr:uid="{776D631C-32BA-F540-A642-806BC39C2936}"/>
  <tableColumns count="7">
    <tableColumn id="1" xr3:uid="{8EC16A01-66DB-804E-9F33-C9A677E40451}" name="Semana"/>
    <tableColumn id="2" xr3:uid="{1028CB07-25D6-554B-87D0-0DB438925180}" name="Fecha" dataDxfId="16"/>
    <tableColumn id="3" xr3:uid="{0FB34114-3D1C-5643-B733-684E2BCD18B3}" name="Meta" dataCellStyle="Currency"/>
    <tableColumn id="4" xr3:uid="{6EBCD7A4-A5EC-6C48-B134-CB2948E51AA0}" name="Cobranza" dataCellStyle="Currency"/>
    <tableColumn id="5" xr3:uid="{17E2966C-6F97-3847-8376-1F805C2122A3}" name="Cumplimiento de Meta %" dataDxfId="15" dataCellStyle="Percent">
      <calculatedColumnFormula>D4/C4</calculatedColumnFormula>
    </tableColumn>
    <tableColumn id="6" xr3:uid="{D209A872-F4BD-EC40-B71A-7B324A37DB6C}" name="% de Deuda" dataDxfId="0" dataCellStyle="Percent">
      <calculatedColumnFormula>IF(SUM($C$4:C4)-SUM($D$4:D4)&gt;0, (SUM($C$4:C4)-SUM($D$4:D4))/SUM($C$4:C4), 0)</calculatedColumnFormula>
    </tableColumn>
    <tableColumn id="7" xr3:uid="{1A001F15-7E22-5940-A020-40AF0A08A828}" name="Didiferencia Absoluta" dataDxfId="14">
      <calculatedColumnFormula>D4-C4</calculatedColumnFormula>
    </tableColumn>
  </tableColumns>
  <tableStyleInfo name="TableStyleMedium2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73C1B927-9C0A-7D47-A699-0DE890C4B05A}" name="Table75" displayName="Table75" ref="A3:G5" totalsRowShown="0" headerRowDxfId="13" headerRowBorderDxfId="12" tableBorderDxfId="11" totalsRowBorderDxfId="10">
  <autoFilter ref="A3:G5" xr:uid="{73C1B927-9C0A-7D47-A699-0DE890C4B05A}"/>
  <tableColumns count="7">
    <tableColumn id="1" xr3:uid="{40B7974B-677C-3D43-AD9D-9C2EDD815EBF}" name="Semana" dataDxfId="9"/>
    <tableColumn id="2" xr3:uid="{E546B208-02EF-204F-9A14-D34295378B6E}" name="Fecha" dataDxfId="8"/>
    <tableColumn id="3" xr3:uid="{BFECC33B-18DC-0143-9F45-8F2D2A9A0825}" name="Meta" dataDxfId="7" dataCellStyle="Currency"/>
    <tableColumn id="4" xr3:uid="{9AD3D259-13BD-3E4B-8758-B016474F61CE}" name="Cobranza" dataDxfId="6" dataCellStyle="Currency"/>
    <tableColumn id="5" xr3:uid="{B106E993-D15D-4549-936E-4C6802CDE41A}" name="Cumplimiento de Meta %" dataDxfId="5" dataCellStyle="Percent">
      <calculatedColumnFormula>D4/C4</calculatedColumnFormula>
    </tableColumn>
    <tableColumn id="6" xr3:uid="{C0CF5B8F-3D1F-7B4A-8370-677CC12AB127}" name="% de Deuda" dataDxfId="4" dataCellStyle="Percent">
      <calculatedColumnFormula>IF(SUM($C$4:C5)-SUM($D$4:D5)&gt;0, (SUM($C$4:C5)-SUM($D$4:D5))/SUM($C$4:C5), 0)</calculatedColumnFormula>
    </tableColumn>
    <tableColumn id="7" xr3:uid="{C7BDBA2D-EBD1-0247-99E0-EE5E40AA05A9}" name="Didiferencia Absoluta" dataDxfId="3">
      <calculatedColumnFormula>D4-C4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drawing" Target="../drawings/drawing16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drawing" Target="../drawings/drawing17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drawing" Target="../drawings/drawing18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drawing" Target="../drawings/drawing19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drawing" Target="../drawings/drawing20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drawing" Target="../drawings/drawing21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drawing" Target="../drawings/drawing22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drawing" Target="../drawings/drawing23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drawing" Target="../drawings/drawing24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drawing" Target="../drawings/drawing25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drawing" Target="../drawings/drawing26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drawing" Target="../drawings/drawing27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drawing" Target="../drawings/drawing28.x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drawing" Target="../drawings/drawing29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drawing" Target="../drawings/drawing30.x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drawing" Target="../drawings/drawing31.x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3.xml"/><Relationship Id="rId1" Type="http://schemas.openxmlformats.org/officeDocument/2006/relationships/drawing" Target="../drawings/drawing32.x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4.xml"/><Relationship Id="rId1" Type="http://schemas.openxmlformats.org/officeDocument/2006/relationships/drawing" Target="../drawings/drawing33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6.xml"/><Relationship Id="rId1" Type="http://schemas.openxmlformats.org/officeDocument/2006/relationships/drawing" Target="../drawings/drawing34.x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7.xml"/><Relationship Id="rId1" Type="http://schemas.openxmlformats.org/officeDocument/2006/relationships/drawing" Target="../drawings/drawing35.x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8.xml"/><Relationship Id="rId1" Type="http://schemas.openxmlformats.org/officeDocument/2006/relationships/drawing" Target="../drawings/drawing36.x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9.xml"/><Relationship Id="rId1" Type="http://schemas.openxmlformats.org/officeDocument/2006/relationships/drawing" Target="../drawings/drawing37.x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0.xml"/><Relationship Id="rId1" Type="http://schemas.openxmlformats.org/officeDocument/2006/relationships/drawing" Target="../drawings/drawing38.xm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1.xml"/><Relationship Id="rId1" Type="http://schemas.openxmlformats.org/officeDocument/2006/relationships/drawing" Target="../drawings/drawing39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3.xml"/><Relationship Id="rId1" Type="http://schemas.openxmlformats.org/officeDocument/2006/relationships/drawing" Target="../drawings/drawing40.xm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4.xml"/><Relationship Id="rId1" Type="http://schemas.openxmlformats.org/officeDocument/2006/relationships/drawing" Target="../drawings/drawing41.xm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5.xml"/><Relationship Id="rId1" Type="http://schemas.openxmlformats.org/officeDocument/2006/relationships/drawing" Target="../drawings/drawing42.xm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6.xml"/><Relationship Id="rId1" Type="http://schemas.openxmlformats.org/officeDocument/2006/relationships/drawing" Target="../drawings/drawing43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8.xml"/><Relationship Id="rId1" Type="http://schemas.openxmlformats.org/officeDocument/2006/relationships/drawing" Target="../drawings/drawing44.xm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9.xml"/><Relationship Id="rId1" Type="http://schemas.openxmlformats.org/officeDocument/2006/relationships/drawing" Target="../drawings/drawing45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1.xml"/><Relationship Id="rId1" Type="http://schemas.openxmlformats.org/officeDocument/2006/relationships/drawing" Target="../drawings/drawing46.xm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2.xml"/><Relationship Id="rId1" Type="http://schemas.openxmlformats.org/officeDocument/2006/relationships/drawing" Target="../drawings/drawing47.xml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3.xml"/><Relationship Id="rId1" Type="http://schemas.openxmlformats.org/officeDocument/2006/relationships/drawing" Target="../drawings/drawing48.xm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4.xml"/><Relationship Id="rId1" Type="http://schemas.openxmlformats.org/officeDocument/2006/relationships/drawing" Target="../drawings/drawing49.xml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5.xml"/><Relationship Id="rId1" Type="http://schemas.openxmlformats.org/officeDocument/2006/relationships/drawing" Target="../drawings/drawing50.xm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6.xml"/><Relationship Id="rId1" Type="http://schemas.openxmlformats.org/officeDocument/2006/relationships/drawing" Target="../drawings/drawing51.xm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7.xml"/><Relationship Id="rId1" Type="http://schemas.openxmlformats.org/officeDocument/2006/relationships/drawing" Target="../drawings/drawing52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9.xml"/><Relationship Id="rId1" Type="http://schemas.openxmlformats.org/officeDocument/2006/relationships/drawing" Target="../drawings/drawing53.xml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0.xml"/><Relationship Id="rId1" Type="http://schemas.openxmlformats.org/officeDocument/2006/relationships/drawing" Target="../drawings/drawing54.xm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1.xml"/><Relationship Id="rId1" Type="http://schemas.openxmlformats.org/officeDocument/2006/relationships/drawing" Target="../drawings/drawing55.xm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2.xml"/><Relationship Id="rId1" Type="http://schemas.openxmlformats.org/officeDocument/2006/relationships/drawing" Target="../drawings/drawing56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0C9D4-C12F-DC40-9D8B-F094C133C72A}">
  <dimension ref="A1:F74"/>
  <sheetViews>
    <sheetView topLeftCell="A15" zoomScaleNormal="100" workbookViewId="0">
      <selection activeCell="G76" sqref="G76"/>
    </sheetView>
  </sheetViews>
  <sheetFormatPr baseColWidth="10" defaultRowHeight="16" x14ac:dyDescent="0.2"/>
  <cols>
    <col min="2" max="2" width="44.33203125" bestFit="1" customWidth="1"/>
    <col min="3" max="4" width="17.83203125" bestFit="1" customWidth="1"/>
    <col min="5" max="5" width="13" bestFit="1" customWidth="1"/>
    <col min="6" max="6" width="18.5" bestFit="1" customWidth="1"/>
    <col min="7" max="7" width="18.33203125" bestFit="1" customWidth="1"/>
  </cols>
  <sheetData>
    <row r="1" spans="1:6" x14ac:dyDescent="0.2">
      <c r="A1" s="2" t="s">
        <v>156</v>
      </c>
      <c r="B1" s="2" t="s">
        <v>42</v>
      </c>
      <c r="C1" s="2" t="s">
        <v>41</v>
      </c>
      <c r="D1" s="2" t="s">
        <v>37</v>
      </c>
      <c r="E1" s="2" t="s">
        <v>38</v>
      </c>
      <c r="F1" s="2" t="s">
        <v>52</v>
      </c>
    </row>
    <row r="2" spans="1:6" x14ac:dyDescent="0.2">
      <c r="A2" t="s">
        <v>25</v>
      </c>
      <c r="B2" s="8" t="str">
        <f>'P1'!$I$2</f>
        <v>MARIA LIZETTE HERNANDEZ LEDESMA</v>
      </c>
      <c r="C2" s="18">
        <f>'P1'!$M$3</f>
        <v>6.5333333333333332</v>
      </c>
      <c r="D2" s="17">
        <f>'P1'!$J$3</f>
        <v>0.5714285714285714</v>
      </c>
      <c r="E2" s="6">
        <f>'P1'!$J$7</f>
        <v>-1700</v>
      </c>
      <c r="F2" s="17">
        <f>'P1'!J8</f>
        <v>2.3859649122807018E-2</v>
      </c>
    </row>
    <row r="3" spans="1:6" ht="16" customHeight="1" x14ac:dyDescent="0.2">
      <c r="A3" t="s">
        <v>26</v>
      </c>
      <c r="B3" s="8" t="str">
        <f>'P2'!$I$2</f>
        <v>YADIRA PEDRAZA MENDOZA</v>
      </c>
      <c r="C3" s="18">
        <f>'P2'!$M$3</f>
        <v>5.1333333333333337</v>
      </c>
      <c r="D3" s="17">
        <f>'P2'!$J$3</f>
        <v>0.40909090909090912</v>
      </c>
      <c r="E3" s="6">
        <f>'P2'!$J$7</f>
        <v>-44600</v>
      </c>
      <c r="F3" s="17">
        <f>'P2'!$J$8</f>
        <v>0.33826317785362153</v>
      </c>
    </row>
    <row r="4" spans="1:6" ht="16" customHeight="1" x14ac:dyDescent="0.2">
      <c r="A4" s="26" t="s">
        <v>27</v>
      </c>
      <c r="B4" s="27" t="str">
        <f>'P3'!$I$2</f>
        <v>ALFREDO MARTINEZ ZAMORA</v>
      </c>
      <c r="C4" s="28">
        <f>'P3'!$M$3</f>
        <v>0</v>
      </c>
      <c r="D4" s="29"/>
      <c r="E4" s="30">
        <f>'P3'!$J$7</f>
        <v>0</v>
      </c>
      <c r="F4" s="29"/>
    </row>
    <row r="5" spans="1:6" x14ac:dyDescent="0.2">
      <c r="A5" t="s">
        <v>28</v>
      </c>
      <c r="B5" s="8" t="str">
        <f>'P4'!$I$2</f>
        <v>RUTH LOPEZ ROSALES</v>
      </c>
      <c r="C5" s="18">
        <f>'P4'!$M$3</f>
        <v>9.1</v>
      </c>
      <c r="D5" s="17">
        <f>'P4'!$J$3</f>
        <v>0.82051282051282048</v>
      </c>
      <c r="E5" s="6">
        <f>'P4'!$J$7</f>
        <v>1600</v>
      </c>
      <c r="F5" s="17">
        <f>'P4'!$J$8</f>
        <v>-1.2171928489920122E-2</v>
      </c>
    </row>
    <row r="6" spans="1:6" x14ac:dyDescent="0.2">
      <c r="A6" t="s">
        <v>29</v>
      </c>
      <c r="B6" s="8" t="str">
        <f>'P5'!$I$2</f>
        <v>BEATRIZ ADRIANA GOMEZ MATA</v>
      </c>
      <c r="C6" s="18">
        <f>'P5'!$M$3</f>
        <v>9.3333333333333339</v>
      </c>
      <c r="D6" s="17">
        <f>'P5'!$J$3</f>
        <v>0.92500000000000004</v>
      </c>
      <c r="E6" s="6">
        <f>'P5'!$J$7</f>
        <v>200</v>
      </c>
      <c r="F6" s="17">
        <f>'P5'!$J$8</f>
        <v>-7.7972709551656916E-3</v>
      </c>
    </row>
    <row r="7" spans="1:6" x14ac:dyDescent="0.2">
      <c r="A7" t="s">
        <v>30</v>
      </c>
      <c r="B7" s="8" t="str">
        <f>'P6'!$I$2</f>
        <v>ANA LAURA AVILA OLIVA</v>
      </c>
      <c r="C7" s="18">
        <f>'P6'!$M$3</f>
        <v>9.1</v>
      </c>
      <c r="D7" s="17">
        <f>'P6'!$J$3</f>
        <v>0.74358974358974361</v>
      </c>
      <c r="E7" s="6">
        <f>'P6'!$J$7</f>
        <v>-700</v>
      </c>
      <c r="F7" s="17">
        <f>'P6'!$J$8</f>
        <v>4.1791044776119404E-2</v>
      </c>
    </row>
    <row r="8" spans="1:6" x14ac:dyDescent="0.2">
      <c r="A8" t="s">
        <v>31</v>
      </c>
      <c r="B8" s="8" t="str">
        <f>'P7'!$I$2</f>
        <v>ANGELA GAONA DELGADO</v>
      </c>
      <c r="C8" s="18">
        <f>'P7'!$M$3</f>
        <v>8.6333333333333329</v>
      </c>
      <c r="D8" s="17">
        <f>'P7'!$J$3</f>
        <v>0.91891891891891897</v>
      </c>
      <c r="E8" s="6">
        <f>'P7'!$J$7</f>
        <v>850</v>
      </c>
      <c r="F8" s="17">
        <f>'P7'!$J$8</f>
        <v>-1.9428571428571427E-2</v>
      </c>
    </row>
    <row r="9" spans="1:6" x14ac:dyDescent="0.2">
      <c r="A9" t="s">
        <v>32</v>
      </c>
      <c r="B9" s="8" t="str">
        <f>'P8'!$I$2</f>
        <v>NORMA YAZMIN RIOS ESPARZA</v>
      </c>
      <c r="C9" s="18">
        <f>'P8'!$M$3</f>
        <v>8.6333333333333329</v>
      </c>
      <c r="D9" s="17" t="e">
        <f>'P8'!$J$3</f>
        <v>#DIV/0!</v>
      </c>
      <c r="E9" s="6">
        <f>'P8'!$J$7</f>
        <v>1050</v>
      </c>
      <c r="F9" s="17">
        <f>'P8'!$J$8</f>
        <v>-5.7534246575342465E-2</v>
      </c>
    </row>
    <row r="10" spans="1:6" x14ac:dyDescent="0.2">
      <c r="A10" t="s">
        <v>33</v>
      </c>
      <c r="B10" s="8" t="str">
        <f>'P9'!$I$2</f>
        <v>DANIELA ESCOBEDO ALBA</v>
      </c>
      <c r="C10" s="18">
        <f>'P9'!$M$3</f>
        <v>8.6333333333333329</v>
      </c>
      <c r="D10" s="17">
        <f>'P9'!$J$3</f>
        <v>0.54054054054054057</v>
      </c>
      <c r="E10" s="6">
        <f>'P9'!$J$7</f>
        <v>-10250</v>
      </c>
      <c r="F10" s="17">
        <f>'P9'!$J$8</f>
        <v>0.16914191419141913</v>
      </c>
    </row>
    <row r="11" spans="1:6" x14ac:dyDescent="0.2">
      <c r="A11" t="s">
        <v>34</v>
      </c>
      <c r="B11" s="8" t="str">
        <f>'P10'!$I$2</f>
        <v>NOEMI ELIZABETH LOPEZ JIMENEZ</v>
      </c>
      <c r="C11" s="18">
        <f>'P10'!$M$3</f>
        <v>8.4</v>
      </c>
      <c r="D11" s="17" t="e">
        <f>'P10'!$J$3</f>
        <v>#DIV/0!</v>
      </c>
      <c r="E11" s="6">
        <f>'P10'!$J$7</f>
        <v>-14845</v>
      </c>
      <c r="F11" s="17">
        <f>'P10'!$J$8</f>
        <v>7.8441215323645966E-2</v>
      </c>
    </row>
    <row r="12" spans="1:6" x14ac:dyDescent="0.2">
      <c r="A12" t="s">
        <v>35</v>
      </c>
      <c r="B12" s="8" t="str">
        <f>'P11'!$I$2</f>
        <v>MARIA DEL REFUGIO GOMEZ LEDESMA</v>
      </c>
      <c r="C12" s="18">
        <f>'P11'!$M$3</f>
        <v>7</v>
      </c>
      <c r="D12" s="17" t="e">
        <f>'P11'!$J$3</f>
        <v>#DIV/0!</v>
      </c>
      <c r="E12" s="6">
        <f>'P11'!$J$7</f>
        <v>-15600</v>
      </c>
      <c r="F12" s="17">
        <f>'P11'!$J$8</f>
        <v>0.17285318559556787</v>
      </c>
    </row>
    <row r="13" spans="1:6" x14ac:dyDescent="0.2">
      <c r="A13" t="s">
        <v>36</v>
      </c>
      <c r="B13" s="8" t="str">
        <f>'P12'!$I$2</f>
        <v>YULI VIRGINIA HERNANDEZ AGUIÑAGA</v>
      </c>
      <c r="C13" s="18">
        <f>'P12'!$M$3</f>
        <v>6.7666666666666666</v>
      </c>
      <c r="D13" s="17">
        <f>'P12'!$J$3</f>
        <v>0.65517241379310343</v>
      </c>
      <c r="E13" s="6">
        <f>'P12'!$J$7</f>
        <v>-5850</v>
      </c>
      <c r="F13" s="17">
        <f>'P12'!$J$8</f>
        <v>3.0108080288214101E-2</v>
      </c>
    </row>
    <row r="14" spans="1:6" x14ac:dyDescent="0.2">
      <c r="A14" t="s">
        <v>44</v>
      </c>
      <c r="B14" s="8" t="str">
        <f>'P13'!$I$2</f>
        <v>DIANA EVELYN VILLALPANDO AGUILERA</v>
      </c>
      <c r="C14" s="18">
        <f>'P13'!$M$3</f>
        <v>6.5333333333333332</v>
      </c>
      <c r="D14" s="17">
        <f>'P13'!$J$3</f>
        <v>0.5357142857142857</v>
      </c>
      <c r="E14" s="6">
        <f>'P13'!$J$7</f>
        <v>-11740</v>
      </c>
      <c r="F14" s="17">
        <f>'P13'!$J$8</f>
        <v>0.40636898580823816</v>
      </c>
    </row>
    <row r="15" spans="1:6" x14ac:dyDescent="0.2">
      <c r="A15" t="s">
        <v>45</v>
      </c>
      <c r="B15" s="8" t="str">
        <f>'P14'!$I$2</f>
        <v>MARIA PLUVIA JIMENEZ ARAIZA</v>
      </c>
      <c r="C15" s="18">
        <f>'P14'!$M$3</f>
        <v>6.3</v>
      </c>
      <c r="D15" s="17">
        <f>'P14'!$J$3</f>
        <v>0.7407407407407407</v>
      </c>
      <c r="E15" s="6">
        <f>'P14'!$J$7</f>
        <v>-3850</v>
      </c>
      <c r="F15" s="17">
        <f>'P14'!$J$8</f>
        <v>2.4070021881838075E-2</v>
      </c>
    </row>
    <row r="16" spans="1:6" x14ac:dyDescent="0.2">
      <c r="A16" t="s">
        <v>46</v>
      </c>
      <c r="B16" s="8" t="str">
        <f>'P15'!$I$2</f>
        <v>LORENA LIZBETH BARAJAS SANTILLAN</v>
      </c>
      <c r="C16" s="18">
        <f>'P15'!$M$3</f>
        <v>6.3</v>
      </c>
      <c r="D16" s="17" t="e">
        <f>'P15'!$J$3</f>
        <v>#DIV/0!</v>
      </c>
      <c r="E16" s="6">
        <f>'P15'!$J$7</f>
        <v>-47300</v>
      </c>
      <c r="F16" s="17">
        <f>'P15'!$J$8</f>
        <v>0.63404825737265413</v>
      </c>
    </row>
    <row r="17" spans="1:6" x14ac:dyDescent="0.2">
      <c r="A17" s="32" t="s">
        <v>51</v>
      </c>
      <c r="B17" s="33" t="str">
        <f>'P16'!$I$2</f>
        <v>ALEJANDRA GUADALUPE ESPERZA OCHOA</v>
      </c>
      <c r="C17" s="34"/>
      <c r="D17" s="35"/>
      <c r="E17" s="36"/>
      <c r="F17" s="35"/>
    </row>
    <row r="18" spans="1:6" x14ac:dyDescent="0.2">
      <c r="A18" t="s">
        <v>47</v>
      </c>
      <c r="B18" s="8" t="str">
        <f>'P17'!$I$2</f>
        <v>JUANA MARIA HERNANDEZ</v>
      </c>
      <c r="C18" s="18">
        <f>'P17'!$M$3</f>
        <v>5.833333333333333</v>
      </c>
      <c r="D18" s="17">
        <f>'P17'!$J$3</f>
        <v>0.32</v>
      </c>
      <c r="E18" s="6">
        <f>'P17'!$J$7</f>
        <v>-26900</v>
      </c>
      <c r="F18" s="17">
        <f>'P17'!$J$8</f>
        <v>0.30039084310441094</v>
      </c>
    </row>
    <row r="19" spans="1:6" x14ac:dyDescent="0.2">
      <c r="A19" t="s">
        <v>55</v>
      </c>
      <c r="B19" s="8" t="str">
        <f>'P18'!$I$2</f>
        <v>DULCE MARIA HERNANDEZ TELLES</v>
      </c>
      <c r="C19" s="18">
        <f>'P18'!$M$3</f>
        <v>5.833333333333333</v>
      </c>
      <c r="D19" s="17">
        <f>'P18'!$J$3</f>
        <v>0.24</v>
      </c>
      <c r="E19" s="6">
        <f>'P18'!$J$7</f>
        <v>-40250</v>
      </c>
      <c r="F19" s="17">
        <f>'P18'!$J$8</f>
        <v>0.4039136979427998</v>
      </c>
    </row>
    <row r="20" spans="1:6" x14ac:dyDescent="0.2">
      <c r="A20" t="s">
        <v>56</v>
      </c>
      <c r="B20" s="8" t="str">
        <f>'P19'!$I$2</f>
        <v>JUDITH ELENA DAVILA PONCE</v>
      </c>
      <c r="C20" s="18">
        <f>'P19'!$M$3</f>
        <v>5.833333333333333</v>
      </c>
      <c r="D20" s="17" t="e">
        <f>'P19'!$J$3</f>
        <v>#DIV/0!</v>
      </c>
      <c r="E20" s="6">
        <f>'P19'!$J$7</f>
        <v>-57000</v>
      </c>
      <c r="F20" s="17">
        <f>'P19'!$J$8</f>
        <v>0.54597701149425293</v>
      </c>
    </row>
    <row r="21" spans="1:6" x14ac:dyDescent="0.2">
      <c r="A21" t="s">
        <v>57</v>
      </c>
      <c r="B21" s="8" t="str">
        <f>'P20'!$I$2</f>
        <v>FABIOLA ZAVALA PEREZ</v>
      </c>
      <c r="C21" s="18">
        <f>'P20'!$M$3</f>
        <v>5.6</v>
      </c>
      <c r="D21" s="17">
        <f>'P20'!$J$3</f>
        <v>0.33333333333333331</v>
      </c>
      <c r="E21" s="6">
        <f>'P20'!$J$7</f>
        <v>-17760</v>
      </c>
      <c r="F21" s="17">
        <f>'P20'!$J$8</f>
        <v>0.10946070878274268</v>
      </c>
    </row>
    <row r="22" spans="1:6" x14ac:dyDescent="0.2">
      <c r="A22" t="s">
        <v>58</v>
      </c>
      <c r="B22" s="8" t="str">
        <f>'P21'!$I$2</f>
        <v>MARIA PASCUALA ORTIZ CHAVEZ</v>
      </c>
      <c r="C22" s="18">
        <f>'P21'!$M$3</f>
        <v>5.6</v>
      </c>
      <c r="D22" s="17">
        <f>'P21'!$J$3</f>
        <v>0.41666666666666669</v>
      </c>
      <c r="E22" s="6">
        <f>'P21'!$J$7</f>
        <v>-33300</v>
      </c>
      <c r="F22" s="17">
        <f>'P21'!$J$8</f>
        <v>0.28328370905997446</v>
      </c>
    </row>
    <row r="23" spans="1:6" x14ac:dyDescent="0.2">
      <c r="A23" t="s">
        <v>63</v>
      </c>
      <c r="B23" s="8" t="str">
        <f>'P22'!$I$2</f>
        <v>MARIA BERTHA BALDERAS SALAZAR</v>
      </c>
      <c r="C23" s="18">
        <f>'P22'!$M$3</f>
        <v>5.6</v>
      </c>
      <c r="D23" s="17">
        <f>'P22'!$J$3</f>
        <v>0.41666666666666669</v>
      </c>
      <c r="E23" s="6">
        <f>'P22'!$J$7</f>
        <v>-13850</v>
      </c>
      <c r="F23" s="17">
        <f>'P22'!$J$8</f>
        <v>7.8537000283527073E-2</v>
      </c>
    </row>
    <row r="24" spans="1:6" x14ac:dyDescent="0.2">
      <c r="A24" t="s">
        <v>65</v>
      </c>
      <c r="B24" s="8" t="str">
        <f>'P23'!$I$2</f>
        <v>ANA LILIA ESCAMILLA VICENTE</v>
      </c>
      <c r="C24" s="18">
        <f>'P23'!$M$3</f>
        <v>5.1333333333333337</v>
      </c>
      <c r="D24" s="17" t="e">
        <f>'P23'!$J$3</f>
        <v>#DIV/0!</v>
      </c>
      <c r="E24" s="6">
        <f>'P23'!$J$7</f>
        <v>-9500</v>
      </c>
      <c r="F24" s="17">
        <f>'P23'!$J$8</f>
        <v>0.32646048109965636</v>
      </c>
    </row>
    <row r="25" spans="1:6" x14ac:dyDescent="0.2">
      <c r="A25" t="s">
        <v>66</v>
      </c>
      <c r="B25" s="8" t="str">
        <f>'P24'!$I$2</f>
        <v>SILVIA MANDUJANO CARDENAS</v>
      </c>
      <c r="C25" s="18">
        <f>'P24'!$M$3</f>
        <v>5.3666666666666663</v>
      </c>
      <c r="D25" s="17">
        <f>'P24'!$J$3</f>
        <v>0.43478260869565216</v>
      </c>
      <c r="E25" s="6">
        <f>'P24'!$J$7</f>
        <v>-24800</v>
      </c>
      <c r="F25" s="17">
        <f>'P24'!$J$8</f>
        <v>0.16511318242343542</v>
      </c>
    </row>
    <row r="26" spans="1:6" x14ac:dyDescent="0.2">
      <c r="A26" t="s">
        <v>67</v>
      </c>
      <c r="B26" s="8" t="str">
        <f>'P25'!$I$2</f>
        <v>MARIA DE LA LUZ DAVILA PALOMARES</v>
      </c>
      <c r="C26" s="18">
        <f>'P25'!$M$3</f>
        <v>5.3666666666666663</v>
      </c>
      <c r="D26" s="17">
        <f>'P25'!$J$3</f>
        <v>0.60869565217391308</v>
      </c>
      <c r="E26" s="6">
        <f>'P25'!$J$7</f>
        <v>-11700</v>
      </c>
      <c r="F26" s="17">
        <f>'P25'!$J$8</f>
        <v>9.6694214876033052E-2</v>
      </c>
    </row>
    <row r="27" spans="1:6" x14ac:dyDescent="0.2">
      <c r="A27" t="s">
        <v>72</v>
      </c>
      <c r="B27" s="8" t="str">
        <f>'P26'!$I$2</f>
        <v>JUANA MARIA PIÑA MARTINEZ</v>
      </c>
      <c r="C27" s="18">
        <f>'P26'!$M$3</f>
        <v>5.3666666666666663</v>
      </c>
      <c r="D27" s="17">
        <f>'P26'!$J$3</f>
        <v>0.60869565217391308</v>
      </c>
      <c r="E27" s="6">
        <f>'P26'!$J$7</f>
        <v>-34600</v>
      </c>
      <c r="F27" s="17">
        <f>'P26'!$J$8</f>
        <v>0.29763440860215051</v>
      </c>
    </row>
    <row r="28" spans="1:6" x14ac:dyDescent="0.2">
      <c r="A28" t="s">
        <v>73</v>
      </c>
      <c r="B28" s="8" t="str">
        <f>'P27'!$I$2</f>
        <v>ROSA ISELA MARES BUENO</v>
      </c>
      <c r="C28" s="18">
        <f>'P27'!$M$3</f>
        <v>5.1333333333333337</v>
      </c>
      <c r="D28" s="17" t="e">
        <f>'P27'!$J$3</f>
        <v>#DIV/0!</v>
      </c>
      <c r="E28" s="6">
        <f>'P27'!$J$7</f>
        <v>-46100</v>
      </c>
      <c r="F28" s="17">
        <f>'P27'!$J$8</f>
        <v>0.47871235721703009</v>
      </c>
    </row>
    <row r="29" spans="1:6" x14ac:dyDescent="0.2">
      <c r="A29" t="s">
        <v>74</v>
      </c>
      <c r="B29" s="8" t="str">
        <f>'P28'!$I$2</f>
        <v>MARIA DEL CARMEN ROCHA SANCHEZ</v>
      </c>
      <c r="C29" s="18">
        <f>'P28'!$M$3</f>
        <v>5.1333333333333337</v>
      </c>
      <c r="D29" s="17">
        <f>'P28'!$J$3</f>
        <v>0.72727272727272729</v>
      </c>
      <c r="E29" s="6">
        <f>'P28'!$J$7</f>
        <v>-3000</v>
      </c>
      <c r="F29" s="17">
        <f>'P28'!$J$8</f>
        <v>4.398826979472141E-2</v>
      </c>
    </row>
    <row r="30" spans="1:6" x14ac:dyDescent="0.2">
      <c r="A30" t="s">
        <v>75</v>
      </c>
      <c r="B30" s="8" t="str">
        <f>'P29'!$I$2</f>
        <v>MARIA ISABEL MARTINEZ VILLAGRANA</v>
      </c>
      <c r="C30" s="18">
        <f>'P29'!$M$3</f>
        <v>5.1333333333333337</v>
      </c>
      <c r="D30" s="17">
        <f>'P29'!$J$3</f>
        <v>0.27272727272727271</v>
      </c>
      <c r="E30" s="6">
        <f>'P29'!$J$7</f>
        <v>-40550</v>
      </c>
      <c r="F30" s="17">
        <f>'P29'!$J$8</f>
        <v>0.48130563798219583</v>
      </c>
    </row>
    <row r="31" spans="1:6" x14ac:dyDescent="0.2">
      <c r="A31" t="s">
        <v>76</v>
      </c>
      <c r="B31" s="8" t="str">
        <f>'P30'!$I$2</f>
        <v>BLANCA ESTHELA CASTILLO URIBE</v>
      </c>
      <c r="C31" s="18">
        <f>'P30'!$M$3</f>
        <v>5.1333333333333337</v>
      </c>
      <c r="D31" s="17" t="e">
        <f>'P30'!$J$3</f>
        <v>#DIV/0!</v>
      </c>
      <c r="E31" s="6">
        <f>'P30'!$J$7</f>
        <v>-29300</v>
      </c>
      <c r="F31" s="17">
        <f>'P30'!$J$8</f>
        <v>0.27332089552238809</v>
      </c>
    </row>
    <row r="32" spans="1:6" x14ac:dyDescent="0.2">
      <c r="A32" t="s">
        <v>77</v>
      </c>
      <c r="B32" s="8" t="str">
        <f>'P31'!$I$2</f>
        <v>ATHSIRI BERENICE ACEVEDO HERNANDEZ</v>
      </c>
      <c r="C32" s="18">
        <f>'P31'!$M$3</f>
        <v>5.1333333333333337</v>
      </c>
      <c r="D32" s="17">
        <f>'P31'!$J$3</f>
        <v>0.18181818181818182</v>
      </c>
      <c r="E32" s="6">
        <f>'P31'!$J$7</f>
        <v>-3900</v>
      </c>
      <c r="F32" s="17">
        <f>'P31'!$J$8</f>
        <v>0.6964285714285714</v>
      </c>
    </row>
    <row r="33" spans="1:6" x14ac:dyDescent="0.2">
      <c r="A33" t="s">
        <v>78</v>
      </c>
      <c r="B33" s="8" t="str">
        <f>'P32'!$I$2</f>
        <v>ANA KAREN HERNANDEZ GUZMAN</v>
      </c>
      <c r="C33" s="18">
        <f>'P32'!$M$3</f>
        <v>4.2</v>
      </c>
      <c r="D33" s="17">
        <f>'P32'!$J$3</f>
        <v>0.77777777777777779</v>
      </c>
      <c r="E33" s="6">
        <f>'P32'!$J$7</f>
        <v>-4050</v>
      </c>
      <c r="F33" s="17">
        <f>'P32'!$J$8</f>
        <v>9.9630996309963096E-2</v>
      </c>
    </row>
    <row r="34" spans="1:6" x14ac:dyDescent="0.2">
      <c r="A34" t="s">
        <v>86</v>
      </c>
      <c r="B34" s="8" t="str">
        <f>'P33'!$I$2</f>
        <v>BRIAN YAHIR ORTIZ CERVANTES</v>
      </c>
      <c r="C34" s="18">
        <f>'P33'!$M$3</f>
        <v>4.2</v>
      </c>
      <c r="D34" s="17">
        <f>'P33'!$J$3</f>
        <v>0.83333333333333337</v>
      </c>
      <c r="E34" s="6">
        <f>'P33'!$J$7</f>
        <v>-1500</v>
      </c>
      <c r="F34" s="17">
        <f>'P33'!$J$8</f>
        <v>5.8823529411764705E-2</v>
      </c>
    </row>
    <row r="35" spans="1:6" x14ac:dyDescent="0.2">
      <c r="A35" t="s">
        <v>87</v>
      </c>
      <c r="B35" s="8" t="str">
        <f>'P34'!$I$2</f>
        <v>MARTINA CONTRERAS RANGEL</v>
      </c>
      <c r="C35" s="18">
        <f>'P34'!$M$3</f>
        <v>4.2</v>
      </c>
      <c r="D35" s="17">
        <f>'P34'!$J$3</f>
        <v>0.83333333333333337</v>
      </c>
      <c r="E35" s="6">
        <f>'P34'!$J$7</f>
        <v>-4050</v>
      </c>
      <c r="F35" s="17">
        <f>'P34'!$J$8</f>
        <v>7.5348837209302327E-2</v>
      </c>
    </row>
    <row r="36" spans="1:6" x14ac:dyDescent="0.2">
      <c r="A36" s="26" t="s">
        <v>88</v>
      </c>
      <c r="B36" s="27" t="str">
        <f>'P35'!$I$2</f>
        <v>MARIANA NATALIA MEDINA BAUTISTA</v>
      </c>
      <c r="C36" s="28"/>
      <c r="D36" s="29"/>
      <c r="E36" s="30"/>
      <c r="F36" s="29"/>
    </row>
    <row r="37" spans="1:6" x14ac:dyDescent="0.2">
      <c r="A37" t="s">
        <v>89</v>
      </c>
      <c r="B37" s="8" t="str">
        <f>'P36'!$I$2</f>
        <v>LETICIA MACIAS ESPINOSA</v>
      </c>
      <c r="C37" s="18">
        <f>'P36'!$M$3</f>
        <v>4.2</v>
      </c>
      <c r="D37" s="17">
        <f>'P36'!$J$3</f>
        <v>0.61111111111111116</v>
      </c>
      <c r="E37" s="6">
        <f>'P36'!$J$7</f>
        <v>-5900</v>
      </c>
      <c r="F37" s="17">
        <f>'P36'!$J$8</f>
        <v>0.16120218579234974</v>
      </c>
    </row>
    <row r="38" spans="1:6" x14ac:dyDescent="0.2">
      <c r="A38" t="s">
        <v>90</v>
      </c>
      <c r="B38" s="8" t="str">
        <f>'P37'!$I$2</f>
        <v>SANDRA ELIZETTE HERNANDEZ HERNANDEZ</v>
      </c>
      <c r="C38" s="18">
        <f>'P37'!$M$3</f>
        <v>4.4333333333333336</v>
      </c>
      <c r="D38" s="17">
        <f>'P37'!$J$3</f>
        <v>0.42105263157894735</v>
      </c>
      <c r="E38" s="6">
        <f>'P37'!$J$7</f>
        <v>-7900</v>
      </c>
      <c r="F38" s="17">
        <f>'P37'!$J$8</f>
        <v>0.30919765166340507</v>
      </c>
    </row>
    <row r="39" spans="1:6" x14ac:dyDescent="0.2">
      <c r="A39" t="s">
        <v>91</v>
      </c>
      <c r="B39" s="8" t="str">
        <f>'P38'!$I$2</f>
        <v>NATALIA ESTEFANIA RIVERA RAMIREZ</v>
      </c>
      <c r="C39" s="18">
        <f>'P38'!$M$3</f>
        <v>3.5</v>
      </c>
      <c r="D39" s="17">
        <f>'P38'!$J$3</f>
        <v>0.6</v>
      </c>
      <c r="E39" s="6">
        <f>'P38'!$J$7</f>
        <v>-11700</v>
      </c>
      <c r="F39" s="17">
        <f>'P38'!$J$8</f>
        <v>0.34513274336283184</v>
      </c>
    </row>
    <row r="40" spans="1:6" x14ac:dyDescent="0.2">
      <c r="A40" t="s">
        <v>92</v>
      </c>
      <c r="B40" s="8" t="str">
        <f>'P39'!$I$2</f>
        <v>ESTHER MENDEZ MENDOZA</v>
      </c>
      <c r="C40" s="18">
        <f>'P39'!$M$3</f>
        <v>3.2666666666666666</v>
      </c>
      <c r="D40" s="17">
        <f>'P39'!$J$3</f>
        <v>0.7142857142857143</v>
      </c>
      <c r="E40" s="6">
        <f>'P39'!$J$7</f>
        <v>-5800</v>
      </c>
      <c r="F40" s="17">
        <f>'P39'!$J$8</f>
        <v>0.11958762886597939</v>
      </c>
    </row>
    <row r="41" spans="1:6" x14ac:dyDescent="0.2">
      <c r="A41" t="s">
        <v>93</v>
      </c>
      <c r="B41" s="8" t="str">
        <f>'P40'!$I$2</f>
        <v>JUANA VANESSA SALAZAR YEBRA</v>
      </c>
      <c r="C41" s="18">
        <f>'P40'!$M$3</f>
        <v>3.5</v>
      </c>
      <c r="D41" s="17">
        <f>'P40'!$J$3</f>
        <v>0.8666666666666667</v>
      </c>
      <c r="E41" s="6">
        <f>'P40'!$J$7</f>
        <v>-7350</v>
      </c>
      <c r="F41" s="17">
        <f>'P40'!$J$8</f>
        <v>0.10286913925822254</v>
      </c>
    </row>
    <row r="42" spans="1:6" x14ac:dyDescent="0.2">
      <c r="A42" t="s">
        <v>94</v>
      </c>
      <c r="B42" s="8" t="str">
        <f>'P41'!$I$2</f>
        <v>ERENDIRA JAZMIN ROMO CASTILLO</v>
      </c>
      <c r="C42" s="18">
        <f>'P41'!$M$3</f>
        <v>3.5</v>
      </c>
      <c r="D42" s="17">
        <f>'P41'!$J$3</f>
        <v>0.8666666666666667</v>
      </c>
      <c r="E42" s="6">
        <f>'P41'!$J$7</f>
        <v>-2700</v>
      </c>
      <c r="F42" s="17">
        <f>'P41'!$J$8</f>
        <v>8.4772370486656201E-2</v>
      </c>
    </row>
    <row r="43" spans="1:6" x14ac:dyDescent="0.2">
      <c r="A43" s="26" t="s">
        <v>95</v>
      </c>
      <c r="B43" s="27" t="str">
        <f>'P42'!$I$2</f>
        <v>MIRIAM JOSEFINA LUNA MACIAS</v>
      </c>
      <c r="C43" s="28"/>
      <c r="D43" s="29"/>
      <c r="E43" s="30"/>
      <c r="F43" s="29"/>
    </row>
    <row r="44" spans="1:6" x14ac:dyDescent="0.2">
      <c r="A44" t="s">
        <v>96</v>
      </c>
      <c r="B44" s="8" t="str">
        <f>'P43'!$I$2</f>
        <v>OLGA ESTHER DE LA ROSA ROMO</v>
      </c>
      <c r="C44" s="18">
        <f>'P43'!$M$3</f>
        <v>3.0333333333333332</v>
      </c>
      <c r="D44" s="17">
        <f>'P43'!$J$3</f>
        <v>0.92307692307692313</v>
      </c>
      <c r="E44" s="6">
        <f>'P43'!$J$7</f>
        <v>-4490</v>
      </c>
      <c r="F44" s="17">
        <f>'P43'!$J$8</f>
        <v>9.7312527091460765E-2</v>
      </c>
    </row>
    <row r="45" spans="1:6" x14ac:dyDescent="0.2">
      <c r="A45" t="s">
        <v>97</v>
      </c>
      <c r="B45" s="8" t="str">
        <f>'P44'!$I$2</f>
        <v>CARLA BRENDA MENDEZ GARCIA</v>
      </c>
      <c r="C45" s="18">
        <f>'P44'!$M$3</f>
        <v>3.0333333333333332</v>
      </c>
      <c r="D45" s="17">
        <f>'P44'!$J$3</f>
        <v>0.61538461538461542</v>
      </c>
      <c r="E45" s="6">
        <f>'P44'!$J$7</f>
        <v>-7200</v>
      </c>
      <c r="F45" s="17">
        <f>'P44'!$J$8</f>
        <v>0.22018348623853212</v>
      </c>
    </row>
    <row r="46" spans="1:6" x14ac:dyDescent="0.2">
      <c r="A46" t="s">
        <v>98</v>
      </c>
      <c r="B46" s="8" t="str">
        <f>'P45'!$I$2</f>
        <v>ANA SARAHI MARTINEZ GUTIERREZ</v>
      </c>
      <c r="C46" s="18">
        <f>'P45'!$M$3</f>
        <v>1.6333333333333333</v>
      </c>
      <c r="D46" s="17">
        <f>'P45'!$J$3</f>
        <v>0.7142857142857143</v>
      </c>
      <c r="E46" s="6">
        <f>'P45'!$J$7</f>
        <v>-8700</v>
      </c>
      <c r="F46" s="17">
        <f>'P45'!$J$8</f>
        <v>0.23577235772357724</v>
      </c>
    </row>
    <row r="47" spans="1:6" x14ac:dyDescent="0.2">
      <c r="A47" t="s">
        <v>112</v>
      </c>
      <c r="B47" s="8" t="str">
        <f>'P46'!$I$2</f>
        <v>SAMANTA MONSERRAT MAYO JIMENEZ</v>
      </c>
      <c r="C47" s="18">
        <f>'P46'!$M$3</f>
        <v>2.1</v>
      </c>
      <c r="D47" s="17">
        <f>'P46'!$J$3</f>
        <v>0.77777777777777779</v>
      </c>
      <c r="E47" s="6">
        <f>'P46'!$J$7</f>
        <v>-8700</v>
      </c>
      <c r="F47" s="17">
        <f>'P46'!$J$8</f>
        <v>0.19333333333333333</v>
      </c>
    </row>
    <row r="48" spans="1:6" x14ac:dyDescent="0.2">
      <c r="A48" s="26" t="s">
        <v>113</v>
      </c>
      <c r="B48" s="27" t="str">
        <f>'P47'!$I$2</f>
        <v>MARCELA MARTINEZ MARTINEZ</v>
      </c>
      <c r="C48" s="28"/>
      <c r="D48" s="29"/>
      <c r="E48" s="30"/>
      <c r="F48" s="29"/>
    </row>
    <row r="49" spans="1:6" x14ac:dyDescent="0.2">
      <c r="A49" t="s">
        <v>114</v>
      </c>
      <c r="B49" s="8" t="str">
        <f>'P48'!$I$2</f>
        <v>MARIA ISABEL REYES SANCHEZ</v>
      </c>
      <c r="C49" s="18">
        <f>'P48'!$M$3</f>
        <v>1.8666666666666667</v>
      </c>
      <c r="D49" s="17">
        <f>'P48'!$J$3</f>
        <v>0.75</v>
      </c>
      <c r="E49" s="6">
        <f>'P48'!$J$7</f>
        <v>-6000</v>
      </c>
      <c r="F49" s="17">
        <f>'P48'!$J$8</f>
        <v>0.16949152542372881</v>
      </c>
    </row>
    <row r="50" spans="1:6" x14ac:dyDescent="0.2">
      <c r="A50" t="s">
        <v>115</v>
      </c>
      <c r="B50" s="8" t="str">
        <f>'P49'!$I$2</f>
        <v>MIRIAM DEL CARMEN HERNANDEZ AYALA</v>
      </c>
      <c r="C50" s="18">
        <f>'P49'!$M$3</f>
        <v>1.8666666666666667</v>
      </c>
      <c r="D50" s="17">
        <f>'P49'!$J$3</f>
        <v>0.75</v>
      </c>
      <c r="E50" s="6">
        <f>'P49'!$J$7</f>
        <v>-5400</v>
      </c>
      <c r="F50" s="17">
        <f>'P49'!$J$8</f>
        <v>0.16071428571428573</v>
      </c>
    </row>
    <row r="51" spans="1:6" x14ac:dyDescent="0.2">
      <c r="A51" s="26" t="s">
        <v>116</v>
      </c>
      <c r="B51" s="27" t="str">
        <f>'P50'!$I$2</f>
        <v>MARIA DEL PILAR VALDIVIA MURILLO</v>
      </c>
      <c r="C51" s="28"/>
      <c r="D51" s="30"/>
      <c r="E51" s="30"/>
      <c r="F51" s="29"/>
    </row>
    <row r="52" spans="1:6" x14ac:dyDescent="0.2">
      <c r="A52" t="s">
        <v>117</v>
      </c>
      <c r="B52" s="8" t="str">
        <f>'P51'!$I$2</f>
        <v>MATILDE VERDIN CERVERA</v>
      </c>
      <c r="C52" s="18">
        <f>'P51'!$M$3</f>
        <v>1.8666666666666667</v>
      </c>
      <c r="D52" s="17">
        <f>'P51'!$J$3</f>
        <v>0.75</v>
      </c>
      <c r="E52" s="6">
        <f>'P51'!$J$7</f>
        <v>-6900</v>
      </c>
      <c r="F52" s="17">
        <f>'P51'!$J$8</f>
        <v>0.20175438596491227</v>
      </c>
    </row>
    <row r="53" spans="1:6" x14ac:dyDescent="0.2">
      <c r="A53" t="s">
        <v>118</v>
      </c>
      <c r="B53" s="8" t="str">
        <f>'P52'!$I$2</f>
        <v>ELVIA FLORES JIMENEZ</v>
      </c>
      <c r="C53" s="18">
        <f>'P52'!$M$3</f>
        <v>1.4</v>
      </c>
      <c r="D53" s="17">
        <f>'P52'!$J$3</f>
        <v>0.83333333333333337</v>
      </c>
      <c r="E53" s="6">
        <f>'P52'!$J$7</f>
        <v>-5100</v>
      </c>
      <c r="F53" s="17">
        <f>'P52'!$J$8</f>
        <v>0.26984126984126983</v>
      </c>
    </row>
    <row r="54" spans="1:6" x14ac:dyDescent="0.2">
      <c r="A54" t="s">
        <v>119</v>
      </c>
      <c r="B54" s="8" t="str">
        <f>'P53'!$I$2</f>
        <v>MARISELA HERNANDEZ REYES</v>
      </c>
      <c r="C54" s="18">
        <f>'P53'!$M$3</f>
        <v>1.6333333333333333</v>
      </c>
      <c r="D54" s="17">
        <f>'P53'!$J$3</f>
        <v>0.5714285714285714</v>
      </c>
      <c r="E54" s="6">
        <f>'P53'!$J$7</f>
        <v>-6000</v>
      </c>
      <c r="F54" s="17">
        <f>'P53'!$J$8</f>
        <v>0.29411764705882354</v>
      </c>
    </row>
    <row r="55" spans="1:6" x14ac:dyDescent="0.2">
      <c r="A55" t="s">
        <v>120</v>
      </c>
      <c r="B55" s="8" t="str">
        <f>'P54'!$I$2</f>
        <v>JOSE DE JESUS MEDINA SUSTAITA</v>
      </c>
      <c r="C55" s="18">
        <f>'P54'!$M$3</f>
        <v>1.6333333333333333</v>
      </c>
      <c r="D55" s="17">
        <f>'P54'!$J$3</f>
        <v>0.5714285714285714</v>
      </c>
      <c r="E55" s="6">
        <f>'P54'!$J$7</f>
        <v>-2400</v>
      </c>
      <c r="F55" s="17">
        <f>'P54'!$J$8</f>
        <v>0.22222222222222221</v>
      </c>
    </row>
    <row r="56" spans="1:6" x14ac:dyDescent="0.2">
      <c r="A56" t="s">
        <v>121</v>
      </c>
      <c r="B56" s="8" t="str">
        <f>'P55'!$I$2</f>
        <v>FATIMA DE JESUS SANCHEZ MATA</v>
      </c>
      <c r="C56" s="18">
        <f>'P55'!$M$3</f>
        <v>1.6333333333333333</v>
      </c>
      <c r="D56" s="17">
        <f>'P55'!$J$3</f>
        <v>0.8571428571428571</v>
      </c>
      <c r="E56" s="6">
        <f>'P55'!$J$7</f>
        <v>-5100</v>
      </c>
      <c r="F56" s="17">
        <f>'P55'!$J$8</f>
        <v>0.20987654320987653</v>
      </c>
    </row>
    <row r="57" spans="1:6" x14ac:dyDescent="0.2">
      <c r="A57" t="s">
        <v>131</v>
      </c>
      <c r="B57" s="8" t="str">
        <f>'P56'!$I$2</f>
        <v>ROSA YESSICA GALARZA PALACIOS</v>
      </c>
      <c r="C57" s="18">
        <f>'P57'!$M$3</f>
        <v>1.4</v>
      </c>
      <c r="D57" s="17">
        <f>'P56'!$J$3</f>
        <v>0.66666666666666663</v>
      </c>
      <c r="E57" s="6">
        <f>'P56'!$J$7</f>
        <v>1800</v>
      </c>
      <c r="F57" s="17">
        <f>'P56'!$J$8</f>
        <v>-0.2</v>
      </c>
    </row>
    <row r="58" spans="1:6" x14ac:dyDescent="0.2">
      <c r="A58" t="s">
        <v>132</v>
      </c>
      <c r="B58" s="8" t="str">
        <f>'P57'!$I$2</f>
        <v>JUAN CARLOS MARTINEZ ESPINOZA</v>
      </c>
      <c r="C58" s="18">
        <f>'P57'!$M$3</f>
        <v>1.4</v>
      </c>
      <c r="D58" s="17">
        <f>'P57'!$J$3</f>
        <v>0.83333333333333337</v>
      </c>
      <c r="E58" s="6">
        <f>'P57'!$J$7</f>
        <v>-2100</v>
      </c>
      <c r="F58" s="17">
        <f>'P57'!$J$8</f>
        <v>0.29166666666666669</v>
      </c>
    </row>
    <row r="59" spans="1:6" x14ac:dyDescent="0.2">
      <c r="A59" s="26" t="s">
        <v>133</v>
      </c>
      <c r="B59" s="27" t="str">
        <f>'P58'!$I$2</f>
        <v>ALEJANDRO HERNANDEZ RAMIREZ</v>
      </c>
      <c r="C59" s="28"/>
      <c r="D59" s="29"/>
      <c r="E59" s="30"/>
      <c r="F59" s="29"/>
    </row>
    <row r="60" spans="1:6" x14ac:dyDescent="0.2">
      <c r="A60" t="s">
        <v>134</v>
      </c>
      <c r="B60" s="8" t="str">
        <f>'P59'!$I$2</f>
        <v>RICARDO GUERRA AGUAYO</v>
      </c>
      <c r="C60" s="18">
        <f>'P59'!$M$3</f>
        <v>1.4</v>
      </c>
      <c r="D60" s="17">
        <f>'P59'!$J$3</f>
        <v>0.83333333333333337</v>
      </c>
      <c r="E60" s="6">
        <f>'P59'!$J$7</f>
        <v>-6000</v>
      </c>
      <c r="F60" s="17">
        <f>'P59'!$J$8</f>
        <v>0.27777777777777779</v>
      </c>
    </row>
    <row r="61" spans="1:6" x14ac:dyDescent="0.2">
      <c r="A61" t="s">
        <v>135</v>
      </c>
      <c r="B61" s="8" t="str">
        <f>'P60'!$I$2</f>
        <v>BRENDA MARIA DEL CARMEN HERNANDEZ</v>
      </c>
      <c r="C61" s="18">
        <f>'P60'!$M$3</f>
        <v>1.4</v>
      </c>
      <c r="D61" s="17">
        <f>'P60'!$J$3</f>
        <v>0.5</v>
      </c>
      <c r="E61" s="6">
        <f>'P60'!$J$7</f>
        <v>-4200</v>
      </c>
      <c r="F61" s="17">
        <f>'P60'!$J$8</f>
        <v>0.20895522388059701</v>
      </c>
    </row>
    <row r="62" spans="1:6" x14ac:dyDescent="0.2">
      <c r="A62" t="s">
        <v>136</v>
      </c>
      <c r="B62" s="8" t="str">
        <f>'P61'!$I$2</f>
        <v>MA DEL CARMEN MARTINEZ NACHE</v>
      </c>
      <c r="C62" s="18">
        <f>'P61'!$M$3</f>
        <v>1.4</v>
      </c>
      <c r="D62" s="17">
        <f>'P61'!$J$3</f>
        <v>0.83333333333333337</v>
      </c>
      <c r="E62" s="6">
        <f>'P61'!$J$7</f>
        <v>-2100</v>
      </c>
      <c r="F62" s="17">
        <f>'P61'!$J$8</f>
        <v>0.22580645161290322</v>
      </c>
    </row>
    <row r="63" spans="1:6" x14ac:dyDescent="0.2">
      <c r="A63" t="s">
        <v>141</v>
      </c>
      <c r="B63" s="8" t="str">
        <f>'P62'!$I$2</f>
        <v>DAFNE ARELY GONZALEZ AZPEITIA</v>
      </c>
      <c r="C63" s="18">
        <f>'P62'!$M$3</f>
        <v>1.4</v>
      </c>
      <c r="D63" s="17">
        <f>'P62'!$J$3</f>
        <v>0.16666666666666666</v>
      </c>
      <c r="E63" s="6">
        <f>'P62'!$J$7</f>
        <v>-6300</v>
      </c>
      <c r="F63" s="17">
        <f>'P62'!$J$8</f>
        <v>0.33870967741935482</v>
      </c>
    </row>
    <row r="64" spans="1:6" x14ac:dyDescent="0.2">
      <c r="A64" t="s">
        <v>150</v>
      </c>
      <c r="B64" t="s">
        <v>152</v>
      </c>
    </row>
    <row r="65" spans="1:6" x14ac:dyDescent="0.2">
      <c r="A65" t="s">
        <v>149</v>
      </c>
      <c r="B65" t="s">
        <v>153</v>
      </c>
      <c r="C65" s="18">
        <f>'P64'!$M$3</f>
        <v>1.1666666666666667</v>
      </c>
      <c r="D65" s="17">
        <f>'P64'!$J$3</f>
        <v>0.6</v>
      </c>
      <c r="E65" s="6">
        <f>'P64'!$J$7</f>
        <v>-4800</v>
      </c>
      <c r="F65" s="17">
        <f>'P64'!$J$8</f>
        <v>0.27586206896551724</v>
      </c>
    </row>
    <row r="66" spans="1:6" x14ac:dyDescent="0.2">
      <c r="A66" t="s">
        <v>148</v>
      </c>
      <c r="B66" t="s">
        <v>154</v>
      </c>
      <c r="C66" s="18">
        <f>'P65'!$M$3</f>
        <v>0.93333333333333335</v>
      </c>
      <c r="D66" s="17">
        <f>'P65'!$J$3</f>
        <v>0.75</v>
      </c>
      <c r="E66" s="6">
        <f>'P65'!$J$7</f>
        <v>-5700</v>
      </c>
      <c r="F66" s="17">
        <f>'P65'!$J$8</f>
        <v>0.39583333333333331</v>
      </c>
    </row>
    <row r="67" spans="1:6" x14ac:dyDescent="0.2">
      <c r="A67" t="s">
        <v>147</v>
      </c>
      <c r="B67" t="s">
        <v>160</v>
      </c>
      <c r="C67" s="18">
        <f>'P66'!$M$3</f>
        <v>1.4</v>
      </c>
      <c r="D67" s="17">
        <f>'P66'!$J$3</f>
        <v>0.83333333333333337</v>
      </c>
      <c r="E67" s="6">
        <f>'P66'!$J$7</f>
        <v>-2400</v>
      </c>
      <c r="F67" s="17">
        <f>'P66'!$J$8</f>
        <v>0.23529411764705882</v>
      </c>
    </row>
    <row r="68" spans="1:6" x14ac:dyDescent="0.2">
      <c r="A68" t="s">
        <v>146</v>
      </c>
      <c r="B68" s="8" t="str">
        <f>'P67'!$I$2</f>
        <v>RAUL AGUSTIN AVENDAÑO REYNA</v>
      </c>
      <c r="C68" s="18">
        <f>'P67'!$M$3</f>
        <v>0.7</v>
      </c>
      <c r="D68" s="17">
        <f>'P67'!$J$3</f>
        <v>0.66666666666666663</v>
      </c>
      <c r="E68" s="6"/>
      <c r="F68" s="17"/>
    </row>
    <row r="69" spans="1:6" x14ac:dyDescent="0.2">
      <c r="A69" t="s">
        <v>145</v>
      </c>
      <c r="B69" s="8" t="str">
        <f>'P68'!$I$2</f>
        <v>NEFTALI GUADALUPE SANCHEZ CAMARILLO</v>
      </c>
      <c r="C69" s="18">
        <f>'P68'!$M$3</f>
        <v>0</v>
      </c>
      <c r="D69" s="17">
        <f>'P68'!$J$3</f>
        <v>0</v>
      </c>
      <c r="E69" s="6"/>
      <c r="F69" s="17"/>
    </row>
    <row r="70" spans="1:6" x14ac:dyDescent="0.2">
      <c r="A70" t="s">
        <v>144</v>
      </c>
      <c r="B70" s="8" t="str">
        <f>'P69'!$I$2</f>
        <v>GRICELDA LEONOR BARRIENTOS GUTIERREZ</v>
      </c>
      <c r="C70" s="18">
        <f>'P69'!$M$3</f>
        <v>0</v>
      </c>
      <c r="D70" s="17">
        <f>'P69'!$J$3</f>
        <v>0</v>
      </c>
      <c r="E70" s="6"/>
      <c r="F70" s="17"/>
    </row>
    <row r="71" spans="1:6" x14ac:dyDescent="0.2">
      <c r="A71" t="s">
        <v>143</v>
      </c>
      <c r="B71" s="8" t="str">
        <f>'P70'!$I$2</f>
        <v>SOFIA ALEJANDRA ALMONACY LOPEZ</v>
      </c>
      <c r="C71" s="18">
        <f>'P70'!$M$3</f>
        <v>0.93333333333333335</v>
      </c>
      <c r="D71" s="17">
        <f>'P70'!$J$3</f>
        <v>0.75</v>
      </c>
      <c r="E71" s="6"/>
      <c r="F71" s="17"/>
    </row>
    <row r="72" spans="1:6" x14ac:dyDescent="0.2">
      <c r="A72" t="s">
        <v>142</v>
      </c>
      <c r="B72" s="8" t="str">
        <f>'P71'!$I$2</f>
        <v>DALIA GUADALUPE GONZALEZ AHUMADA</v>
      </c>
      <c r="C72" s="18">
        <f>'P71'!$M$3</f>
        <v>0.46666666666666667</v>
      </c>
      <c r="D72" s="17">
        <f>'P71'!$J$3</f>
        <v>0.5</v>
      </c>
      <c r="E72" s="6"/>
      <c r="F72" s="17"/>
    </row>
    <row r="73" spans="1:6" x14ac:dyDescent="0.2">
      <c r="A73" t="s">
        <v>166</v>
      </c>
      <c r="B73" s="8" t="str">
        <f>'P72'!$I$2</f>
        <v>MARIA AMAYA ORTIZ</v>
      </c>
      <c r="C73" s="18">
        <f>'P72'!$M$3</f>
        <v>0.46666666666666667</v>
      </c>
      <c r="D73" s="17">
        <f>'P72'!$J$3</f>
        <v>0.5</v>
      </c>
      <c r="E73" s="6"/>
      <c r="F73" s="17"/>
    </row>
    <row r="74" spans="1:6" x14ac:dyDescent="0.2">
      <c r="A74" t="s">
        <v>167</v>
      </c>
      <c r="B74" s="8" t="str">
        <f>'P73'!$I$2</f>
        <v>LAURA EDITH PADRON VILLELA</v>
      </c>
      <c r="C74" s="18">
        <f>'P73'!$M$3</f>
        <v>0.46666666666666667</v>
      </c>
      <c r="D74" s="17">
        <f>'P73'!$J$3</f>
        <v>0.5</v>
      </c>
      <c r="E74" s="6"/>
      <c r="F74" s="17"/>
    </row>
  </sheetData>
  <phoneticPr fontId="7" type="noConversion"/>
  <conditionalFormatting sqref="D2:D6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5:D7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6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5:F7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D2435-658F-4546-9AA8-10FADF03CF38}">
  <dimension ref="A1:T38"/>
  <sheetViews>
    <sheetView workbookViewId="0">
      <selection activeCell="D32" sqref="D32"/>
    </sheetView>
  </sheetViews>
  <sheetFormatPr baseColWidth="10" defaultRowHeight="16" x14ac:dyDescent="0.2"/>
  <cols>
    <col min="3" max="3" width="10.5" bestFit="1" customWidth="1"/>
    <col min="4" max="4" width="12.83203125" bestFit="1" customWidth="1"/>
    <col min="5" max="5" width="25.6640625" bestFit="1" customWidth="1"/>
    <col min="6" max="6" width="25.6640625" customWidth="1"/>
    <col min="7" max="7" width="23.33203125" bestFit="1" customWidth="1"/>
    <col min="8" max="8" width="12.5" customWidth="1"/>
    <col min="9" max="9" width="25.6640625" bestFit="1" customWidth="1"/>
    <col min="10" max="10" width="11.5" bestFit="1" customWidth="1"/>
    <col min="12" max="12" width="17.33203125" bestFit="1" customWidth="1"/>
  </cols>
  <sheetData>
    <row r="1" spans="1:20" ht="27" x14ac:dyDescent="0.2">
      <c r="A1" s="55" t="s">
        <v>25</v>
      </c>
      <c r="B1" s="55" t="s">
        <v>0</v>
      </c>
      <c r="C1" s="55"/>
      <c r="D1" s="55"/>
      <c r="E1" s="55"/>
      <c r="F1" s="15"/>
    </row>
    <row r="2" spans="1:20" ht="27" x14ac:dyDescent="0.2">
      <c r="A2" s="55"/>
      <c r="B2" s="55"/>
      <c r="C2" s="55"/>
      <c r="D2" s="55"/>
      <c r="E2" s="55"/>
      <c r="F2" s="15"/>
      <c r="I2" t="s">
        <v>0</v>
      </c>
    </row>
    <row r="3" spans="1:20" x14ac:dyDescent="0.2">
      <c r="A3" t="s">
        <v>19</v>
      </c>
      <c r="B3" t="s">
        <v>18</v>
      </c>
      <c r="C3" s="2" t="s">
        <v>1</v>
      </c>
      <c r="D3" s="14" t="s">
        <v>20</v>
      </c>
      <c r="E3" t="s">
        <v>9</v>
      </c>
      <c r="F3" t="s">
        <v>40</v>
      </c>
      <c r="G3" t="s">
        <v>8</v>
      </c>
      <c r="I3" s="9" t="s">
        <v>39</v>
      </c>
      <c r="J3" s="16" cm="1">
        <f t="array" ref="J3">AVERAGE(IF(Table1[Cumplimiento de Meta %]&gt;=100%,1,0))</f>
        <v>0.5714285714285714</v>
      </c>
      <c r="K3" s="10"/>
      <c r="L3" t="s">
        <v>41</v>
      </c>
      <c r="M3">
        <f>(COUNT(Table1[[#All],[Semana]])*7)/30</f>
        <v>6.5333333333333332</v>
      </c>
      <c r="O3" s="2"/>
      <c r="S3" s="2"/>
      <c r="T3" s="2"/>
    </row>
    <row r="4" spans="1:20" x14ac:dyDescent="0.2">
      <c r="A4">
        <v>1</v>
      </c>
      <c r="B4" s="1">
        <v>45544</v>
      </c>
      <c r="C4" s="3">
        <v>300</v>
      </c>
      <c r="D4" s="3">
        <v>300</v>
      </c>
      <c r="E4" s="5">
        <f>D4/C4</f>
        <v>1</v>
      </c>
      <c r="F4" s="16">
        <f>IF(SUM($C$4:C4)-SUM($D$4:D4)&gt;0, (SUM($C$4:C4)-SUM($D$4:D4))/SUM($C$4:C4), 0)</f>
        <v>0</v>
      </c>
      <c r="G4" s="6">
        <f>D4-C4</f>
        <v>0</v>
      </c>
      <c r="H4" s="8"/>
      <c r="I4" s="4"/>
      <c r="J4" s="4"/>
      <c r="K4" s="5"/>
      <c r="R4" s="1"/>
      <c r="S4" s="4"/>
      <c r="T4" s="4"/>
    </row>
    <row r="5" spans="1:20" x14ac:dyDescent="0.2">
      <c r="A5">
        <v>2</v>
      </c>
      <c r="B5" s="1">
        <v>45551</v>
      </c>
      <c r="C5" s="3">
        <v>1800</v>
      </c>
      <c r="D5" s="4">
        <v>1800</v>
      </c>
      <c r="E5" s="5">
        <f t="shared" ref="E5:E25" si="0">D5/C5</f>
        <v>1</v>
      </c>
      <c r="F5" s="16">
        <f>IF(SUM($C$4:C5)-SUM($D$4:D5)&gt;0, (SUM($C$4:C5)-SUM($D$4:D5))/SUM($C$4:C5), 0)</f>
        <v>0</v>
      </c>
      <c r="G5" s="6">
        <f t="shared" ref="G5:G24" si="1">D5-C5</f>
        <v>0</v>
      </c>
      <c r="H5" s="8"/>
      <c r="I5" s="4" t="s">
        <v>21</v>
      </c>
      <c r="J5" s="4">
        <f>SUM(Table1[[#All],[Meta]])</f>
        <v>71250</v>
      </c>
      <c r="K5" s="5"/>
      <c r="R5" s="1"/>
      <c r="S5" s="4"/>
      <c r="T5" s="4"/>
    </row>
    <row r="6" spans="1:20" x14ac:dyDescent="0.2">
      <c r="A6">
        <v>3</v>
      </c>
      <c r="B6" s="1">
        <v>45558</v>
      </c>
      <c r="C6" s="4">
        <v>2100</v>
      </c>
      <c r="D6" s="4">
        <v>2100</v>
      </c>
      <c r="E6" s="5">
        <f t="shared" si="0"/>
        <v>1</v>
      </c>
      <c r="F6" s="16">
        <f>IF(SUM($C$4:C6)-SUM($D$4:D6)&gt;0, (SUM($C$4:C6)-SUM($D$4:D6))/SUM($C$4:C6), 0)</f>
        <v>0</v>
      </c>
      <c r="G6" s="6">
        <f>D6-C6</f>
        <v>0</v>
      </c>
      <c r="H6" s="8"/>
      <c r="I6" s="4" t="s">
        <v>22</v>
      </c>
      <c r="J6" s="4">
        <f>SUM(Table1[[#All],[Cobranza]])</f>
        <v>67150</v>
      </c>
      <c r="K6" s="5"/>
      <c r="R6" s="1"/>
      <c r="S6" s="4"/>
      <c r="T6" s="4"/>
    </row>
    <row r="7" spans="1:20" x14ac:dyDescent="0.2">
      <c r="A7">
        <v>4</v>
      </c>
      <c r="B7" s="1">
        <v>45565</v>
      </c>
      <c r="C7" s="4">
        <v>3300</v>
      </c>
      <c r="D7" s="4">
        <v>3300</v>
      </c>
      <c r="E7" s="5">
        <f t="shared" si="0"/>
        <v>1</v>
      </c>
      <c r="F7" s="16">
        <f>IF(SUM($C$4:C7)-SUM($D$4:D7)&gt;0, (SUM($C$4:C7)-SUM($D$4:D7))/SUM($C$4:C7), 0)</f>
        <v>0</v>
      </c>
      <c r="G7" s="6">
        <f t="shared" si="1"/>
        <v>0</v>
      </c>
      <c r="H7" s="8"/>
      <c r="I7" s="4" t="s">
        <v>23</v>
      </c>
      <c r="J7" s="4">
        <f>SUM(Table1[[#All],[Didiferencia Absoluta]])</f>
        <v>-1700</v>
      </c>
      <c r="K7" s="5"/>
      <c r="N7" s="4"/>
      <c r="O7" s="4"/>
      <c r="R7" s="1"/>
      <c r="S7" s="4"/>
      <c r="T7" s="4"/>
    </row>
    <row r="8" spans="1:20" x14ac:dyDescent="0.2">
      <c r="A8">
        <v>5</v>
      </c>
      <c r="B8" s="1">
        <v>45572</v>
      </c>
      <c r="C8" s="4">
        <v>3300</v>
      </c>
      <c r="D8" s="4">
        <v>2700</v>
      </c>
      <c r="E8" s="5">
        <f t="shared" si="0"/>
        <v>0.81818181818181823</v>
      </c>
      <c r="F8" s="16">
        <f>IF(SUM($C$4:C8)-SUM($D$4:D8)&gt;0, (SUM($C$4:C8)-SUM($D$4:D8))/SUM($C$4:C8), 0)</f>
        <v>5.5555555555555552E-2</v>
      </c>
      <c r="G8" s="6">
        <f t="shared" si="1"/>
        <v>-600</v>
      </c>
      <c r="H8" s="8"/>
      <c r="I8" t="s">
        <v>24</v>
      </c>
      <c r="J8" s="16">
        <f>(J7/J5)*-1</f>
        <v>2.3859649122807018E-2</v>
      </c>
      <c r="K8" s="5"/>
      <c r="N8" s="4"/>
      <c r="O8" s="4"/>
      <c r="R8" s="1"/>
      <c r="S8" s="4"/>
      <c r="T8" s="4"/>
    </row>
    <row r="9" spans="1:20" x14ac:dyDescent="0.2">
      <c r="A9">
        <v>6</v>
      </c>
      <c r="B9" s="1">
        <v>45579</v>
      </c>
      <c r="C9" s="4">
        <v>3600</v>
      </c>
      <c r="D9" s="4">
        <v>4200</v>
      </c>
      <c r="E9" s="5">
        <f t="shared" si="0"/>
        <v>1.1666666666666667</v>
      </c>
      <c r="F9" s="16">
        <f>IF(SUM($C$4:C9)-SUM($D$4:D9)&gt;0, (SUM($C$4:C9)-SUM($D$4:D9))/SUM($C$4:C9), 0)</f>
        <v>0</v>
      </c>
      <c r="G9" s="6">
        <f t="shared" si="1"/>
        <v>600</v>
      </c>
      <c r="H9" s="8"/>
      <c r="I9" s="4"/>
      <c r="J9" s="4"/>
      <c r="K9" s="5"/>
      <c r="N9" s="4"/>
      <c r="O9" s="4"/>
      <c r="R9" s="1"/>
      <c r="S9" s="4"/>
      <c r="T9" s="4"/>
    </row>
    <row r="10" spans="1:20" x14ac:dyDescent="0.2">
      <c r="A10">
        <v>7</v>
      </c>
      <c r="B10" s="1">
        <v>45586</v>
      </c>
      <c r="C10" s="4">
        <v>3600</v>
      </c>
      <c r="D10" s="4">
        <v>2700</v>
      </c>
      <c r="E10" s="5">
        <f t="shared" si="0"/>
        <v>0.75</v>
      </c>
      <c r="F10" s="16">
        <f>IF(SUM($C$4:C10)-SUM($D$4:D10)&gt;0, (SUM($C$4:C10)-SUM($D$4:D10))/SUM($C$4:C10), 0)</f>
        <v>0.05</v>
      </c>
      <c r="G10" s="6">
        <f t="shared" si="1"/>
        <v>-900</v>
      </c>
      <c r="H10" s="8"/>
      <c r="I10" s="4"/>
      <c r="J10" s="4"/>
      <c r="K10" s="5"/>
      <c r="N10" s="4"/>
      <c r="O10" s="4"/>
      <c r="R10" s="1"/>
      <c r="S10" s="4"/>
      <c r="T10" s="4"/>
    </row>
    <row r="11" spans="1:20" x14ac:dyDescent="0.2">
      <c r="A11">
        <v>8</v>
      </c>
      <c r="B11" s="1">
        <v>45593</v>
      </c>
      <c r="C11" s="4">
        <v>4200</v>
      </c>
      <c r="D11" s="4">
        <v>2700</v>
      </c>
      <c r="E11" s="5">
        <f t="shared" si="0"/>
        <v>0.6428571428571429</v>
      </c>
      <c r="F11" s="16">
        <f>IF(SUM($C$4:C11)-SUM($D$4:D11)&gt;0, (SUM($C$4:C11)-SUM($D$4:D11))/SUM($C$4:C11), 0)</f>
        <v>0.10810810810810811</v>
      </c>
      <c r="G11" s="6">
        <f t="shared" si="1"/>
        <v>-1500</v>
      </c>
      <c r="H11" s="8"/>
      <c r="I11" s="4"/>
      <c r="J11" s="4"/>
      <c r="K11" s="5"/>
      <c r="N11" s="4"/>
      <c r="O11" s="4"/>
      <c r="R11" s="1"/>
      <c r="S11" s="4"/>
      <c r="T11" s="4"/>
    </row>
    <row r="12" spans="1:20" x14ac:dyDescent="0.2">
      <c r="A12">
        <v>9</v>
      </c>
      <c r="B12" s="1">
        <v>45600</v>
      </c>
      <c r="C12" s="4">
        <v>4500</v>
      </c>
      <c r="D12" s="4">
        <v>5200</v>
      </c>
      <c r="E12" s="5">
        <f t="shared" si="0"/>
        <v>1.1555555555555554</v>
      </c>
      <c r="F12" s="16">
        <f>IF(SUM($C$4:C12)-SUM($D$4:D12)&gt;0, (SUM($C$4:C12)-SUM($D$4:D12))/SUM($C$4:C12), 0)</f>
        <v>6.3670411985018729E-2</v>
      </c>
      <c r="G12" s="6">
        <f t="shared" si="1"/>
        <v>700</v>
      </c>
      <c r="H12" s="8"/>
      <c r="I12" s="4"/>
      <c r="J12" s="4"/>
      <c r="K12" s="5"/>
      <c r="N12" s="4"/>
      <c r="O12" s="4"/>
      <c r="R12" s="1"/>
      <c r="S12" s="4"/>
      <c r="T12" s="4"/>
    </row>
    <row r="13" spans="1:20" x14ac:dyDescent="0.2">
      <c r="A13">
        <v>10</v>
      </c>
      <c r="B13" s="1">
        <v>45607</v>
      </c>
      <c r="C13" s="4">
        <v>4500</v>
      </c>
      <c r="D13" s="4">
        <v>3800</v>
      </c>
      <c r="E13" s="5">
        <f t="shared" si="0"/>
        <v>0.84444444444444444</v>
      </c>
      <c r="F13" s="16">
        <f>IF(SUM($C$4:C13)-SUM($D$4:D13)&gt;0, (SUM($C$4:C13)-SUM($D$4:D13))/SUM($C$4:C13), 0)</f>
        <v>7.6923076923076927E-2</v>
      </c>
      <c r="G13" s="6">
        <f t="shared" si="1"/>
        <v>-700</v>
      </c>
      <c r="H13" s="8"/>
      <c r="I13" s="4"/>
      <c r="J13" s="4"/>
      <c r="K13" s="5"/>
      <c r="N13" s="4"/>
      <c r="O13" s="4"/>
      <c r="R13" s="1"/>
      <c r="S13" s="4"/>
      <c r="T13" s="4"/>
    </row>
    <row r="14" spans="1:20" x14ac:dyDescent="0.2">
      <c r="A14">
        <v>11</v>
      </c>
      <c r="B14" s="1">
        <v>45614</v>
      </c>
      <c r="C14" s="4">
        <v>4500</v>
      </c>
      <c r="D14" s="4">
        <v>4200</v>
      </c>
      <c r="E14" s="5">
        <f t="shared" si="0"/>
        <v>0.93333333333333335</v>
      </c>
      <c r="F14" s="16">
        <f>IF(SUM($C$4:C14)-SUM($D$4:D14)&gt;0, (SUM($C$4:C14)-SUM($D$4:D14))/SUM($C$4:C14), 0)</f>
        <v>7.5630252100840331E-2</v>
      </c>
      <c r="G14" s="6">
        <f t="shared" si="1"/>
        <v>-300</v>
      </c>
      <c r="H14" s="8"/>
      <c r="I14" s="4"/>
      <c r="J14" s="4"/>
      <c r="K14" s="5"/>
      <c r="N14" s="4"/>
      <c r="O14" s="4"/>
      <c r="R14" s="1"/>
      <c r="S14" s="4"/>
      <c r="T14" s="4"/>
    </row>
    <row r="15" spans="1:20" x14ac:dyDescent="0.2">
      <c r="A15">
        <v>12</v>
      </c>
      <c r="B15" s="1">
        <v>45621</v>
      </c>
      <c r="C15" s="4">
        <v>4500</v>
      </c>
      <c r="D15" s="4">
        <v>3400</v>
      </c>
      <c r="E15" s="5">
        <f>D15/C15</f>
        <v>0.75555555555555554</v>
      </c>
      <c r="F15" s="16">
        <f>IF(SUM($C$4:C15)-SUM($D$4:D15)&gt;0, (SUM($C$4:C15)-SUM($D$4:D15))/SUM($C$4:C15), 0)</f>
        <v>9.4527363184079602E-2</v>
      </c>
      <c r="G15" s="6">
        <f t="shared" si="1"/>
        <v>-1100</v>
      </c>
      <c r="H15" s="8"/>
      <c r="I15" s="4"/>
      <c r="J15" s="4"/>
      <c r="K15" s="5"/>
      <c r="N15" s="4"/>
      <c r="O15" s="4"/>
      <c r="R15" s="1"/>
      <c r="S15" s="4"/>
      <c r="T15" s="4"/>
    </row>
    <row r="16" spans="1:20" x14ac:dyDescent="0.2">
      <c r="A16">
        <v>13</v>
      </c>
      <c r="B16" s="1">
        <v>45628</v>
      </c>
      <c r="C16" s="4">
        <v>4500</v>
      </c>
      <c r="D16" s="4">
        <v>3400</v>
      </c>
      <c r="E16" s="5">
        <f t="shared" si="0"/>
        <v>0.75555555555555554</v>
      </c>
      <c r="F16" s="16">
        <f>IF(SUM($C$4:C16)-SUM($D$4:D16)&gt;0, (SUM($C$4:C16)-SUM($D$4:D16))/SUM($C$4:C16), 0)</f>
        <v>0.10961968680089486</v>
      </c>
      <c r="G16" s="6">
        <f t="shared" si="1"/>
        <v>-1100</v>
      </c>
      <c r="H16" s="8"/>
      <c r="I16" s="4"/>
      <c r="J16" s="4"/>
      <c r="K16" s="5"/>
      <c r="N16" s="4"/>
      <c r="O16" s="4"/>
      <c r="R16" s="1"/>
      <c r="S16" s="4"/>
      <c r="T16" s="4"/>
    </row>
    <row r="17" spans="1:20" x14ac:dyDescent="0.2">
      <c r="A17">
        <v>14</v>
      </c>
      <c r="B17" s="1">
        <v>45635</v>
      </c>
      <c r="C17" s="4">
        <v>4200</v>
      </c>
      <c r="D17" s="4">
        <v>5000</v>
      </c>
      <c r="E17" s="5">
        <f t="shared" si="0"/>
        <v>1.1904761904761905</v>
      </c>
      <c r="F17" s="16">
        <f>IF(SUM($C$4:C17)-SUM($D$4:D17)&gt;0, (SUM($C$4:C17)-SUM($D$4:D17))/SUM($C$4:C17), 0)</f>
        <v>8.3844580777096112E-2</v>
      </c>
      <c r="G17" s="6">
        <f t="shared" si="1"/>
        <v>800</v>
      </c>
      <c r="H17" s="8"/>
      <c r="I17" s="4"/>
      <c r="J17" s="4"/>
      <c r="K17" s="5"/>
      <c r="N17" s="4"/>
      <c r="O17" s="4"/>
      <c r="R17" s="1"/>
      <c r="S17" s="4"/>
      <c r="T17" s="4"/>
    </row>
    <row r="18" spans="1:20" x14ac:dyDescent="0.2">
      <c r="A18">
        <v>15</v>
      </c>
      <c r="B18" s="1">
        <v>45642</v>
      </c>
      <c r="C18" s="4">
        <v>3900</v>
      </c>
      <c r="D18" s="4">
        <v>3650</v>
      </c>
      <c r="E18" s="5">
        <f t="shared" si="0"/>
        <v>0.9358974358974359</v>
      </c>
      <c r="F18" s="16">
        <f>IF(SUM($C$4:C18)-SUM($D$4:D18)&gt;0, (SUM($C$4:C18)-SUM($D$4:D18))/SUM($C$4:C18), 0)</f>
        <v>8.2386363636363633E-2</v>
      </c>
      <c r="G18" s="6">
        <f t="shared" si="1"/>
        <v>-250</v>
      </c>
      <c r="H18" s="8"/>
      <c r="I18" s="4"/>
      <c r="J18" s="4"/>
      <c r="K18" s="5"/>
      <c r="N18" s="4"/>
      <c r="O18" s="4"/>
      <c r="R18" s="1"/>
      <c r="S18" s="4"/>
      <c r="T18" s="4"/>
    </row>
    <row r="19" spans="1:20" x14ac:dyDescent="0.2">
      <c r="A19">
        <v>16</v>
      </c>
      <c r="B19" s="1">
        <v>45649</v>
      </c>
      <c r="C19" s="4">
        <v>3050</v>
      </c>
      <c r="D19" s="4">
        <v>2150</v>
      </c>
      <c r="E19" s="5">
        <f t="shared" si="0"/>
        <v>0.70491803278688525</v>
      </c>
      <c r="F19" s="16">
        <f>IF(SUM($C$4:C19)-SUM($D$4:D19)&gt;0, (SUM($C$4:C19)-SUM($D$4:D19))/SUM($C$4:C19), 0)</f>
        <v>9.4001790510295433E-2</v>
      </c>
      <c r="G19" s="6">
        <f t="shared" si="1"/>
        <v>-900</v>
      </c>
      <c r="H19" s="8"/>
      <c r="I19" s="4"/>
      <c r="J19" s="4"/>
      <c r="N19" s="4"/>
      <c r="O19" s="4"/>
      <c r="R19" s="1"/>
      <c r="S19" s="4"/>
      <c r="T19" s="4"/>
    </row>
    <row r="20" spans="1:20" x14ac:dyDescent="0.2">
      <c r="A20">
        <v>17</v>
      </c>
      <c r="B20" s="1">
        <v>45656</v>
      </c>
      <c r="C20" s="4">
        <v>2550</v>
      </c>
      <c r="D20" s="4">
        <v>2950</v>
      </c>
      <c r="E20" s="5">
        <f t="shared" si="0"/>
        <v>1.1568627450980393</v>
      </c>
      <c r="F20" s="16">
        <f>IF(SUM($C$4:C20)-SUM($D$4:D20)&gt;0, (SUM($C$4:C20)-SUM($D$4:D20))/SUM($C$4:C20), 0)</f>
        <v>8.3047945205479451E-2</v>
      </c>
      <c r="G20" s="6">
        <f t="shared" si="1"/>
        <v>400</v>
      </c>
      <c r="H20" s="8"/>
      <c r="N20" s="4"/>
      <c r="O20" s="4"/>
      <c r="R20" s="1"/>
      <c r="S20" s="4"/>
      <c r="T20" s="4"/>
    </row>
    <row r="21" spans="1:20" x14ac:dyDescent="0.2">
      <c r="A21">
        <v>18</v>
      </c>
      <c r="B21" s="1">
        <v>45663</v>
      </c>
      <c r="C21" s="4">
        <v>1350</v>
      </c>
      <c r="D21" s="4">
        <v>900</v>
      </c>
      <c r="E21" s="5">
        <f t="shared" si="0"/>
        <v>0.66666666666666663</v>
      </c>
      <c r="F21" s="16">
        <f>IF(SUM($C$4:C21)-SUM($D$4:D21)&gt;0, (SUM($C$4:C21)-SUM($D$4:D21))/SUM($C$4:C21), 0)</f>
        <v>8.8702928870292894E-2</v>
      </c>
      <c r="G21" s="6">
        <f t="shared" si="1"/>
        <v>-450</v>
      </c>
      <c r="H21" s="8"/>
      <c r="N21" s="4"/>
      <c r="O21" s="4"/>
      <c r="R21" s="1"/>
      <c r="S21" s="4"/>
      <c r="T21" s="4"/>
    </row>
    <row r="22" spans="1:20" x14ac:dyDescent="0.2">
      <c r="A22">
        <v>19</v>
      </c>
      <c r="B22" s="1">
        <v>45670</v>
      </c>
      <c r="C22" s="4">
        <v>1350</v>
      </c>
      <c r="D22" s="4">
        <v>2100</v>
      </c>
      <c r="E22" s="5">
        <f t="shared" si="0"/>
        <v>1.5555555555555556</v>
      </c>
      <c r="F22" s="16">
        <f>IF(SUM($C$4:C22)-SUM($D$4:D22)&gt;0, (SUM($C$4:C22)-SUM($D$4:D22))/SUM($C$4:C22), 0)</f>
        <v>7.4468085106382975E-2</v>
      </c>
      <c r="G22" s="6">
        <f t="shared" si="1"/>
        <v>750</v>
      </c>
      <c r="H22" s="8"/>
      <c r="N22" s="4"/>
      <c r="O22" s="4"/>
      <c r="R22" s="1"/>
      <c r="S22" s="4"/>
      <c r="T22" s="4"/>
    </row>
    <row r="23" spans="1:20" x14ac:dyDescent="0.2">
      <c r="A23">
        <v>20</v>
      </c>
      <c r="B23" s="1">
        <v>45677</v>
      </c>
      <c r="C23" s="4">
        <v>1250</v>
      </c>
      <c r="D23" s="4">
        <v>2850</v>
      </c>
      <c r="E23" s="5">
        <f t="shared" si="0"/>
        <v>2.2799999999999998</v>
      </c>
      <c r="F23" s="16">
        <f>IF(SUM($C$4:C23)-SUM($D$4:D23)&gt;0, (SUM($C$4:C23)-SUM($D$4:D23))/SUM($C$4:C23), 0)</f>
        <v>4.7313552526062549E-2</v>
      </c>
      <c r="G23" s="6">
        <f t="shared" si="1"/>
        <v>1600</v>
      </c>
      <c r="H23" s="8"/>
      <c r="N23" s="4"/>
      <c r="O23" s="4"/>
      <c r="R23" s="1"/>
      <c r="S23" s="4"/>
      <c r="T23" s="4"/>
    </row>
    <row r="24" spans="1:20" x14ac:dyDescent="0.2">
      <c r="A24">
        <v>21</v>
      </c>
      <c r="B24" s="1">
        <v>45684</v>
      </c>
      <c r="C24" s="4">
        <v>1250</v>
      </c>
      <c r="D24" s="4">
        <v>1550</v>
      </c>
      <c r="E24" s="5">
        <f t="shared" si="0"/>
        <v>1.24</v>
      </c>
      <c r="F24" s="16">
        <f>IF(SUM($C$4:C24)-SUM($D$4:D24)&gt;0, (SUM($C$4:C24)-SUM($D$4:D24))/SUM($C$4:C24), 0)</f>
        <v>4.1666666666666664E-2</v>
      </c>
      <c r="G24" s="6">
        <f t="shared" si="1"/>
        <v>300</v>
      </c>
      <c r="H24" s="8"/>
      <c r="N24" s="4"/>
      <c r="O24" s="4"/>
      <c r="R24" s="1"/>
      <c r="S24" s="4"/>
      <c r="T24" s="4"/>
    </row>
    <row r="25" spans="1:20" x14ac:dyDescent="0.2">
      <c r="A25">
        <v>22</v>
      </c>
      <c r="B25" s="1">
        <v>45691</v>
      </c>
      <c r="C25" s="4">
        <v>350</v>
      </c>
      <c r="D25" s="4">
        <v>950</v>
      </c>
      <c r="E25" s="5">
        <f t="shared" si="0"/>
        <v>2.7142857142857144</v>
      </c>
      <c r="F25" s="16">
        <f>IF(SUM($C$4:C25)-SUM($D$4:D25)&gt;0, (SUM($C$4:C25)-SUM($D$4:D25))/SUM($C$4:C25), 0)</f>
        <v>3.2056293979671621E-2</v>
      </c>
      <c r="G25" s="6">
        <f>D25-C25</f>
        <v>600</v>
      </c>
      <c r="N25" s="4"/>
      <c r="O25" s="4"/>
      <c r="R25" s="1"/>
      <c r="S25" s="4"/>
      <c r="T25" s="4"/>
    </row>
    <row r="26" spans="1:20" x14ac:dyDescent="0.2">
      <c r="A26">
        <v>23</v>
      </c>
      <c r="B26" s="1">
        <v>45698</v>
      </c>
      <c r="C26" s="4">
        <v>350</v>
      </c>
      <c r="D26" s="4">
        <v>700</v>
      </c>
      <c r="E26" s="5">
        <f t="shared" ref="E26:E30" si="2">D26/C26</f>
        <v>2</v>
      </c>
      <c r="F26" s="16">
        <f>IF(SUM($C$4:C26)-SUM($D$4:D26)&gt;0, (SUM($C$4:C26)-SUM($D$4:D26))/SUM($C$4:C26), 0)</f>
        <v>2.6438569206842923E-2</v>
      </c>
      <c r="G26" s="6">
        <f>D26-C26</f>
        <v>350</v>
      </c>
      <c r="N26" s="4"/>
      <c r="O26" s="4"/>
      <c r="R26" s="1"/>
      <c r="S26" s="4"/>
      <c r="T26" s="4"/>
    </row>
    <row r="27" spans="1:20" x14ac:dyDescent="0.2">
      <c r="A27">
        <v>24</v>
      </c>
      <c r="B27" s="1">
        <v>45705</v>
      </c>
      <c r="C27" s="4">
        <v>1050</v>
      </c>
      <c r="D27" s="4">
        <v>1050</v>
      </c>
      <c r="E27" s="5">
        <f t="shared" si="2"/>
        <v>1</v>
      </c>
      <c r="F27" s="16">
        <f>IF(SUM($C$4:C27)-SUM($D$4:D27)&gt;0, (SUM($C$4:C27)-SUM($D$4:D27))/SUM($C$4:C27), 0)</f>
        <v>2.6013771996939557E-2</v>
      </c>
      <c r="G27" s="6"/>
      <c r="N27" s="4"/>
      <c r="O27" s="4"/>
      <c r="R27" s="1"/>
      <c r="S27" s="4"/>
      <c r="T27" s="4"/>
    </row>
    <row r="28" spans="1:20" x14ac:dyDescent="0.2">
      <c r="A28">
        <v>25</v>
      </c>
      <c r="B28" s="1">
        <v>45712</v>
      </c>
      <c r="C28" s="4">
        <v>1050</v>
      </c>
      <c r="D28" s="4">
        <v>1050</v>
      </c>
      <c r="E28" s="5">
        <f t="shared" si="2"/>
        <v>1</v>
      </c>
      <c r="F28" s="16">
        <f>IF(SUM($C$4:C28)-SUM($D$4:D28)&gt;0, (SUM($C$4:C28)-SUM($D$4:D28))/SUM($C$4:C28), 0)</f>
        <v>2.5602409638554216E-2</v>
      </c>
      <c r="G28" s="6"/>
      <c r="N28" s="4"/>
      <c r="O28" s="4"/>
      <c r="R28" s="1"/>
      <c r="S28" s="4"/>
      <c r="T28" s="4"/>
    </row>
    <row r="29" spans="1:20" x14ac:dyDescent="0.2">
      <c r="A29">
        <v>26</v>
      </c>
      <c r="B29" s="1">
        <v>45719</v>
      </c>
      <c r="C29" s="4">
        <v>1050</v>
      </c>
      <c r="D29" s="4">
        <v>1050</v>
      </c>
      <c r="E29" s="5">
        <f t="shared" si="2"/>
        <v>1</v>
      </c>
      <c r="F29" s="16">
        <f>IF(SUM($C$4:C29)-SUM($D$4:D29)&gt;0, (SUM($C$4:C29)-SUM($D$4:D29))/SUM($C$4:C29), 0)</f>
        <v>2.5203854707190512E-2</v>
      </c>
      <c r="G29" s="6"/>
      <c r="N29" s="4"/>
      <c r="O29" s="4"/>
      <c r="R29" s="1"/>
      <c r="S29" s="4"/>
      <c r="T29" s="4"/>
    </row>
    <row r="30" spans="1:20" x14ac:dyDescent="0.2">
      <c r="A30">
        <v>27</v>
      </c>
      <c r="B30" s="1">
        <v>45726</v>
      </c>
      <c r="C30" s="4">
        <v>1750</v>
      </c>
      <c r="D30" s="4">
        <v>1400</v>
      </c>
      <c r="E30" s="5">
        <f t="shared" si="2"/>
        <v>0.8</v>
      </c>
      <c r="F30" s="16">
        <f>IF(SUM($C$4:C31)-SUM($D$4:D31)&gt;0, (SUM($C$4:C31)-SUM($D$4:D31))/SUM($C$4:C31), 0)</f>
        <v>5.7543859649122807E-2</v>
      </c>
      <c r="G30" s="6"/>
      <c r="R30" s="1"/>
      <c r="S30" s="4"/>
      <c r="T30" s="4"/>
    </row>
    <row r="31" spans="1:20" x14ac:dyDescent="0.2">
      <c r="A31">
        <v>28</v>
      </c>
      <c r="B31" s="1">
        <v>45733</v>
      </c>
      <c r="C31" s="4">
        <v>2050</v>
      </c>
      <c r="D31" s="4"/>
      <c r="E31" s="5"/>
      <c r="F31" s="16">
        <f>IF(SUM($C$4:C31)-SUM($D$4:D31)&gt;0, (SUM($C$4:C31)-SUM($D$4:D31))/SUM($C$4:C31), 0)</f>
        <v>5.7543859649122807E-2</v>
      </c>
      <c r="G31" s="6"/>
      <c r="R31" s="1"/>
      <c r="S31" s="4"/>
      <c r="T31" s="4"/>
    </row>
    <row r="32" spans="1:20" x14ac:dyDescent="0.2">
      <c r="R32" s="1"/>
      <c r="S32" s="4"/>
      <c r="T32" s="4"/>
    </row>
    <row r="33" spans="2:20" x14ac:dyDescent="0.2">
      <c r="B33" s="2"/>
      <c r="C33" s="3"/>
      <c r="D33" s="3"/>
      <c r="E33" s="5"/>
      <c r="F33" s="5"/>
      <c r="G33" s="6"/>
      <c r="R33" s="1"/>
      <c r="S33" s="4"/>
      <c r="T33" s="4"/>
    </row>
    <row r="34" spans="2:20" x14ac:dyDescent="0.2">
      <c r="R34" s="1"/>
      <c r="S34" s="4"/>
      <c r="T34" s="4"/>
    </row>
    <row r="35" spans="2:20" x14ac:dyDescent="0.2">
      <c r="B35" s="2"/>
      <c r="C35" s="3"/>
      <c r="D35" s="3"/>
      <c r="R35" s="1"/>
      <c r="S35" s="4"/>
      <c r="T35" s="4"/>
    </row>
    <row r="36" spans="2:20" x14ac:dyDescent="0.2">
      <c r="R36" s="1"/>
      <c r="S36" s="4"/>
    </row>
    <row r="38" spans="2:20" x14ac:dyDescent="0.2">
      <c r="S38" t="s">
        <v>5</v>
      </c>
    </row>
  </sheetData>
  <mergeCells count="2">
    <mergeCell ref="B1:E2"/>
    <mergeCell ref="A1:A2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0FF67-8CBB-2E44-A16C-C624A81A89CC}">
  <dimension ref="A1:M27"/>
  <sheetViews>
    <sheetView workbookViewId="0">
      <selection activeCell="D27" sqref="D27"/>
    </sheetView>
  </sheetViews>
  <sheetFormatPr baseColWidth="10" defaultRowHeight="16" x14ac:dyDescent="0.2"/>
  <cols>
    <col min="3" max="4" width="11.5" bestFit="1" customWidth="1"/>
    <col min="5" max="5" width="25.6640625" bestFit="1" customWidth="1"/>
    <col min="6" max="6" width="25.6640625" customWidth="1"/>
    <col min="7" max="7" width="24" bestFit="1" customWidth="1"/>
    <col min="9" max="9" width="25.6640625" bestFit="1" customWidth="1"/>
    <col min="10" max="10" width="12.1640625" bestFit="1" customWidth="1"/>
    <col min="12" max="12" width="17.33203125" bestFit="1" customWidth="1"/>
  </cols>
  <sheetData>
    <row r="1" spans="1:13" ht="27" x14ac:dyDescent="0.2">
      <c r="A1" s="55" t="s">
        <v>26</v>
      </c>
      <c r="B1" s="55" t="s">
        <v>2</v>
      </c>
      <c r="C1" s="55"/>
      <c r="D1" s="55"/>
      <c r="E1" s="55"/>
      <c r="F1" s="15"/>
      <c r="G1" s="9"/>
      <c r="H1" s="10"/>
    </row>
    <row r="2" spans="1:13" ht="27" x14ac:dyDescent="0.2">
      <c r="A2" s="55"/>
      <c r="B2" s="55"/>
      <c r="C2" s="55"/>
      <c r="D2" s="55"/>
      <c r="E2" s="55"/>
      <c r="F2" s="15"/>
      <c r="I2" t="s">
        <v>2</v>
      </c>
    </row>
    <row r="3" spans="1:13" x14ac:dyDescent="0.2">
      <c r="A3" t="s">
        <v>19</v>
      </c>
      <c r="B3" t="s">
        <v>18</v>
      </c>
      <c r="C3" s="2" t="s">
        <v>1</v>
      </c>
      <c r="D3" s="2" t="s">
        <v>20</v>
      </c>
      <c r="E3" t="s">
        <v>9</v>
      </c>
      <c r="F3" t="s">
        <v>40</v>
      </c>
      <c r="G3" t="s">
        <v>8</v>
      </c>
      <c r="I3" s="9" t="s">
        <v>39</v>
      </c>
      <c r="J3" s="16" cm="1">
        <f t="array" ref="J3">AVERAGE(IF(Table2[Cumplimiento de Meta %]&gt;=100%,1,0))</f>
        <v>0.40909090909090912</v>
      </c>
      <c r="L3" t="s">
        <v>41</v>
      </c>
      <c r="M3">
        <f>(COUNT(Table2[[#All],[Semana]])*7)/30</f>
        <v>5.1333333333333337</v>
      </c>
    </row>
    <row r="4" spans="1:13" x14ac:dyDescent="0.2">
      <c r="A4">
        <v>1</v>
      </c>
      <c r="B4" s="1">
        <v>45586</v>
      </c>
      <c r="C4" s="4">
        <v>600</v>
      </c>
      <c r="D4" s="4">
        <v>600</v>
      </c>
      <c r="E4" s="5">
        <f>D4/C4</f>
        <v>1</v>
      </c>
      <c r="F4" s="7">
        <f>IF(SUM($C$4:C5)-SUM($D$4:D5)&gt;0, (SUM($C$4:C5)-SUM($D$4:D5))/SUM($C$4:C5), 0)</f>
        <v>0</v>
      </c>
      <c r="G4" s="6">
        <f>D4-C4</f>
        <v>0</v>
      </c>
      <c r="I4" s="4"/>
      <c r="J4" s="4"/>
    </row>
    <row r="5" spans="1:13" x14ac:dyDescent="0.2">
      <c r="A5">
        <v>2</v>
      </c>
      <c r="B5" s="1">
        <v>45593</v>
      </c>
      <c r="C5" s="4">
        <v>1800</v>
      </c>
      <c r="D5" s="4">
        <v>1800</v>
      </c>
      <c r="E5" s="5">
        <f t="shared" ref="E5:E18" si="0">D5/C5</f>
        <v>1</v>
      </c>
      <c r="F5" s="7">
        <f>IF(SUM($C$4:C6)-SUM($D$4:D6)&gt;0, (SUM($C$4:C6)-SUM($D$4:D6))/SUM($C$4:C6), 0)</f>
        <v>0</v>
      </c>
      <c r="G5" s="6">
        <f t="shared" ref="G5:G18" si="1">D5-C5</f>
        <v>0</v>
      </c>
      <c r="I5" s="4" t="s">
        <v>21</v>
      </c>
      <c r="J5" s="4">
        <f>SUM(Table2[[#All],[Meta]])</f>
        <v>131850</v>
      </c>
    </row>
    <row r="6" spans="1:13" x14ac:dyDescent="0.2">
      <c r="A6">
        <v>3</v>
      </c>
      <c r="B6" s="1">
        <v>45600</v>
      </c>
      <c r="C6" s="4">
        <v>2400</v>
      </c>
      <c r="D6" s="4">
        <v>2700</v>
      </c>
      <c r="E6" s="5">
        <f t="shared" si="0"/>
        <v>1.125</v>
      </c>
      <c r="F6" s="7">
        <f>IF(SUM($C$4:C7)-SUM($D$4:D7)&gt;0, (SUM($C$4:C7)-SUM($D$4:D7))/SUM($C$4:C7), 0)</f>
        <v>0</v>
      </c>
      <c r="G6" s="6">
        <f>D6-C6</f>
        <v>300</v>
      </c>
      <c r="I6" s="4" t="s">
        <v>22</v>
      </c>
      <c r="J6" s="4">
        <f>SUM(Table2[[#All],[Cobranza]])</f>
        <v>87250</v>
      </c>
    </row>
    <row r="7" spans="1:13" x14ac:dyDescent="0.2">
      <c r="A7">
        <v>4</v>
      </c>
      <c r="B7" s="1">
        <v>45607</v>
      </c>
      <c r="C7" s="4">
        <v>3000</v>
      </c>
      <c r="D7" s="4">
        <v>2700</v>
      </c>
      <c r="E7" s="5">
        <f t="shared" si="0"/>
        <v>0.9</v>
      </c>
      <c r="F7" s="7">
        <f>IF(SUM($C$4:C8)-SUM($D$4:D8)&gt;0, (SUM($C$4:C8)-SUM($D$4:D8))/SUM($C$4:C8), 0)</f>
        <v>0</v>
      </c>
      <c r="G7" s="6">
        <f t="shared" si="1"/>
        <v>-300</v>
      </c>
      <c r="I7" s="4" t="s">
        <v>23</v>
      </c>
      <c r="J7" s="4">
        <f>SUM(Table2[[#All],[Didiferencia Absoluta]])</f>
        <v>-44600</v>
      </c>
    </row>
    <row r="8" spans="1:13" x14ac:dyDescent="0.2">
      <c r="A8">
        <v>5</v>
      </c>
      <c r="B8" s="1">
        <v>45614</v>
      </c>
      <c r="C8" s="4">
        <v>3900</v>
      </c>
      <c r="D8" s="4">
        <v>4200</v>
      </c>
      <c r="E8" s="5">
        <f t="shared" si="0"/>
        <v>1.0769230769230769</v>
      </c>
      <c r="F8" s="7">
        <f>IF(SUM($C$4:C9)-SUM($D$4:D9)&gt;0, (SUM($C$4:C9)-SUM($D$4:D9))/SUM($C$4:C9), 0)</f>
        <v>0</v>
      </c>
      <c r="G8" s="6">
        <f t="shared" si="1"/>
        <v>300</v>
      </c>
      <c r="I8" t="s">
        <v>24</v>
      </c>
      <c r="J8" s="16">
        <f>(J7/J5)*-1</f>
        <v>0.33826317785362153</v>
      </c>
    </row>
    <row r="9" spans="1:13" x14ac:dyDescent="0.2">
      <c r="A9">
        <v>6</v>
      </c>
      <c r="B9" s="1">
        <v>45621</v>
      </c>
      <c r="C9" s="4">
        <v>3900</v>
      </c>
      <c r="D9" s="4">
        <v>3600</v>
      </c>
      <c r="E9" s="5">
        <f t="shared" si="0"/>
        <v>0.92307692307692313</v>
      </c>
      <c r="F9" s="7">
        <f>IF(SUM($C$4:C10)-SUM($D$4:D10)&gt;0, (SUM($C$4:C10)-SUM($D$4:D10))/SUM($C$4:C10), 0)</f>
        <v>0</v>
      </c>
      <c r="G9" s="6">
        <f t="shared" si="1"/>
        <v>-300</v>
      </c>
    </row>
    <row r="10" spans="1:13" x14ac:dyDescent="0.2">
      <c r="A10">
        <v>7</v>
      </c>
      <c r="B10" s="1">
        <v>45628</v>
      </c>
      <c r="C10" s="4">
        <v>5400</v>
      </c>
      <c r="D10" s="4">
        <v>5400</v>
      </c>
      <c r="E10" s="5">
        <f t="shared" si="0"/>
        <v>1</v>
      </c>
      <c r="F10" s="7">
        <f>IF(SUM($C$4:C11)-SUM($D$4:D11)&gt;0, (SUM($C$4:C11)-SUM($D$4:D11))/SUM($C$4:C11), 0)</f>
        <v>0</v>
      </c>
      <c r="G10" s="6">
        <f t="shared" si="1"/>
        <v>0</v>
      </c>
    </row>
    <row r="11" spans="1:13" x14ac:dyDescent="0.2">
      <c r="A11">
        <v>8</v>
      </c>
      <c r="B11" s="1">
        <v>45635</v>
      </c>
      <c r="C11" s="4">
        <v>6300</v>
      </c>
      <c r="D11" s="4">
        <v>6300</v>
      </c>
      <c r="E11" s="5">
        <f t="shared" si="0"/>
        <v>1</v>
      </c>
      <c r="F11" s="7">
        <f>IF(SUM($C$4:C12)-SUM($D$4:D12)&gt;0, (SUM($C$4:C12)-SUM($D$4:D12))/SUM($C$4:C12), 0)</f>
        <v>0</v>
      </c>
      <c r="G11" s="6">
        <f t="shared" si="1"/>
        <v>0</v>
      </c>
    </row>
    <row r="12" spans="1:13" x14ac:dyDescent="0.2">
      <c r="A12">
        <v>9</v>
      </c>
      <c r="B12" s="1">
        <v>45642</v>
      </c>
      <c r="C12" s="4">
        <v>7800</v>
      </c>
      <c r="D12" s="4">
        <v>7800</v>
      </c>
      <c r="E12" s="5">
        <f t="shared" si="0"/>
        <v>1</v>
      </c>
      <c r="F12" s="7">
        <f>IF(SUM($C$4:C13)-SUM($D$4:D13)&gt;0, (SUM($C$4:C13)-SUM($D$4:D13))/SUM($C$4:C13), 0)</f>
        <v>4.1095890410958902E-2</v>
      </c>
      <c r="G12" s="6">
        <f t="shared" si="1"/>
        <v>0</v>
      </c>
    </row>
    <row r="13" spans="1:13" x14ac:dyDescent="0.2">
      <c r="A13">
        <v>10</v>
      </c>
      <c r="B13" s="1">
        <v>45649</v>
      </c>
      <c r="C13" s="4">
        <v>8700</v>
      </c>
      <c r="D13" s="4">
        <v>6900</v>
      </c>
      <c r="E13" s="5">
        <f t="shared" si="0"/>
        <v>0.7931034482758621</v>
      </c>
      <c r="F13" s="7">
        <f>IF(SUM($C$4:C14)-SUM($D$4:D14)&gt;0, (SUM($C$4:C14)-SUM($D$4:D14))/SUM($C$4:C14), 0)</f>
        <v>0</v>
      </c>
      <c r="G13" s="6">
        <f t="shared" si="1"/>
        <v>-1800</v>
      </c>
    </row>
    <row r="14" spans="1:13" x14ac:dyDescent="0.2">
      <c r="A14">
        <v>11</v>
      </c>
      <c r="B14" s="1">
        <v>45656</v>
      </c>
      <c r="C14" s="4">
        <v>8750</v>
      </c>
      <c r="D14" s="4">
        <v>10550</v>
      </c>
      <c r="E14" s="5">
        <f t="shared" si="0"/>
        <v>1.2057142857142857</v>
      </c>
      <c r="F14" s="7">
        <f>IF(SUM($C$4:C15)-SUM($D$4:D15)&gt;0, (SUM($C$4:C15)-SUM($D$4:D15))/SUM($C$4:C15), 0)</f>
        <v>5.0447518307567128E-2</v>
      </c>
      <c r="G14" s="6">
        <f t="shared" si="1"/>
        <v>1800</v>
      </c>
    </row>
    <row r="15" spans="1:13" x14ac:dyDescent="0.2">
      <c r="A15">
        <v>12</v>
      </c>
      <c r="B15" s="1">
        <v>45663</v>
      </c>
      <c r="C15" s="4">
        <v>8900</v>
      </c>
      <c r="D15" s="4">
        <v>5800</v>
      </c>
      <c r="E15" s="5">
        <f t="shared" si="0"/>
        <v>0.651685393258427</v>
      </c>
      <c r="F15" s="7">
        <f>IF(SUM($C$4:C16)-SUM($D$4:D16)&gt;0, (SUM($C$4:C16)-SUM($D$4:D16))/SUM($C$4:C16), 0)</f>
        <v>0.14072494669509594</v>
      </c>
      <c r="G15" s="6">
        <f t="shared" si="1"/>
        <v>-3100</v>
      </c>
    </row>
    <row r="16" spans="1:13" x14ac:dyDescent="0.2">
      <c r="A16">
        <v>13</v>
      </c>
      <c r="B16" s="1">
        <v>45670</v>
      </c>
      <c r="C16" s="4">
        <v>8900</v>
      </c>
      <c r="D16" s="4">
        <v>2100</v>
      </c>
      <c r="E16" s="5">
        <f t="shared" si="0"/>
        <v>0.23595505617977527</v>
      </c>
      <c r="F16" s="7">
        <f>IF(SUM($C$4:C17)-SUM($D$4:D17)&gt;0, (SUM($C$4:C17)-SUM($D$4:D17))/SUM($C$4:C17), 0)</f>
        <v>0.12429022082018927</v>
      </c>
      <c r="G16" s="6">
        <f t="shared" si="1"/>
        <v>-6800</v>
      </c>
    </row>
    <row r="17" spans="1:7" x14ac:dyDescent="0.2">
      <c r="A17">
        <v>14</v>
      </c>
      <c r="B17" s="1">
        <v>45677</v>
      </c>
      <c r="C17" s="4">
        <v>8900</v>
      </c>
      <c r="D17" s="4">
        <v>8950</v>
      </c>
      <c r="E17" s="5">
        <f t="shared" si="0"/>
        <v>1.0056179775280898</v>
      </c>
      <c r="F17" s="7">
        <f>IF(SUM($C$4:C18)-SUM($D$4:D18)&gt;0, (SUM($C$4:C18)-SUM($D$4:D18))/SUM($C$4:C18), 0)</f>
        <v>0.15711854792966534</v>
      </c>
      <c r="G17" s="6">
        <f t="shared" si="1"/>
        <v>50</v>
      </c>
    </row>
    <row r="18" spans="1:7" x14ac:dyDescent="0.2">
      <c r="A18">
        <v>15</v>
      </c>
      <c r="B18" s="1">
        <v>45684</v>
      </c>
      <c r="C18" s="4">
        <v>8900</v>
      </c>
      <c r="D18" s="4">
        <v>4900</v>
      </c>
      <c r="E18" s="5">
        <f t="shared" si="0"/>
        <v>0.550561797752809</v>
      </c>
      <c r="F18" s="7">
        <f>IF(SUM($C$4:C19)-SUM($D$4:D19)&gt;0, (SUM($C$4:C19)-SUM($D$4:D19))/SUM($C$4:C19), 0)</f>
        <v>0.19604784191367655</v>
      </c>
      <c r="G18" s="6">
        <f t="shared" si="1"/>
        <v>-4000</v>
      </c>
    </row>
    <row r="19" spans="1:7" x14ac:dyDescent="0.2">
      <c r="A19">
        <v>16</v>
      </c>
      <c r="B19" s="1">
        <v>45691</v>
      </c>
      <c r="C19" s="4">
        <v>8000</v>
      </c>
      <c r="D19" s="4">
        <v>3000</v>
      </c>
      <c r="E19" s="5">
        <f t="shared" ref="E19:E24" si="2">D19/C19</f>
        <v>0.375</v>
      </c>
      <c r="F19" s="7">
        <f>IF(SUM($C$4:C20)-SUM($D$4:D20)&gt;0, (SUM($C$4:C20)-SUM($D$4:D20))/SUM($C$4:C20), 0)</f>
        <v>0.25565719788155994</v>
      </c>
      <c r="G19" s="6">
        <f t="shared" ref="G19:G24" si="3">D19-C19</f>
        <v>-5000</v>
      </c>
    </row>
    <row r="20" spans="1:7" x14ac:dyDescent="0.2">
      <c r="A20">
        <v>17</v>
      </c>
      <c r="B20" s="1">
        <v>45698</v>
      </c>
      <c r="C20" s="4">
        <v>7700</v>
      </c>
      <c r="D20" s="4">
        <v>0</v>
      </c>
      <c r="E20" s="5">
        <f t="shared" si="2"/>
        <v>0</v>
      </c>
      <c r="F20" s="7">
        <f>IF(SUM($C$4:C21)-SUM($D$4:D21)&gt;0, (SUM($C$4:C21)-SUM($D$4:D21))/SUM($C$4:C21), 0)</f>
        <v>0.24064894096439837</v>
      </c>
      <c r="G20" s="6">
        <f t="shared" si="3"/>
        <v>-7700</v>
      </c>
    </row>
    <row r="21" spans="1:7" x14ac:dyDescent="0.2">
      <c r="A21">
        <v>18</v>
      </c>
      <c r="B21" s="1">
        <v>45705</v>
      </c>
      <c r="C21" s="4">
        <v>7100</v>
      </c>
      <c r="D21" s="4">
        <v>6950</v>
      </c>
      <c r="E21" s="5">
        <f t="shared" si="2"/>
        <v>0.97887323943661975</v>
      </c>
      <c r="F21" s="7">
        <f>IF(SUM($C$4:C22)-SUM($D$4:D22)&gt;0, (SUM($C$4:C22)-SUM($D$4:D22))/SUM($C$4:C22), 0)</f>
        <v>0.26803243704652158</v>
      </c>
      <c r="G21" s="6">
        <f t="shared" si="3"/>
        <v>-150</v>
      </c>
    </row>
    <row r="22" spans="1:7" x14ac:dyDescent="0.2">
      <c r="A22">
        <v>19</v>
      </c>
      <c r="B22" s="1">
        <v>45712</v>
      </c>
      <c r="C22" s="4">
        <v>6200</v>
      </c>
      <c r="D22" s="4">
        <v>1500</v>
      </c>
      <c r="E22" s="5">
        <f t="shared" si="2"/>
        <v>0.24193548387096775</v>
      </c>
      <c r="F22" s="7">
        <f>IF(SUM($C$4:C25)-SUM($D$4:D25)&gt;0, (SUM($C$4:C25)-SUM($D$4:D25))/SUM($C$4:C25), 0)</f>
        <v>0.33826317785362153</v>
      </c>
      <c r="G22" s="6">
        <f t="shared" si="3"/>
        <v>-4700</v>
      </c>
    </row>
    <row r="23" spans="1:7" x14ac:dyDescent="0.2">
      <c r="A23">
        <v>20</v>
      </c>
      <c r="B23" s="1">
        <v>45719</v>
      </c>
      <c r="C23" s="4">
        <v>6200</v>
      </c>
      <c r="D23" s="4">
        <v>0</v>
      </c>
      <c r="E23" s="5">
        <f t="shared" si="2"/>
        <v>0</v>
      </c>
      <c r="F23" s="7">
        <f>IF(SUM($C$4:C26)-SUM($D$4:D26)&gt;0, (SUM($C$4:C26)-SUM($D$4:D26))/SUM($C$4:C26), 0)</f>
        <v>0.33826317785362153</v>
      </c>
      <c r="G23" s="6">
        <f t="shared" si="3"/>
        <v>-6200</v>
      </c>
    </row>
    <row r="24" spans="1:7" x14ac:dyDescent="0.2">
      <c r="A24">
        <v>21</v>
      </c>
      <c r="B24" s="1">
        <v>45726</v>
      </c>
      <c r="C24" s="4">
        <v>4700</v>
      </c>
      <c r="D24" s="4">
        <v>1500</v>
      </c>
      <c r="E24" s="5">
        <f t="shared" si="2"/>
        <v>0.31914893617021278</v>
      </c>
      <c r="F24" s="7">
        <f>IF(SUM($C$4:C26)-SUM($D$4:D26)&gt;0, (SUM($C$4:C26)-SUM($D$4:D26))/SUM($C$4:C26), 0)</f>
        <v>0.33826317785362153</v>
      </c>
      <c r="G24" s="6">
        <f t="shared" si="3"/>
        <v>-3200</v>
      </c>
    </row>
    <row r="25" spans="1:7" x14ac:dyDescent="0.2">
      <c r="A25">
        <v>22</v>
      </c>
      <c r="B25" s="1">
        <v>45733</v>
      </c>
      <c r="C25" s="4">
        <v>3800</v>
      </c>
      <c r="D25" s="4"/>
      <c r="E25" s="5">
        <f>D25/C25</f>
        <v>0</v>
      </c>
      <c r="F25" s="7">
        <f>IF(SUM($C$4:C26)-SUM($D$4:D26)&gt;0, (SUM($C$4:C26)-SUM($D$4:D26))/SUM($C$4:C26), 0)</f>
        <v>0.33826317785362153</v>
      </c>
      <c r="G25" s="6">
        <f>D25-C25</f>
        <v>-3800</v>
      </c>
    </row>
    <row r="27" spans="1:7" x14ac:dyDescent="0.2">
      <c r="G27" s="7"/>
    </row>
  </sheetData>
  <mergeCells count="2">
    <mergeCell ref="B1:E2"/>
    <mergeCell ref="A1:A2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C4DF4-61A5-2445-BDDF-748176EC6166}">
  <dimension ref="A1:I4"/>
  <sheetViews>
    <sheetView workbookViewId="0">
      <selection activeCell="E10" sqref="E10"/>
    </sheetView>
  </sheetViews>
  <sheetFormatPr baseColWidth="10" defaultRowHeight="16" x14ac:dyDescent="0.2"/>
  <cols>
    <col min="4" max="4" width="11.33203125" customWidth="1"/>
    <col min="5" max="5" width="24" customWidth="1"/>
    <col min="6" max="6" width="21.33203125" customWidth="1"/>
  </cols>
  <sheetData>
    <row r="1" spans="1:9" x14ac:dyDescent="0.2">
      <c r="A1" s="57" t="s">
        <v>27</v>
      </c>
      <c r="B1" s="57" t="s">
        <v>3</v>
      </c>
      <c r="C1" s="57"/>
      <c r="D1" s="57"/>
      <c r="E1" s="57"/>
      <c r="F1" s="56" t="s">
        <v>6</v>
      </c>
    </row>
    <row r="2" spans="1:9" x14ac:dyDescent="0.2">
      <c r="A2" s="57"/>
      <c r="B2" s="57"/>
      <c r="C2" s="57"/>
      <c r="D2" s="57"/>
      <c r="E2" s="57"/>
      <c r="F2" s="56"/>
      <c r="I2" t="s">
        <v>3</v>
      </c>
    </row>
    <row r="3" spans="1:9" x14ac:dyDescent="0.2">
      <c r="A3" t="s">
        <v>19</v>
      </c>
      <c r="B3" t="s">
        <v>18</v>
      </c>
      <c r="C3" s="2" t="s">
        <v>1</v>
      </c>
      <c r="D3" s="2" t="s">
        <v>20</v>
      </c>
      <c r="E3" t="s">
        <v>9</v>
      </c>
      <c r="F3" t="s">
        <v>8</v>
      </c>
    </row>
    <row r="4" spans="1:9" x14ac:dyDescent="0.2">
      <c r="A4">
        <v>1</v>
      </c>
    </row>
  </sheetData>
  <mergeCells count="3">
    <mergeCell ref="F1:F2"/>
    <mergeCell ref="A1:A2"/>
    <mergeCell ref="B1:E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7C0FB-155A-2E4B-B10D-B9320D9138C3}">
  <dimension ref="A1:M42"/>
  <sheetViews>
    <sheetView topLeftCell="A20" zoomScale="90" zoomScaleNormal="90" workbookViewId="0">
      <selection activeCell="D43" sqref="D43"/>
    </sheetView>
  </sheetViews>
  <sheetFormatPr baseColWidth="10" defaultRowHeight="16" x14ac:dyDescent="0.2"/>
  <cols>
    <col min="3" max="4" width="13.5" bestFit="1" customWidth="1"/>
    <col min="5" max="6" width="25.1640625" customWidth="1"/>
    <col min="7" max="7" width="20.33203125" customWidth="1"/>
    <col min="9" max="9" width="26.1640625" bestFit="1" customWidth="1"/>
    <col min="10" max="10" width="13.5" bestFit="1" customWidth="1"/>
    <col min="12" max="12" width="17.5" bestFit="1" customWidth="1"/>
  </cols>
  <sheetData>
    <row r="1" spans="1:13" ht="27" x14ac:dyDescent="0.2">
      <c r="A1" s="55" t="s">
        <v>28</v>
      </c>
      <c r="B1" s="55" t="s">
        <v>4</v>
      </c>
      <c r="C1" s="55"/>
      <c r="D1" s="55"/>
      <c r="E1" s="55"/>
      <c r="F1" s="15"/>
      <c r="G1" s="9"/>
      <c r="H1" s="10"/>
    </row>
    <row r="2" spans="1:13" ht="27" x14ac:dyDescent="0.2">
      <c r="A2" s="55"/>
      <c r="B2" s="55"/>
      <c r="C2" s="55"/>
      <c r="D2" s="55"/>
      <c r="E2" s="55"/>
      <c r="F2" s="15"/>
      <c r="I2" t="s">
        <v>4</v>
      </c>
    </row>
    <row r="3" spans="1:13" x14ac:dyDescent="0.2">
      <c r="A3" t="s">
        <v>19</v>
      </c>
      <c r="B3" t="s">
        <v>18</v>
      </c>
      <c r="C3" s="2" t="s">
        <v>1</v>
      </c>
      <c r="D3" s="2" t="s">
        <v>20</v>
      </c>
      <c r="E3" t="s">
        <v>9</v>
      </c>
      <c r="F3" t="s">
        <v>40</v>
      </c>
      <c r="G3" t="s">
        <v>10</v>
      </c>
      <c r="I3" s="9" t="s">
        <v>39</v>
      </c>
      <c r="J3" s="16" cm="1">
        <f t="array" ref="J3">AVERAGE(IF(Table4[Cumplimiento de Meta %]&gt;=100%,1,0))</f>
        <v>0.82051282051282048</v>
      </c>
      <c r="L3" t="s">
        <v>41</v>
      </c>
      <c r="M3" s="18">
        <f>(COUNT(Table4[[#All],[Semana]])*7)/30</f>
        <v>9.1</v>
      </c>
    </row>
    <row r="4" spans="1:13" x14ac:dyDescent="0.2">
      <c r="A4">
        <v>1</v>
      </c>
      <c r="B4" s="1">
        <v>45467</v>
      </c>
      <c r="C4" s="4">
        <v>500</v>
      </c>
      <c r="D4" s="4">
        <v>500</v>
      </c>
      <c r="E4" s="5">
        <f>D4/C4</f>
        <v>1</v>
      </c>
      <c r="F4" s="16">
        <f>IF(SUM($C$4:C4)-SUM($D$4:D4)&gt;0, (SUM($C$4:C4)-SUM($D$4:D4))/SUM($C$4:C4), 0)</f>
        <v>0</v>
      </c>
      <c r="G4" s="6">
        <f>D4-C4</f>
        <v>0</v>
      </c>
      <c r="I4" s="4"/>
      <c r="J4" s="4"/>
    </row>
    <row r="5" spans="1:13" x14ac:dyDescent="0.2">
      <c r="A5">
        <v>2</v>
      </c>
      <c r="B5" s="1">
        <v>45474</v>
      </c>
      <c r="C5" s="4">
        <v>1000</v>
      </c>
      <c r="D5" s="4">
        <v>1000</v>
      </c>
      <c r="E5" s="5">
        <f t="shared" ref="E5:E35" si="0">D5/C5</f>
        <v>1</v>
      </c>
      <c r="F5" s="16">
        <f>IF(SUM($C$4:C5)-SUM($D$4:D5)&gt;0, (SUM($C$4:C5)-SUM($D$4:D5))/SUM($C$4:C5), 0)</f>
        <v>0</v>
      </c>
      <c r="G5" s="6">
        <f t="shared" ref="G5:G35" si="1">D5-C5</f>
        <v>0</v>
      </c>
      <c r="I5" s="4" t="s">
        <v>21</v>
      </c>
      <c r="J5" s="4">
        <f>SUM(Table4[[#All],[Meta]])</f>
        <v>131450</v>
      </c>
    </row>
    <row r="6" spans="1:13" x14ac:dyDescent="0.2">
      <c r="A6">
        <v>3</v>
      </c>
      <c r="B6" s="1">
        <v>45481</v>
      </c>
      <c r="C6" s="4">
        <v>1000</v>
      </c>
      <c r="D6" s="4">
        <v>1000</v>
      </c>
      <c r="E6" s="5">
        <f t="shared" si="0"/>
        <v>1</v>
      </c>
      <c r="F6" s="16">
        <f>IF(SUM($C$4:C6)-SUM($D$4:D6)&gt;0, (SUM($C$4:C6)-SUM($D$4:D6))/SUM($C$4:C6), 0)</f>
        <v>0</v>
      </c>
      <c r="G6" s="6">
        <f t="shared" si="1"/>
        <v>0</v>
      </c>
      <c r="I6" s="4" t="s">
        <v>22</v>
      </c>
      <c r="J6" s="4">
        <f>SUM(Table4[[#All],[Cobranza]])</f>
        <v>133050</v>
      </c>
    </row>
    <row r="7" spans="1:13" x14ac:dyDescent="0.2">
      <c r="A7">
        <v>4</v>
      </c>
      <c r="B7" s="1">
        <v>45488</v>
      </c>
      <c r="C7" s="4">
        <v>1250</v>
      </c>
      <c r="D7" s="4">
        <v>1250</v>
      </c>
      <c r="E7" s="5">
        <f t="shared" si="0"/>
        <v>1</v>
      </c>
      <c r="F7" s="16">
        <f>IF(SUM($C$4:C7)-SUM($D$4:D7)&gt;0, (SUM($C$4:C7)-SUM($D$4:D7))/SUM($C$4:C7), 0)</f>
        <v>0</v>
      </c>
      <c r="G7" s="6">
        <f t="shared" si="1"/>
        <v>0</v>
      </c>
      <c r="I7" s="4" t="s">
        <v>23</v>
      </c>
      <c r="J7" s="4">
        <f>SUM(Table4[[#All],[Diferencia Absoluta]])</f>
        <v>1600</v>
      </c>
    </row>
    <row r="8" spans="1:13" x14ac:dyDescent="0.2">
      <c r="A8">
        <v>5</v>
      </c>
      <c r="B8" s="1">
        <v>45495</v>
      </c>
      <c r="C8" s="4">
        <v>1750</v>
      </c>
      <c r="D8" s="4">
        <v>1750</v>
      </c>
      <c r="E8" s="5">
        <f t="shared" si="0"/>
        <v>1</v>
      </c>
      <c r="F8" s="16">
        <f>IF(SUM($C$4:C8)-SUM($D$4:D8)&gt;0, (SUM($C$4:C8)-SUM($D$4:D8))/SUM($C$4:C8), 0)</f>
        <v>0</v>
      </c>
      <c r="G8" s="6">
        <f t="shared" si="1"/>
        <v>0</v>
      </c>
      <c r="I8" t="s">
        <v>24</v>
      </c>
      <c r="J8" s="16">
        <f>(J7/J5)*-1</f>
        <v>-1.2171928489920122E-2</v>
      </c>
      <c r="K8" s="7"/>
      <c r="L8" s="16"/>
    </row>
    <row r="9" spans="1:13" x14ac:dyDescent="0.2">
      <c r="A9">
        <v>6</v>
      </c>
      <c r="B9" s="1">
        <v>45502</v>
      </c>
      <c r="C9" s="4">
        <v>2000</v>
      </c>
      <c r="D9" s="4">
        <v>2250</v>
      </c>
      <c r="E9" s="5">
        <f t="shared" si="0"/>
        <v>1.125</v>
      </c>
      <c r="F9" s="16">
        <f>IF(SUM($C$4:C9)-SUM($D$4:D9)&gt;0, (SUM($C$4:C9)-SUM($D$4:D9))/SUM($C$4:C9), 0)</f>
        <v>0</v>
      </c>
      <c r="G9" s="6">
        <f>D9-C9</f>
        <v>250</v>
      </c>
    </row>
    <row r="10" spans="1:13" x14ac:dyDescent="0.2">
      <c r="A10">
        <v>7</v>
      </c>
      <c r="B10" s="1">
        <v>45509</v>
      </c>
      <c r="C10" s="4">
        <v>2500</v>
      </c>
      <c r="D10" s="4">
        <v>2250</v>
      </c>
      <c r="E10" s="5">
        <f t="shared" si="0"/>
        <v>0.9</v>
      </c>
      <c r="F10" s="16">
        <f>IF(SUM($C$4:C10)-SUM($D$4:D10)&gt;0, (SUM($C$4:C10)-SUM($D$4:D10))/SUM($C$4:C10), 0)</f>
        <v>0</v>
      </c>
      <c r="G10" s="6">
        <f t="shared" si="1"/>
        <v>-250</v>
      </c>
    </row>
    <row r="11" spans="1:13" x14ac:dyDescent="0.2">
      <c r="A11">
        <v>8</v>
      </c>
      <c r="B11" s="1">
        <v>45516</v>
      </c>
      <c r="C11" s="4">
        <v>2750</v>
      </c>
      <c r="D11" s="4">
        <v>2750</v>
      </c>
      <c r="E11" s="5">
        <f t="shared" si="0"/>
        <v>1</v>
      </c>
      <c r="F11" s="16">
        <f>IF(SUM($C$4:C11)-SUM($D$4:D11)&gt;0, (SUM($C$4:C11)-SUM($D$4:D11))/SUM($C$4:C11), 0)</f>
        <v>0</v>
      </c>
      <c r="G11" s="6">
        <f t="shared" si="1"/>
        <v>0</v>
      </c>
    </row>
    <row r="12" spans="1:13" x14ac:dyDescent="0.2">
      <c r="A12">
        <v>9</v>
      </c>
      <c r="B12" s="1">
        <v>45523</v>
      </c>
      <c r="C12" s="4">
        <v>2750</v>
      </c>
      <c r="D12" s="4">
        <v>2750</v>
      </c>
      <c r="E12" s="5">
        <f t="shared" si="0"/>
        <v>1</v>
      </c>
      <c r="F12" s="16">
        <f>IF(SUM($C$4:C12)-SUM($D$4:D12)&gt;0, (SUM($C$4:C12)-SUM($D$4:D12))/SUM($C$4:C12), 0)</f>
        <v>0</v>
      </c>
      <c r="G12" s="6">
        <f t="shared" si="1"/>
        <v>0</v>
      </c>
    </row>
    <row r="13" spans="1:13" x14ac:dyDescent="0.2">
      <c r="A13">
        <v>10</v>
      </c>
      <c r="B13" s="1">
        <v>45530</v>
      </c>
      <c r="C13" s="4">
        <v>2750</v>
      </c>
      <c r="D13" s="4">
        <v>2750</v>
      </c>
      <c r="E13" s="5">
        <f t="shared" si="0"/>
        <v>1</v>
      </c>
      <c r="F13" s="16">
        <f>IF(SUM($C$4:C13)-SUM($D$4:D13)&gt;0, (SUM($C$4:C13)-SUM($D$4:D13))/SUM($C$4:C13), 0)</f>
        <v>0</v>
      </c>
      <c r="G13" s="6">
        <f t="shared" si="1"/>
        <v>0</v>
      </c>
    </row>
    <row r="14" spans="1:13" x14ac:dyDescent="0.2">
      <c r="A14">
        <v>11</v>
      </c>
      <c r="B14" s="1">
        <v>45537</v>
      </c>
      <c r="C14" s="4">
        <v>2750</v>
      </c>
      <c r="D14" s="4">
        <v>2750</v>
      </c>
      <c r="E14" s="5">
        <f t="shared" si="0"/>
        <v>1</v>
      </c>
      <c r="F14" s="16">
        <f>IF(SUM($C$4:C14)-SUM($D$4:D14)&gt;0, (SUM($C$4:C14)-SUM($D$4:D14))/SUM($C$4:C14), 0)</f>
        <v>0</v>
      </c>
      <c r="G14" s="6">
        <f t="shared" si="1"/>
        <v>0</v>
      </c>
    </row>
    <row r="15" spans="1:13" x14ac:dyDescent="0.2">
      <c r="A15">
        <v>12</v>
      </c>
      <c r="B15" s="1">
        <v>45544</v>
      </c>
      <c r="C15" s="4">
        <v>3050</v>
      </c>
      <c r="D15" s="4">
        <v>2800</v>
      </c>
      <c r="E15" s="5">
        <f t="shared" si="0"/>
        <v>0.91803278688524592</v>
      </c>
      <c r="F15" s="16">
        <f>IF(SUM($C$4:C15)-SUM($D$4:D15)&gt;0, (SUM($C$4:C15)-SUM($D$4:D15))/SUM($C$4:C15), 0)</f>
        <v>1.0395010395010396E-2</v>
      </c>
      <c r="G15" s="6">
        <f t="shared" si="1"/>
        <v>-250</v>
      </c>
    </row>
    <row r="16" spans="1:13" x14ac:dyDescent="0.2">
      <c r="A16">
        <v>13</v>
      </c>
      <c r="B16" s="1">
        <v>45551</v>
      </c>
      <c r="C16" s="4">
        <v>3350</v>
      </c>
      <c r="D16" s="4">
        <v>2850</v>
      </c>
      <c r="E16" s="5">
        <f t="shared" si="0"/>
        <v>0.85074626865671643</v>
      </c>
      <c r="F16" s="16">
        <f>IF(SUM($C$4:C16)-SUM($D$4:D16)&gt;0, (SUM($C$4:C16)-SUM($D$4:D16))/SUM($C$4:C16), 0)</f>
        <v>2.7372262773722629E-2</v>
      </c>
      <c r="G16" s="6">
        <f t="shared" si="1"/>
        <v>-500</v>
      </c>
    </row>
    <row r="17" spans="1:7" x14ac:dyDescent="0.2">
      <c r="A17">
        <v>14</v>
      </c>
      <c r="B17" s="1">
        <v>45558</v>
      </c>
      <c r="C17" s="4">
        <v>3400</v>
      </c>
      <c r="D17" s="4">
        <v>2900</v>
      </c>
      <c r="E17" s="5">
        <f t="shared" si="0"/>
        <v>0.8529411764705882</v>
      </c>
      <c r="F17" s="16">
        <f>IF(SUM($C$4:C17)-SUM($D$4:D17)&gt;0, (SUM($C$4:C17)-SUM($D$4:D17))/SUM($C$4:C17), 0)</f>
        <v>4.0584415584415584E-2</v>
      </c>
      <c r="G17" s="6">
        <f t="shared" si="1"/>
        <v>-500</v>
      </c>
    </row>
    <row r="18" spans="1:7" x14ac:dyDescent="0.2">
      <c r="A18">
        <v>15</v>
      </c>
      <c r="B18" s="1">
        <v>45565</v>
      </c>
      <c r="C18" s="4">
        <v>3450</v>
      </c>
      <c r="D18" s="4">
        <v>4950</v>
      </c>
      <c r="E18" s="5">
        <f t="shared" si="0"/>
        <v>1.4347826086956521</v>
      </c>
      <c r="F18" s="16">
        <f>IF(SUM($C$4:C18)-SUM($D$4:D18)&gt;0, (SUM($C$4:C18)-SUM($D$4:D18))/SUM($C$4:C18), 0)</f>
        <v>0</v>
      </c>
      <c r="G18" s="6">
        <f t="shared" si="1"/>
        <v>1500</v>
      </c>
    </row>
    <row r="19" spans="1:7" x14ac:dyDescent="0.2">
      <c r="A19">
        <v>16</v>
      </c>
      <c r="B19" s="1">
        <v>45572</v>
      </c>
      <c r="C19" s="4">
        <v>3250</v>
      </c>
      <c r="D19" s="4">
        <v>3000</v>
      </c>
      <c r="E19" s="5">
        <f t="shared" si="0"/>
        <v>0.92307692307692313</v>
      </c>
      <c r="F19" s="16">
        <f>IF(SUM($C$4:C19)-SUM($D$4:D19)&gt;0, (SUM($C$4:C19)-SUM($D$4:D19))/SUM($C$4:C19), 0)</f>
        <v>0</v>
      </c>
      <c r="G19" s="6">
        <f t="shared" si="1"/>
        <v>-250</v>
      </c>
    </row>
    <row r="20" spans="1:7" x14ac:dyDescent="0.2">
      <c r="A20">
        <v>17</v>
      </c>
      <c r="B20" s="1">
        <v>45579</v>
      </c>
      <c r="C20" s="4">
        <v>3100</v>
      </c>
      <c r="D20" s="4">
        <v>4600</v>
      </c>
      <c r="E20" s="5">
        <f t="shared" si="0"/>
        <v>1.4838709677419355</v>
      </c>
      <c r="F20" s="16">
        <f>IF(SUM($C$4:C20)-SUM($D$4:D20)&gt;0, (SUM($C$4:C20)-SUM($D$4:D20))/SUM($C$4:C20), 0)</f>
        <v>0</v>
      </c>
      <c r="G20" s="6">
        <f t="shared" si="1"/>
        <v>1500</v>
      </c>
    </row>
    <row r="21" spans="1:7" x14ac:dyDescent="0.2">
      <c r="A21">
        <v>18</v>
      </c>
      <c r="B21" s="1">
        <v>45586</v>
      </c>
      <c r="C21" s="4">
        <v>2950</v>
      </c>
      <c r="D21" s="4">
        <v>3950</v>
      </c>
      <c r="E21" s="5">
        <f t="shared" si="0"/>
        <v>1.3389830508474576</v>
      </c>
      <c r="F21" s="16">
        <f>IF(SUM($C$4:C21)-SUM($D$4:D21)&gt;0, (SUM($C$4:C21)-SUM($D$4:D21))/SUM($C$4:C21), 0)</f>
        <v>0</v>
      </c>
      <c r="G21" s="6">
        <f t="shared" si="1"/>
        <v>1000</v>
      </c>
    </row>
    <row r="22" spans="1:7" x14ac:dyDescent="0.2">
      <c r="A22">
        <v>19</v>
      </c>
      <c r="B22" s="1">
        <v>45593</v>
      </c>
      <c r="C22" s="4">
        <v>2700</v>
      </c>
      <c r="D22" s="4">
        <v>2700</v>
      </c>
      <c r="E22" s="5">
        <f t="shared" si="0"/>
        <v>1</v>
      </c>
      <c r="F22" s="16">
        <f>IF(SUM($C$4:C22)-SUM($D$4:D22)&gt;0, (SUM($C$4:C22)-SUM($D$4:D22))/SUM($C$4:C22), 0)</f>
        <v>0</v>
      </c>
      <c r="G22" s="6">
        <f t="shared" si="1"/>
        <v>0</v>
      </c>
    </row>
    <row r="23" spans="1:7" x14ac:dyDescent="0.2">
      <c r="A23">
        <v>20</v>
      </c>
      <c r="B23" s="1">
        <v>45600</v>
      </c>
      <c r="C23" s="4">
        <v>2700</v>
      </c>
      <c r="D23" s="4">
        <v>3000</v>
      </c>
      <c r="E23" s="5">
        <f t="shared" si="0"/>
        <v>1.1111111111111112</v>
      </c>
      <c r="F23" s="16">
        <f>IF(SUM($C$4:C23)-SUM($D$4:D23)&gt;0, (SUM($C$4:C23)-SUM($D$4:D23))/SUM($C$4:C23), 0)</f>
        <v>0</v>
      </c>
      <c r="G23" s="6">
        <f t="shared" si="1"/>
        <v>300</v>
      </c>
    </row>
    <row r="24" spans="1:7" x14ac:dyDescent="0.2">
      <c r="A24">
        <v>21</v>
      </c>
      <c r="B24" s="1">
        <v>45607</v>
      </c>
      <c r="C24" s="4">
        <v>3000</v>
      </c>
      <c r="D24" s="4">
        <v>3000</v>
      </c>
      <c r="E24" s="5">
        <f t="shared" si="0"/>
        <v>1</v>
      </c>
      <c r="F24" s="16">
        <f>IF(SUM($C$4:C24)-SUM($D$4:D24)&gt;0, (SUM($C$4:C24)-SUM($D$4:D24))/SUM($C$4:C24), 0)</f>
        <v>0</v>
      </c>
      <c r="G24" s="6">
        <f t="shared" si="1"/>
        <v>0</v>
      </c>
    </row>
    <row r="25" spans="1:7" x14ac:dyDescent="0.2">
      <c r="A25">
        <v>22</v>
      </c>
      <c r="B25" s="1">
        <v>45614</v>
      </c>
      <c r="C25" s="4">
        <v>3000</v>
      </c>
      <c r="D25" s="4">
        <v>3000</v>
      </c>
      <c r="E25" s="5">
        <f t="shared" si="0"/>
        <v>1</v>
      </c>
      <c r="F25" s="16">
        <f>IF(SUM($C$4:C25)-SUM($D$4:D25)&gt;0, (SUM($C$4:C25)-SUM($D$4:D25))/SUM($C$4:C25), 0)</f>
        <v>0</v>
      </c>
      <c r="G25" s="6">
        <f t="shared" si="1"/>
        <v>0</v>
      </c>
    </row>
    <row r="26" spans="1:7" x14ac:dyDescent="0.2">
      <c r="A26">
        <v>23</v>
      </c>
      <c r="B26" s="1">
        <v>45621</v>
      </c>
      <c r="C26" s="4">
        <v>3600</v>
      </c>
      <c r="D26" s="4">
        <v>3600</v>
      </c>
      <c r="E26" s="5">
        <f t="shared" si="0"/>
        <v>1</v>
      </c>
      <c r="F26" s="16">
        <f>IF(SUM($C$4:C26)-SUM($D$4:D26)&gt;0, (SUM($C$4:C26)-SUM($D$4:D26))/SUM($C$4:C26), 0)</f>
        <v>0</v>
      </c>
      <c r="G26" s="6">
        <f t="shared" si="1"/>
        <v>0</v>
      </c>
    </row>
    <row r="27" spans="1:7" x14ac:dyDescent="0.2">
      <c r="A27">
        <v>24</v>
      </c>
      <c r="B27" s="1">
        <v>45628</v>
      </c>
      <c r="C27" s="4">
        <v>3900</v>
      </c>
      <c r="D27" s="4">
        <v>3900</v>
      </c>
      <c r="E27" s="5">
        <f t="shared" si="0"/>
        <v>1</v>
      </c>
      <c r="F27" s="16">
        <f>IF(SUM($C$4:C27)-SUM($D$4:D27)&gt;0, (SUM($C$4:C27)-SUM($D$4:D27))/SUM($C$4:C27), 0)</f>
        <v>0</v>
      </c>
      <c r="G27" s="6">
        <f t="shared" si="1"/>
        <v>0</v>
      </c>
    </row>
    <row r="28" spans="1:7" x14ac:dyDescent="0.2">
      <c r="A28">
        <v>25</v>
      </c>
      <c r="B28" s="1">
        <v>45635</v>
      </c>
      <c r="C28" s="4">
        <v>3900</v>
      </c>
      <c r="D28" s="4">
        <v>3900</v>
      </c>
      <c r="E28" s="5">
        <f t="shared" si="0"/>
        <v>1</v>
      </c>
      <c r="F28" s="16">
        <f>IF(SUM($C$4:C28)-SUM($D$4:D28)&gt;0, (SUM($C$4:C28)-SUM($D$4:D28))/SUM($C$4:C28), 0)</f>
        <v>0</v>
      </c>
      <c r="G28" s="6">
        <f t="shared" si="1"/>
        <v>0</v>
      </c>
    </row>
    <row r="29" spans="1:7" x14ac:dyDescent="0.2">
      <c r="A29">
        <v>26</v>
      </c>
      <c r="B29" s="1">
        <v>45642</v>
      </c>
      <c r="C29" s="4">
        <v>2750</v>
      </c>
      <c r="D29" s="4">
        <v>3950</v>
      </c>
      <c r="E29" s="5">
        <f t="shared" si="0"/>
        <v>1.4363636363636363</v>
      </c>
      <c r="F29" s="16">
        <f>IF(SUM($C$4:C29)-SUM($D$4:D29)&gt;0, (SUM($C$4:C29)-SUM($D$4:D29))/SUM($C$4:C29), 0)</f>
        <v>0</v>
      </c>
      <c r="G29" s="6">
        <f t="shared" si="1"/>
        <v>1200</v>
      </c>
    </row>
    <row r="30" spans="1:7" x14ac:dyDescent="0.2">
      <c r="A30">
        <v>27</v>
      </c>
      <c r="B30" s="1">
        <v>45649</v>
      </c>
      <c r="C30" s="4">
        <v>3850</v>
      </c>
      <c r="D30" s="4">
        <v>4150</v>
      </c>
      <c r="E30" s="5">
        <f t="shared" si="0"/>
        <v>1.0779220779220779</v>
      </c>
      <c r="F30" s="16">
        <f>IF(SUM($C$4:C30)-SUM($D$4:D30)&gt;0, (SUM($C$4:C30)-SUM($D$4:D30))/SUM($C$4:C30), 0)</f>
        <v>0</v>
      </c>
      <c r="G30" s="6">
        <f t="shared" si="1"/>
        <v>300</v>
      </c>
    </row>
    <row r="31" spans="1:7" x14ac:dyDescent="0.2">
      <c r="A31">
        <v>28</v>
      </c>
      <c r="B31" s="1">
        <v>45656</v>
      </c>
      <c r="C31" s="4">
        <v>4450</v>
      </c>
      <c r="D31" s="4">
        <v>4100</v>
      </c>
      <c r="E31" s="5">
        <f t="shared" si="0"/>
        <v>0.9213483146067416</v>
      </c>
      <c r="F31" s="16">
        <f>IF(SUM($C$4:C31)-SUM($D$4:D31)&gt;0, (SUM($C$4:C31)-SUM($D$4:D31))/SUM($C$4:C31), 0)</f>
        <v>0</v>
      </c>
      <c r="G31" s="6">
        <f t="shared" si="1"/>
        <v>-350</v>
      </c>
    </row>
    <row r="32" spans="1:7" x14ac:dyDescent="0.2">
      <c r="A32">
        <v>29</v>
      </c>
      <c r="B32" s="1">
        <v>45663</v>
      </c>
      <c r="C32" s="4">
        <v>4150</v>
      </c>
      <c r="D32" s="4">
        <v>4800</v>
      </c>
      <c r="E32" s="5">
        <f t="shared" si="0"/>
        <v>1.1566265060240963</v>
      </c>
      <c r="F32" s="16">
        <f>IF(SUM($C$4:C32)-SUM($D$4:D32)&gt;0, (SUM($C$4:C32)-SUM($D$4:D32))/SUM($C$4:C32), 0)</f>
        <v>0</v>
      </c>
      <c r="G32" s="6">
        <f t="shared" si="1"/>
        <v>650</v>
      </c>
    </row>
    <row r="33" spans="1:7" x14ac:dyDescent="0.2">
      <c r="A33">
        <v>30</v>
      </c>
      <c r="B33" s="1">
        <v>45670</v>
      </c>
      <c r="C33" s="4">
        <v>4500</v>
      </c>
      <c r="D33" s="4">
        <v>4500</v>
      </c>
      <c r="E33" s="5">
        <f t="shared" si="0"/>
        <v>1</v>
      </c>
      <c r="F33" s="16">
        <f>IF(SUM($C$4:C33)-SUM($D$4:D33)&gt;0, (SUM($C$4:C33)-SUM($D$4:D33))/SUM($C$4:C33), 0)</f>
        <v>0</v>
      </c>
      <c r="G33" s="6">
        <f t="shared" si="1"/>
        <v>0</v>
      </c>
    </row>
    <row r="34" spans="1:7" x14ac:dyDescent="0.2">
      <c r="A34">
        <v>31</v>
      </c>
      <c r="B34" s="1">
        <v>45677</v>
      </c>
      <c r="C34" s="4">
        <v>4450</v>
      </c>
      <c r="D34" s="4">
        <v>4800</v>
      </c>
      <c r="E34" s="5">
        <f t="shared" si="0"/>
        <v>1.0786516853932584</v>
      </c>
      <c r="F34" s="16">
        <f>IF(SUM($C$4:C34)-SUM($D$4:D34)&gt;0, (SUM($C$4:C34)-SUM($D$4:D34))/SUM($C$4:C34), 0)</f>
        <v>0</v>
      </c>
      <c r="G34" s="6">
        <f t="shared" si="1"/>
        <v>350</v>
      </c>
    </row>
    <row r="35" spans="1:7" x14ac:dyDescent="0.2">
      <c r="A35">
        <v>32</v>
      </c>
      <c r="B35" s="1">
        <v>45684</v>
      </c>
      <c r="C35" s="4">
        <v>4550</v>
      </c>
      <c r="D35" s="4">
        <v>4900</v>
      </c>
      <c r="E35" s="5">
        <f t="shared" si="0"/>
        <v>1.0769230769230769</v>
      </c>
      <c r="F35" s="16">
        <f>IF(SUM($C$4:C42)-SUM($D$4:D42)&gt;0, (SUM($C$4:C42)-SUM($D$4:D42))/SUM($C$4:C42), 0)</f>
        <v>0</v>
      </c>
      <c r="G35" s="6">
        <f t="shared" si="1"/>
        <v>350</v>
      </c>
    </row>
    <row r="36" spans="1:7" x14ac:dyDescent="0.2">
      <c r="A36">
        <v>33</v>
      </c>
      <c r="B36" s="1">
        <v>45691</v>
      </c>
      <c r="C36" s="4">
        <v>5000</v>
      </c>
      <c r="D36" s="4">
        <v>5000</v>
      </c>
      <c r="E36" s="5">
        <f t="shared" ref="E36:E41" si="2">D36/C36</f>
        <v>1</v>
      </c>
      <c r="F36" s="16">
        <f>IF(SUM($C$4:C42)-SUM($D$4:D42)&gt;0, (SUM($C$4:C42)-SUM($D$4:D42))/SUM($C$4:C42), 0)</f>
        <v>0</v>
      </c>
      <c r="G36" s="6">
        <f t="shared" ref="G36:G41" si="3">D36-C36</f>
        <v>0</v>
      </c>
    </row>
    <row r="37" spans="1:7" x14ac:dyDescent="0.2">
      <c r="A37">
        <v>34</v>
      </c>
      <c r="B37" s="1">
        <v>45698</v>
      </c>
      <c r="C37" s="4">
        <v>5100</v>
      </c>
      <c r="D37" s="4">
        <v>5350</v>
      </c>
      <c r="E37" s="5">
        <f t="shared" si="2"/>
        <v>1.0490196078431373</v>
      </c>
      <c r="F37" s="16">
        <f>IF(SUM($C$4:C42)-SUM($D$4:D42)&gt;0, (SUM($C$4:C42)-SUM($D$4:D42))/SUM($C$4:C42), 0)</f>
        <v>0</v>
      </c>
      <c r="G37" s="6">
        <f t="shared" si="3"/>
        <v>250</v>
      </c>
    </row>
    <row r="38" spans="1:7" x14ac:dyDescent="0.2">
      <c r="A38">
        <v>35</v>
      </c>
      <c r="B38" s="1">
        <v>45705</v>
      </c>
      <c r="C38" s="4">
        <v>5350</v>
      </c>
      <c r="D38" s="4">
        <v>5350</v>
      </c>
      <c r="E38" s="5">
        <f t="shared" si="2"/>
        <v>1</v>
      </c>
      <c r="F38" s="16">
        <f>IF(SUM($C$4:C42)-SUM($D$4:D42)&gt;0, (SUM($C$4:C42)-SUM($D$4:D42))/SUM($C$4:C42), 0)</f>
        <v>0</v>
      </c>
      <c r="G38" s="6">
        <f t="shared" si="3"/>
        <v>0</v>
      </c>
    </row>
    <row r="39" spans="1:7" x14ac:dyDescent="0.2">
      <c r="A39">
        <v>36</v>
      </c>
      <c r="B39" s="1">
        <v>45712</v>
      </c>
      <c r="C39" s="4">
        <v>5000</v>
      </c>
      <c r="D39" s="4">
        <v>6400</v>
      </c>
      <c r="E39" s="5">
        <f t="shared" si="2"/>
        <v>1.28</v>
      </c>
      <c r="F39" s="16">
        <f>IF(SUM($C$4:C42)-SUM($D$4:D42)&gt;0, (SUM($C$4:C42)-SUM($D$4:D42))/SUM($C$4:C42), 0)</f>
        <v>0</v>
      </c>
      <c r="G39" s="6">
        <f t="shared" si="3"/>
        <v>1400</v>
      </c>
    </row>
    <row r="40" spans="1:7" x14ac:dyDescent="0.2">
      <c r="A40">
        <v>37</v>
      </c>
      <c r="B40" s="1">
        <v>45719</v>
      </c>
      <c r="C40" s="4">
        <v>5300</v>
      </c>
      <c r="D40" s="4">
        <v>5300</v>
      </c>
      <c r="E40" s="5">
        <f t="shared" si="2"/>
        <v>1</v>
      </c>
      <c r="F40" s="16">
        <f>IF(SUM($C$4:C42)-SUM($D$4:D42)&gt;0, (SUM($C$4:C42)-SUM($D$4:D42))/SUM($C$4:C42), 0)</f>
        <v>0</v>
      </c>
      <c r="G40" s="6">
        <f t="shared" si="3"/>
        <v>0</v>
      </c>
    </row>
    <row r="41" spans="1:7" x14ac:dyDescent="0.2">
      <c r="A41">
        <v>38</v>
      </c>
      <c r="B41" s="1">
        <v>45726</v>
      </c>
      <c r="C41" s="4">
        <v>5300</v>
      </c>
      <c r="D41" s="4">
        <v>5300</v>
      </c>
      <c r="E41" s="5">
        <f t="shared" si="2"/>
        <v>1</v>
      </c>
      <c r="F41" s="16">
        <f>IF(SUM($C$4:C42)-SUM($D$4:D42)&gt;0, (SUM($C$4:C42)-SUM($D$4:D42))/SUM($C$4:C42), 0)</f>
        <v>0</v>
      </c>
      <c r="G41" s="6">
        <f t="shared" si="3"/>
        <v>0</v>
      </c>
    </row>
    <row r="42" spans="1:7" x14ac:dyDescent="0.2">
      <c r="A42">
        <v>39</v>
      </c>
      <c r="B42" s="1">
        <v>45733</v>
      </c>
      <c r="C42" s="4">
        <v>5350</v>
      </c>
      <c r="D42" s="4"/>
      <c r="E42" s="5">
        <f>D42/C42</f>
        <v>0</v>
      </c>
      <c r="F42" s="16">
        <f>IF(SUM($C$4:C42)-SUM($D$4:D42)&gt;0, (SUM($C$4:C42)-SUM($D$4:D42))/SUM($C$4:C42), 0)</f>
        <v>0</v>
      </c>
      <c r="G42" s="6">
        <f>D42-C42</f>
        <v>-5350</v>
      </c>
    </row>
  </sheetData>
  <mergeCells count="2">
    <mergeCell ref="B1:E2"/>
    <mergeCell ref="A1:A2"/>
  </mergeCells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F725D-61F6-7B49-B3E0-F163F9F79F65}">
  <dimension ref="A1:M43"/>
  <sheetViews>
    <sheetView topLeftCell="A5" zoomScale="81" workbookViewId="0">
      <selection activeCell="E49" sqref="E49"/>
    </sheetView>
  </sheetViews>
  <sheetFormatPr baseColWidth="10" defaultRowHeight="16" x14ac:dyDescent="0.2"/>
  <cols>
    <col min="3" max="4" width="11.5" bestFit="1" customWidth="1"/>
    <col min="5" max="5" width="24" customWidth="1"/>
    <col min="6" max="6" width="25.1640625" customWidth="1"/>
    <col min="7" max="7" width="24" bestFit="1" customWidth="1"/>
    <col min="9" max="9" width="25.6640625" bestFit="1" customWidth="1"/>
    <col min="10" max="10" width="12.5" bestFit="1" customWidth="1"/>
    <col min="12" max="12" width="17.33203125" bestFit="1" customWidth="1"/>
  </cols>
  <sheetData>
    <row r="1" spans="1:13" ht="27" x14ac:dyDescent="0.2">
      <c r="A1" s="55" t="s">
        <v>29</v>
      </c>
      <c r="B1" s="55" t="s">
        <v>7</v>
      </c>
      <c r="C1" s="55"/>
      <c r="D1" s="55"/>
      <c r="E1" s="55"/>
      <c r="F1" s="15"/>
      <c r="G1" s="9"/>
      <c r="H1" s="10"/>
    </row>
    <row r="2" spans="1:13" ht="27" x14ac:dyDescent="0.2">
      <c r="A2" s="55"/>
      <c r="B2" s="55"/>
      <c r="C2" s="55"/>
      <c r="D2" s="55"/>
      <c r="E2" s="55"/>
      <c r="F2" s="15"/>
      <c r="I2" t="s">
        <v>7</v>
      </c>
    </row>
    <row r="3" spans="1:13" x14ac:dyDescent="0.2">
      <c r="A3" t="s">
        <v>19</v>
      </c>
      <c r="B3" t="s">
        <v>18</v>
      </c>
      <c r="C3" s="2" t="s">
        <v>1</v>
      </c>
      <c r="D3" s="2" t="s">
        <v>20</v>
      </c>
      <c r="E3" t="s">
        <v>9</v>
      </c>
      <c r="F3" t="s">
        <v>40</v>
      </c>
      <c r="G3" t="s">
        <v>8</v>
      </c>
      <c r="I3" s="9" t="s">
        <v>39</v>
      </c>
      <c r="J3" s="16" cm="1">
        <f t="array" ref="J3">AVERAGE(IF(Table5[Cumplimiento de Meta %]&gt;=100%,1,0))</f>
        <v>0.92500000000000004</v>
      </c>
      <c r="L3" t="s">
        <v>41</v>
      </c>
      <c r="M3">
        <f>(COUNT(Table5[[#All],[Semana]])*7)/30</f>
        <v>9.3333333333333339</v>
      </c>
    </row>
    <row r="4" spans="1:13" x14ac:dyDescent="0.2">
      <c r="A4">
        <v>1</v>
      </c>
      <c r="B4" s="1">
        <v>45460</v>
      </c>
      <c r="C4" s="4">
        <v>0</v>
      </c>
      <c r="D4" s="4">
        <v>0</v>
      </c>
      <c r="E4" s="5"/>
      <c r="F4" s="16">
        <f>IF(SUM($C$4:C4)-SUM($D$4:D4)&gt;0, (SUM($C$4:C4)-SUM($D$4:D4))/SUM($C$4:C4), 0)</f>
        <v>0</v>
      </c>
      <c r="I4" s="4"/>
      <c r="J4" s="4"/>
    </row>
    <row r="5" spans="1:13" x14ac:dyDescent="0.2">
      <c r="A5">
        <v>2</v>
      </c>
      <c r="B5" s="1">
        <v>45467</v>
      </c>
      <c r="C5" s="4">
        <v>450</v>
      </c>
      <c r="D5" s="4">
        <v>450</v>
      </c>
      <c r="E5" s="5">
        <f t="shared" ref="E5:E36" si="0">D5/C5</f>
        <v>1</v>
      </c>
      <c r="F5" s="16">
        <f>IF(SUM($C$4:C5)-SUM($D$4:D5)&gt;0, (SUM($C$4:C5)-SUM($D$4:D5))/SUM($C$4:C5), 0)</f>
        <v>0</v>
      </c>
      <c r="G5" s="6">
        <f>D5-C5</f>
        <v>0</v>
      </c>
      <c r="I5" s="4" t="s">
        <v>21</v>
      </c>
      <c r="J5" s="4">
        <f>SUM(Table5[[#All],[Meta]])</f>
        <v>25650</v>
      </c>
    </row>
    <row r="6" spans="1:13" x14ac:dyDescent="0.2">
      <c r="A6">
        <v>3</v>
      </c>
      <c r="B6" s="1">
        <v>45474</v>
      </c>
      <c r="C6" s="4">
        <v>450</v>
      </c>
      <c r="D6" s="4">
        <v>450</v>
      </c>
      <c r="E6" s="5">
        <f t="shared" si="0"/>
        <v>1</v>
      </c>
      <c r="F6" s="16">
        <f>IF(SUM($C$4:C6)-SUM($D$4:D6)&gt;0, (SUM($C$4:C6)-SUM($D$4:D6))/SUM($C$4:C6), 0)</f>
        <v>0</v>
      </c>
      <c r="G6" s="6">
        <f t="shared" ref="G6:G12" si="1">D6-C6</f>
        <v>0</v>
      </c>
      <c r="I6" s="4" t="s">
        <v>22</v>
      </c>
      <c r="J6" s="4">
        <f>SUM(Table5[[#All],[Cobranza]])</f>
        <v>25850</v>
      </c>
    </row>
    <row r="7" spans="1:13" x14ac:dyDescent="0.2">
      <c r="A7">
        <v>4</v>
      </c>
      <c r="B7" s="1">
        <v>45481</v>
      </c>
      <c r="C7" s="4">
        <v>450</v>
      </c>
      <c r="D7" s="4">
        <v>450</v>
      </c>
      <c r="E7" s="5">
        <f t="shared" si="0"/>
        <v>1</v>
      </c>
      <c r="F7" s="16">
        <f>IF(SUM($C$4:C7)-SUM($D$4:D7)&gt;0, (SUM($C$4:C7)-SUM($D$4:D7))/SUM($C$4:C7), 0)</f>
        <v>0</v>
      </c>
      <c r="G7" s="6">
        <f t="shared" si="1"/>
        <v>0</v>
      </c>
      <c r="I7" s="4" t="s">
        <v>23</v>
      </c>
      <c r="J7" s="4">
        <f>SUM(Table5[[#All],[Didiferencia Absoluta]])</f>
        <v>200</v>
      </c>
    </row>
    <row r="8" spans="1:13" x14ac:dyDescent="0.2">
      <c r="A8">
        <v>5</v>
      </c>
      <c r="B8" s="1">
        <v>45488</v>
      </c>
      <c r="C8" s="4">
        <v>600</v>
      </c>
      <c r="D8" s="4">
        <v>600</v>
      </c>
      <c r="E8" s="5">
        <f t="shared" si="0"/>
        <v>1</v>
      </c>
      <c r="F8" s="16">
        <f>IF(SUM($C$4:C8)-SUM($D$4:D8)&gt;0, (SUM($C$4:C8)-SUM($D$4:D8))/SUM($C$4:C8), 0)</f>
        <v>0</v>
      </c>
      <c r="G8" s="6">
        <f t="shared" si="1"/>
        <v>0</v>
      </c>
      <c r="I8" t="s">
        <v>24</v>
      </c>
      <c r="J8" s="16">
        <f>(J7/J5)*-1</f>
        <v>-7.7972709551656916E-3</v>
      </c>
    </row>
    <row r="9" spans="1:13" x14ac:dyDescent="0.2">
      <c r="A9">
        <v>6</v>
      </c>
      <c r="B9" s="1">
        <v>45495</v>
      </c>
      <c r="C9" s="4">
        <v>600</v>
      </c>
      <c r="D9" s="4">
        <v>600</v>
      </c>
      <c r="E9" s="5">
        <f t="shared" si="0"/>
        <v>1</v>
      </c>
      <c r="F9" s="16">
        <f>IF(SUM($C$4:C9)-SUM($D$4:D9)&gt;0, (SUM($C$4:C9)-SUM($D$4:D9))/SUM($C$4:C9), 0)</f>
        <v>0</v>
      </c>
      <c r="G9" s="6">
        <f t="shared" si="1"/>
        <v>0</v>
      </c>
    </row>
    <row r="10" spans="1:13" x14ac:dyDescent="0.2">
      <c r="A10">
        <v>7</v>
      </c>
      <c r="B10" s="1">
        <v>45502</v>
      </c>
      <c r="C10" s="4">
        <v>600</v>
      </c>
      <c r="D10" s="4">
        <v>600</v>
      </c>
      <c r="E10" s="5">
        <f t="shared" si="0"/>
        <v>1</v>
      </c>
      <c r="F10" s="16">
        <f>IF(SUM($C$4:C10)-SUM($D$4:D10)&gt;0, (SUM($C$4:C10)-SUM($D$4:D10))/SUM($C$4:C10), 0)</f>
        <v>0</v>
      </c>
      <c r="G10" s="6">
        <f t="shared" si="1"/>
        <v>0</v>
      </c>
    </row>
    <row r="11" spans="1:13" x14ac:dyDescent="0.2">
      <c r="A11">
        <v>8</v>
      </c>
      <c r="B11" s="1">
        <v>45509</v>
      </c>
      <c r="C11" s="4">
        <v>850</v>
      </c>
      <c r="D11" s="4">
        <v>850</v>
      </c>
      <c r="E11" s="5">
        <f t="shared" si="0"/>
        <v>1</v>
      </c>
      <c r="F11" s="16">
        <f>IF(SUM($C$4:C11)-SUM($D$4:D11)&gt;0, (SUM($C$4:C11)-SUM($D$4:D11))/SUM($C$4:C11), 0)</f>
        <v>0</v>
      </c>
      <c r="G11" s="6">
        <f t="shared" si="1"/>
        <v>0</v>
      </c>
    </row>
    <row r="12" spans="1:13" x14ac:dyDescent="0.2">
      <c r="A12">
        <v>9</v>
      </c>
      <c r="B12" s="1">
        <v>45516</v>
      </c>
      <c r="C12" s="4">
        <v>850</v>
      </c>
      <c r="D12" s="4">
        <v>850</v>
      </c>
      <c r="E12" s="5">
        <f t="shared" si="0"/>
        <v>1</v>
      </c>
      <c r="F12" s="16">
        <f>IF(SUM($C$4:C12)-SUM($D$4:D12)&gt;0, (SUM($C$4:C12)-SUM($D$4:D12))/SUM($C$4:C12), 0)</f>
        <v>0</v>
      </c>
      <c r="G12" s="6">
        <f t="shared" si="1"/>
        <v>0</v>
      </c>
    </row>
    <row r="13" spans="1:13" x14ac:dyDescent="0.2">
      <c r="A13">
        <v>10</v>
      </c>
      <c r="B13" s="1">
        <v>45523</v>
      </c>
      <c r="C13" s="4">
        <v>850</v>
      </c>
      <c r="D13" s="4">
        <v>850</v>
      </c>
      <c r="E13" s="5">
        <f t="shared" si="0"/>
        <v>1</v>
      </c>
      <c r="F13" s="16">
        <f>IF(SUM($C$4:C13)-SUM($D$4:D13)&gt;0, (SUM($C$4:C13)-SUM($D$4:D13))/SUM($C$4:C13), 0)</f>
        <v>0</v>
      </c>
      <c r="G13" s="6">
        <f t="shared" ref="G13:G36" si="2">D13-C13</f>
        <v>0</v>
      </c>
    </row>
    <row r="14" spans="1:13" x14ac:dyDescent="0.2">
      <c r="A14">
        <v>11</v>
      </c>
      <c r="B14" s="1">
        <v>45530</v>
      </c>
      <c r="C14" s="4">
        <v>850</v>
      </c>
      <c r="D14" s="4">
        <v>850</v>
      </c>
      <c r="E14" s="5">
        <f t="shared" si="0"/>
        <v>1</v>
      </c>
      <c r="F14" s="16">
        <f>IF(SUM($C$4:C14)-SUM($D$4:D14)&gt;0, (SUM($C$4:C14)-SUM($D$4:D14))/SUM($C$4:C14), 0)</f>
        <v>0</v>
      </c>
      <c r="G14" s="6">
        <f t="shared" si="2"/>
        <v>0</v>
      </c>
    </row>
    <row r="15" spans="1:13" x14ac:dyDescent="0.2">
      <c r="A15">
        <v>12</v>
      </c>
      <c r="B15" s="1">
        <v>45537</v>
      </c>
      <c r="C15" s="4">
        <v>850</v>
      </c>
      <c r="D15" s="4">
        <v>850</v>
      </c>
      <c r="E15" s="5">
        <f t="shared" si="0"/>
        <v>1</v>
      </c>
      <c r="F15" s="16">
        <f>IF(SUM($C$4:C15)-SUM($D$4:D15)&gt;0, (SUM($C$4:C15)-SUM($D$4:D15))/SUM($C$4:C15), 0)</f>
        <v>0</v>
      </c>
      <c r="G15" s="6">
        <f t="shared" si="2"/>
        <v>0</v>
      </c>
    </row>
    <row r="16" spans="1:13" x14ac:dyDescent="0.2">
      <c r="A16">
        <v>13</v>
      </c>
      <c r="B16" s="1">
        <v>45544</v>
      </c>
      <c r="C16" s="4">
        <v>850</v>
      </c>
      <c r="D16" s="4">
        <v>850</v>
      </c>
      <c r="E16" s="5">
        <f t="shared" si="0"/>
        <v>1</v>
      </c>
      <c r="F16" s="16">
        <f>IF(SUM($C$4:C16)-SUM($D$4:D16)&gt;0, (SUM($C$4:C16)-SUM($D$4:D16))/SUM($C$4:C16), 0)</f>
        <v>0</v>
      </c>
      <c r="G16" s="6">
        <f t="shared" si="2"/>
        <v>0</v>
      </c>
    </row>
    <row r="17" spans="1:7" x14ac:dyDescent="0.2">
      <c r="A17">
        <v>14</v>
      </c>
      <c r="B17" s="1">
        <v>45551</v>
      </c>
      <c r="C17" s="4">
        <v>850</v>
      </c>
      <c r="D17" s="4">
        <v>850</v>
      </c>
      <c r="E17" s="5">
        <f t="shared" si="0"/>
        <v>1</v>
      </c>
      <c r="F17" s="16">
        <f>IF(SUM($C$4:C17)-SUM($D$4:D17)&gt;0, (SUM($C$4:C17)-SUM($D$4:D17))/SUM($C$4:C17), 0)</f>
        <v>0</v>
      </c>
      <c r="G17" s="6">
        <f t="shared" si="2"/>
        <v>0</v>
      </c>
    </row>
    <row r="18" spans="1:7" x14ac:dyDescent="0.2">
      <c r="A18">
        <v>15</v>
      </c>
      <c r="B18" s="1">
        <v>45558</v>
      </c>
      <c r="C18" s="4">
        <v>400</v>
      </c>
      <c r="D18" s="4">
        <v>850</v>
      </c>
      <c r="E18" s="5">
        <f t="shared" si="0"/>
        <v>2.125</v>
      </c>
      <c r="F18" s="16">
        <f>IF(SUM($C$4:C18)-SUM($D$4:D18)&gt;0, (SUM($C$4:C18)-SUM($D$4:D18))/SUM($C$4:C18), 0)</f>
        <v>0</v>
      </c>
      <c r="G18" s="6">
        <f t="shared" si="2"/>
        <v>450</v>
      </c>
    </row>
    <row r="19" spans="1:7" x14ac:dyDescent="0.2">
      <c r="A19">
        <v>16</v>
      </c>
      <c r="B19" s="1">
        <v>45565</v>
      </c>
      <c r="C19" s="4">
        <v>400</v>
      </c>
      <c r="D19" s="4">
        <v>400</v>
      </c>
      <c r="E19" s="5">
        <f t="shared" si="0"/>
        <v>1</v>
      </c>
      <c r="F19" s="16">
        <f>IF(SUM($C$4:C19)-SUM($D$4:D19)&gt;0, (SUM($C$4:C19)-SUM($D$4:D19))/SUM($C$4:C19), 0)</f>
        <v>0</v>
      </c>
      <c r="G19" s="6">
        <f t="shared" si="2"/>
        <v>0</v>
      </c>
    </row>
    <row r="20" spans="1:7" x14ac:dyDescent="0.2">
      <c r="A20">
        <v>17</v>
      </c>
      <c r="B20" s="1">
        <v>45572</v>
      </c>
      <c r="C20" s="4">
        <v>400</v>
      </c>
      <c r="D20" s="4">
        <v>400</v>
      </c>
      <c r="E20" s="5">
        <f t="shared" si="0"/>
        <v>1</v>
      </c>
      <c r="F20" s="16">
        <f>IF(SUM($C$4:C20)-SUM($D$4:D20)&gt;0, (SUM($C$4:C20)-SUM($D$4:D20))/SUM($C$4:C20), 0)</f>
        <v>0</v>
      </c>
      <c r="G20" s="6">
        <f t="shared" si="2"/>
        <v>0</v>
      </c>
    </row>
    <row r="21" spans="1:7" x14ac:dyDescent="0.2">
      <c r="A21">
        <v>18</v>
      </c>
      <c r="B21" s="1">
        <v>45579</v>
      </c>
      <c r="C21" s="4">
        <v>250</v>
      </c>
      <c r="D21" s="4">
        <v>400</v>
      </c>
      <c r="E21" s="5">
        <f t="shared" si="0"/>
        <v>1.6</v>
      </c>
      <c r="F21" s="16">
        <f>IF(SUM($C$4:C21)-SUM($D$4:D21)&gt;0, (SUM($C$4:C21)-SUM($D$4:D21))/SUM($C$4:C21), 0)</f>
        <v>0</v>
      </c>
      <c r="G21" s="6">
        <f t="shared" si="2"/>
        <v>150</v>
      </c>
    </row>
    <row r="22" spans="1:7" x14ac:dyDescent="0.2">
      <c r="A22">
        <v>19</v>
      </c>
      <c r="B22" s="1">
        <v>45586</v>
      </c>
      <c r="C22" s="4">
        <v>750</v>
      </c>
      <c r="D22" s="4">
        <v>750</v>
      </c>
      <c r="E22" s="5">
        <f t="shared" si="0"/>
        <v>1</v>
      </c>
      <c r="F22" s="16">
        <f>IF(SUM($C$4:C22)-SUM($D$4:D22)&gt;0, (SUM($C$4:C22)-SUM($D$4:D22))/SUM($C$4:C22), 0)</f>
        <v>0</v>
      </c>
      <c r="G22" s="6">
        <f t="shared" si="2"/>
        <v>0</v>
      </c>
    </row>
    <row r="23" spans="1:7" x14ac:dyDescent="0.2">
      <c r="A23">
        <v>20</v>
      </c>
      <c r="B23" s="1">
        <v>45593</v>
      </c>
      <c r="C23" s="4">
        <v>750</v>
      </c>
      <c r="D23" s="4">
        <v>750</v>
      </c>
      <c r="E23" s="5">
        <f t="shared" si="0"/>
        <v>1</v>
      </c>
      <c r="F23" s="16">
        <f>IF(SUM($C$4:C23)-SUM($D$4:D23)&gt;0, (SUM($C$4:C23)-SUM($D$4:D23))/SUM($C$4:C23), 0)</f>
        <v>0</v>
      </c>
      <c r="G23" s="6">
        <f t="shared" si="2"/>
        <v>0</v>
      </c>
    </row>
    <row r="24" spans="1:7" x14ac:dyDescent="0.2">
      <c r="A24">
        <v>21</v>
      </c>
      <c r="B24" s="1">
        <v>45600</v>
      </c>
      <c r="C24" s="4">
        <v>500</v>
      </c>
      <c r="D24" s="4">
        <v>750</v>
      </c>
      <c r="E24" s="5">
        <f t="shared" si="0"/>
        <v>1.5</v>
      </c>
      <c r="F24" s="16">
        <f>IF(SUM($C$4:C24)-SUM($D$4:D24)&gt;0, (SUM($C$4:C24)-SUM($D$4:D24))/SUM($C$4:C24), 0)</f>
        <v>0</v>
      </c>
      <c r="G24" s="6">
        <f t="shared" si="2"/>
        <v>250</v>
      </c>
    </row>
    <row r="25" spans="1:7" x14ac:dyDescent="0.2">
      <c r="A25">
        <v>22</v>
      </c>
      <c r="B25" s="1">
        <v>45607</v>
      </c>
      <c r="C25" s="4">
        <v>500</v>
      </c>
      <c r="D25" s="4">
        <v>500</v>
      </c>
      <c r="E25" s="5">
        <f t="shared" si="0"/>
        <v>1</v>
      </c>
      <c r="F25" s="16">
        <f>IF(SUM($C$4:C25)-SUM($D$4:D25)&gt;0, (SUM($C$4:C25)-SUM($D$4:D25))/SUM($C$4:C25), 0)</f>
        <v>0</v>
      </c>
      <c r="G25" s="6">
        <f t="shared" si="2"/>
        <v>0</v>
      </c>
    </row>
    <row r="26" spans="1:7" x14ac:dyDescent="0.2">
      <c r="A26">
        <v>23</v>
      </c>
      <c r="B26" s="1">
        <v>45614</v>
      </c>
      <c r="C26" s="4">
        <v>500</v>
      </c>
      <c r="D26" s="4">
        <v>500</v>
      </c>
      <c r="E26" s="5">
        <f t="shared" si="0"/>
        <v>1</v>
      </c>
      <c r="F26" s="16">
        <f>IF(SUM($C$4:C26)-SUM($D$4:D26)&gt;0, (SUM($C$4:C26)-SUM($D$4:D26))/SUM($C$4:C26), 0)</f>
        <v>0</v>
      </c>
      <c r="G26" s="6">
        <f t="shared" si="2"/>
        <v>0</v>
      </c>
    </row>
    <row r="27" spans="1:7" x14ac:dyDescent="0.2">
      <c r="A27">
        <v>24</v>
      </c>
      <c r="B27" s="1">
        <v>45621</v>
      </c>
      <c r="C27" s="4">
        <v>500</v>
      </c>
      <c r="D27" s="4">
        <v>500</v>
      </c>
      <c r="E27" s="5">
        <f t="shared" si="0"/>
        <v>1</v>
      </c>
      <c r="F27" s="16">
        <f>IF(SUM($C$4:C27)-SUM($D$4:D27)&gt;0, (SUM($C$4:C27)-SUM($D$4:D27))/SUM($C$4:C27), 0)</f>
        <v>0</v>
      </c>
      <c r="G27" s="6">
        <f t="shared" si="2"/>
        <v>0</v>
      </c>
    </row>
    <row r="28" spans="1:7" x14ac:dyDescent="0.2">
      <c r="A28">
        <v>25</v>
      </c>
      <c r="B28" s="1">
        <v>45628</v>
      </c>
      <c r="C28" s="4">
        <v>500</v>
      </c>
      <c r="D28" s="4">
        <v>500</v>
      </c>
      <c r="E28" s="5">
        <f t="shared" si="0"/>
        <v>1</v>
      </c>
      <c r="F28" s="16">
        <f>IF(SUM($C$4:C28)-SUM($D$4:D28)&gt;0, (SUM($C$4:C28)-SUM($D$4:D28))/SUM($C$4:C28), 0)</f>
        <v>0</v>
      </c>
      <c r="G28" s="6">
        <f t="shared" si="2"/>
        <v>0</v>
      </c>
    </row>
    <row r="29" spans="1:7" x14ac:dyDescent="0.2">
      <c r="A29">
        <v>26</v>
      </c>
      <c r="B29" s="1">
        <v>45635</v>
      </c>
      <c r="C29" s="4">
        <v>500</v>
      </c>
      <c r="D29" s="4">
        <v>500</v>
      </c>
      <c r="E29" s="5">
        <f t="shared" si="0"/>
        <v>1</v>
      </c>
      <c r="F29" s="16">
        <f>IF(SUM($C$4:C29)-SUM($D$4:D29)&gt;0, (SUM($C$4:C29)-SUM($D$4:D29))/SUM($C$4:C29), 0)</f>
        <v>0</v>
      </c>
      <c r="G29" s="6">
        <f t="shared" si="2"/>
        <v>0</v>
      </c>
    </row>
    <row r="30" spans="1:7" x14ac:dyDescent="0.2">
      <c r="A30">
        <v>27</v>
      </c>
      <c r="B30" s="1">
        <v>45642</v>
      </c>
      <c r="C30" s="4">
        <v>500</v>
      </c>
      <c r="D30" s="4">
        <v>500</v>
      </c>
      <c r="E30" s="5">
        <f t="shared" si="0"/>
        <v>1</v>
      </c>
      <c r="F30" s="16">
        <f>IF(SUM($C$4:C30)-SUM($D$4:D30)&gt;0, (SUM($C$4:C30)-SUM($D$4:D30))/SUM($C$4:C30), 0)</f>
        <v>0</v>
      </c>
      <c r="G30" s="6">
        <f t="shared" si="2"/>
        <v>0</v>
      </c>
    </row>
    <row r="31" spans="1:7" x14ac:dyDescent="0.2">
      <c r="A31">
        <v>28</v>
      </c>
      <c r="B31" s="1">
        <v>45649</v>
      </c>
      <c r="C31" s="4">
        <v>500</v>
      </c>
      <c r="D31" s="4">
        <v>500</v>
      </c>
      <c r="E31" s="5">
        <f t="shared" si="0"/>
        <v>1</v>
      </c>
      <c r="F31" s="16">
        <f>IF(SUM($C$4:C31)-SUM($D$4:D31)&gt;0, (SUM($C$4:C31)-SUM($D$4:D31))/SUM($C$4:C31), 0)</f>
        <v>0</v>
      </c>
      <c r="G31" s="6">
        <f t="shared" si="2"/>
        <v>0</v>
      </c>
    </row>
    <row r="32" spans="1:7" x14ac:dyDescent="0.2">
      <c r="A32">
        <v>29</v>
      </c>
      <c r="B32" s="1">
        <v>45656</v>
      </c>
      <c r="C32" s="4">
        <v>500</v>
      </c>
      <c r="D32" s="4">
        <v>500</v>
      </c>
      <c r="E32" s="5">
        <f t="shared" si="0"/>
        <v>1</v>
      </c>
      <c r="F32" s="16">
        <f>IF(SUM($C$4:C32)-SUM($D$4:D32)&gt;0, (SUM($C$4:C32)-SUM($D$4:D32))/SUM($C$4:C32), 0)</f>
        <v>0</v>
      </c>
      <c r="G32" s="6">
        <f t="shared" si="2"/>
        <v>0</v>
      </c>
    </row>
    <row r="33" spans="1:7" x14ac:dyDescent="0.2">
      <c r="A33">
        <v>30</v>
      </c>
      <c r="B33" s="1">
        <v>45663</v>
      </c>
      <c r="C33" s="4">
        <v>300</v>
      </c>
      <c r="D33" s="4">
        <v>800</v>
      </c>
      <c r="E33" s="5">
        <f t="shared" si="0"/>
        <v>2.6666666666666665</v>
      </c>
      <c r="F33" s="16">
        <f>IF(SUM($C$4:C33)-SUM($D$4:D33)&gt;0, (SUM($C$4:C33)-SUM($D$4:D33))/SUM($C$4:C33), 0)</f>
        <v>0</v>
      </c>
      <c r="G33" s="6">
        <f t="shared" si="2"/>
        <v>500</v>
      </c>
    </row>
    <row r="34" spans="1:7" x14ac:dyDescent="0.2">
      <c r="A34">
        <v>31</v>
      </c>
      <c r="B34" s="1">
        <v>45670</v>
      </c>
      <c r="C34" s="4">
        <v>850</v>
      </c>
      <c r="D34" s="4">
        <v>550</v>
      </c>
      <c r="E34" s="5">
        <f t="shared" si="0"/>
        <v>0.6470588235294118</v>
      </c>
      <c r="F34" s="16">
        <f>IF(SUM($C$4:C34)-SUM($D$4:D34)&gt;0, (SUM($C$4:C34)-SUM($D$4:D34))/SUM($C$4:C34), 0)</f>
        <v>0</v>
      </c>
      <c r="G34" s="6">
        <f t="shared" si="2"/>
        <v>-300</v>
      </c>
    </row>
    <row r="35" spans="1:7" x14ac:dyDescent="0.2">
      <c r="A35">
        <v>32</v>
      </c>
      <c r="B35" s="1">
        <v>45677</v>
      </c>
      <c r="C35" s="4">
        <v>550</v>
      </c>
      <c r="D35" s="4">
        <v>850</v>
      </c>
      <c r="E35" s="5">
        <f t="shared" si="0"/>
        <v>1.5454545454545454</v>
      </c>
      <c r="F35" s="16">
        <f>IF(SUM($C$4:C35)-SUM($D$4:D35)&gt;0, (SUM($C$4:C35)-SUM($D$4:D35))/SUM($C$4:C35), 0)</f>
        <v>0</v>
      </c>
      <c r="G35" s="6">
        <f t="shared" si="2"/>
        <v>300</v>
      </c>
    </row>
    <row r="36" spans="1:7" x14ac:dyDescent="0.2">
      <c r="A36">
        <v>33</v>
      </c>
      <c r="B36" s="1">
        <v>45684</v>
      </c>
      <c r="C36" s="4">
        <v>850</v>
      </c>
      <c r="D36" s="4">
        <v>850</v>
      </c>
      <c r="E36" s="5">
        <f t="shared" si="0"/>
        <v>1</v>
      </c>
      <c r="F36" s="16">
        <f>IF(SUM($C$4:C43)-SUM($D$4:D43)&gt;0, (SUM($C$4:C43)-SUM($D$4:D43))/SUM($C$4:C43), 0)</f>
        <v>0</v>
      </c>
      <c r="G36" s="6">
        <f t="shared" si="2"/>
        <v>0</v>
      </c>
    </row>
    <row r="37" spans="1:7" x14ac:dyDescent="0.2">
      <c r="A37">
        <v>34</v>
      </c>
      <c r="B37" s="1">
        <v>45691</v>
      </c>
      <c r="C37" s="4">
        <v>850</v>
      </c>
      <c r="D37" s="4">
        <v>850</v>
      </c>
      <c r="E37" s="5">
        <f t="shared" ref="E37:E42" si="3">D37/C37</f>
        <v>1</v>
      </c>
      <c r="F37" s="16">
        <f>IF(SUM($C$4:C44)-SUM($D$4:D44)&gt;0, (SUM($C$4:C44)-SUM($D$4:D44))/SUM($C$4:C44), 0)</f>
        <v>0</v>
      </c>
      <c r="G37" s="6">
        <f t="shared" ref="G37:G42" si="4">D37-C37</f>
        <v>0</v>
      </c>
    </row>
    <row r="38" spans="1:7" x14ac:dyDescent="0.2">
      <c r="A38">
        <v>35</v>
      </c>
      <c r="B38" s="1">
        <v>45698</v>
      </c>
      <c r="C38" s="4">
        <v>850</v>
      </c>
      <c r="D38" s="4">
        <v>850</v>
      </c>
      <c r="E38" s="5">
        <f t="shared" si="3"/>
        <v>1</v>
      </c>
      <c r="F38" s="16">
        <f>IF(SUM($C$4:C45)-SUM($D$4:D45)&gt;0, (SUM($C$4:C45)-SUM($D$4:D45))/SUM($C$4:C45), 0)</f>
        <v>0</v>
      </c>
      <c r="G38" s="6">
        <f t="shared" si="4"/>
        <v>0</v>
      </c>
    </row>
    <row r="39" spans="1:7" x14ac:dyDescent="0.2">
      <c r="A39">
        <v>36</v>
      </c>
      <c r="B39" s="1">
        <v>45705</v>
      </c>
      <c r="C39" s="4">
        <v>850</v>
      </c>
      <c r="D39" s="4">
        <v>850</v>
      </c>
      <c r="E39" s="5">
        <f t="shared" si="3"/>
        <v>1</v>
      </c>
      <c r="F39" s="16">
        <f>IF(SUM($C$4:C46)-SUM($D$4:D46)&gt;0, (SUM($C$4:C46)-SUM($D$4:D46))/SUM($C$4:C46), 0)</f>
        <v>0</v>
      </c>
      <c r="G39" s="6">
        <f t="shared" si="4"/>
        <v>0</v>
      </c>
    </row>
    <row r="40" spans="1:7" x14ac:dyDescent="0.2">
      <c r="A40">
        <v>37</v>
      </c>
      <c r="B40" s="1">
        <v>45712</v>
      </c>
      <c r="C40" s="4">
        <v>850</v>
      </c>
      <c r="D40" s="4">
        <v>850</v>
      </c>
      <c r="E40" s="5">
        <f t="shared" si="3"/>
        <v>1</v>
      </c>
      <c r="F40" s="16">
        <f>IF(SUM($C$4:C47)-SUM($D$4:D47)&gt;0, (SUM($C$4:C47)-SUM($D$4:D47))/SUM($C$4:C47), 0)</f>
        <v>0</v>
      </c>
      <c r="G40" s="6">
        <f t="shared" si="4"/>
        <v>0</v>
      </c>
    </row>
    <row r="41" spans="1:7" x14ac:dyDescent="0.2">
      <c r="A41">
        <v>38</v>
      </c>
      <c r="B41" s="1">
        <v>45719</v>
      </c>
      <c r="C41" s="4">
        <v>850</v>
      </c>
      <c r="D41" s="4">
        <v>850</v>
      </c>
      <c r="E41" s="5">
        <f t="shared" si="3"/>
        <v>1</v>
      </c>
      <c r="F41" s="16">
        <f>IF(SUM($C$4:C48)-SUM($D$4:D48)&gt;0, (SUM($C$4:C48)-SUM($D$4:D48))/SUM($C$4:C48), 0)</f>
        <v>0</v>
      </c>
      <c r="G41" s="4">
        <f t="shared" si="4"/>
        <v>0</v>
      </c>
    </row>
    <row r="42" spans="1:7" x14ac:dyDescent="0.2">
      <c r="A42">
        <v>39</v>
      </c>
      <c r="B42" s="1">
        <v>45726</v>
      </c>
      <c r="C42" s="4">
        <v>1150</v>
      </c>
      <c r="D42" s="4">
        <v>1150</v>
      </c>
      <c r="E42" s="5">
        <f t="shared" si="3"/>
        <v>1</v>
      </c>
      <c r="F42" s="16">
        <f>IF(SUM($C$4:C49)-SUM($D$4:D49)&gt;0, (SUM($C$4:C49)-SUM($D$4:D49))/SUM($C$4:C49), 0)</f>
        <v>0</v>
      </c>
      <c r="G42" s="6">
        <f t="shared" si="4"/>
        <v>0</v>
      </c>
    </row>
    <row r="43" spans="1:7" x14ac:dyDescent="0.2">
      <c r="A43">
        <v>40</v>
      </c>
      <c r="B43" s="1">
        <v>45733</v>
      </c>
      <c r="C43" s="4">
        <v>1150</v>
      </c>
      <c r="D43" s="4"/>
      <c r="E43" s="5">
        <f>D43/C43</f>
        <v>0</v>
      </c>
      <c r="F43" s="16">
        <f>IF(SUM($C$4:C50)-SUM($D$4:D50)&gt;0, (SUM($C$4:C50)-SUM($D$4:D50))/SUM($C$4:C50), 0)</f>
        <v>0</v>
      </c>
      <c r="G43" s="6">
        <f>D43-C43</f>
        <v>-1150</v>
      </c>
    </row>
  </sheetData>
  <mergeCells count="2">
    <mergeCell ref="B1:E2"/>
    <mergeCell ref="A1:A2"/>
  </mergeCells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EA93-4BAA-6640-90DE-056A9E74BEF5}">
  <dimension ref="A1:M42"/>
  <sheetViews>
    <sheetView topLeftCell="A14" workbookViewId="0">
      <selection activeCell="D43" sqref="D43"/>
    </sheetView>
  </sheetViews>
  <sheetFormatPr baseColWidth="10" defaultRowHeight="16" x14ac:dyDescent="0.2"/>
  <cols>
    <col min="3" max="4" width="11.5" bestFit="1" customWidth="1"/>
    <col min="5" max="6" width="24" customWidth="1"/>
    <col min="7" max="7" width="24" bestFit="1" customWidth="1"/>
    <col min="9" max="9" width="25.6640625" bestFit="1" customWidth="1"/>
    <col min="10" max="10" width="11.5" bestFit="1" customWidth="1"/>
    <col min="12" max="12" width="17.33203125" bestFit="1" customWidth="1"/>
  </cols>
  <sheetData>
    <row r="1" spans="1:13" ht="27" x14ac:dyDescent="0.2">
      <c r="A1" s="55" t="s">
        <v>30</v>
      </c>
      <c r="B1" s="55" t="s">
        <v>11</v>
      </c>
      <c r="C1" s="55"/>
      <c r="D1" s="55"/>
      <c r="E1" s="55"/>
      <c r="F1" s="15"/>
      <c r="G1" s="9"/>
      <c r="H1" s="10"/>
    </row>
    <row r="2" spans="1:13" ht="27" x14ac:dyDescent="0.2">
      <c r="A2" s="55"/>
      <c r="B2" s="55"/>
      <c r="C2" s="55"/>
      <c r="D2" s="55"/>
      <c r="E2" s="55"/>
      <c r="F2" s="15"/>
      <c r="I2" t="s">
        <v>11</v>
      </c>
    </row>
    <row r="3" spans="1:13" x14ac:dyDescent="0.2">
      <c r="A3" t="s">
        <v>19</v>
      </c>
      <c r="B3" t="s">
        <v>18</v>
      </c>
      <c r="C3" s="2" t="s">
        <v>1</v>
      </c>
      <c r="D3" s="2" t="s">
        <v>20</v>
      </c>
      <c r="E3" t="s">
        <v>9</v>
      </c>
      <c r="F3" t="s">
        <v>40</v>
      </c>
      <c r="G3" t="s">
        <v>8</v>
      </c>
      <c r="I3" s="9" t="s">
        <v>39</v>
      </c>
      <c r="J3" s="16" cm="1">
        <f t="array" ref="J3">AVERAGE(IF(Table6[Cumplimiento de Meta %]&gt;=100%,1,0))</f>
        <v>0.74358974358974361</v>
      </c>
      <c r="L3" t="s">
        <v>41</v>
      </c>
      <c r="M3" s="18">
        <f>(COUNT(Table6[[#All],[Semana]])*7)/30</f>
        <v>9.1</v>
      </c>
    </row>
    <row r="4" spans="1:13" x14ac:dyDescent="0.2">
      <c r="A4">
        <v>1</v>
      </c>
      <c r="B4" s="1">
        <v>45467</v>
      </c>
      <c r="C4" s="4">
        <v>250</v>
      </c>
      <c r="D4" s="4">
        <v>250</v>
      </c>
      <c r="E4" s="5">
        <f>D4/C4</f>
        <v>1</v>
      </c>
      <c r="F4" s="16">
        <f>IF(SUM($C$4:C4)-SUM($D$4:D4)&gt;0, (SUM($C$4:C4)-SUM($D$4:D4))/SUM($C$4:C4), 0)</f>
        <v>0</v>
      </c>
      <c r="G4" s="6">
        <f>D4-C4</f>
        <v>0</v>
      </c>
      <c r="I4" s="4"/>
      <c r="J4" s="4"/>
    </row>
    <row r="5" spans="1:13" x14ac:dyDescent="0.2">
      <c r="A5">
        <v>2</v>
      </c>
      <c r="B5" s="1">
        <v>45474</v>
      </c>
      <c r="C5" s="4">
        <v>250</v>
      </c>
      <c r="D5" s="4">
        <v>250</v>
      </c>
      <c r="E5" s="5">
        <f t="shared" ref="E5:E35" si="0">D5/C5</f>
        <v>1</v>
      </c>
      <c r="F5" s="16">
        <f>IF(SUM($C$4:C5)-SUM($D$4:D5)&gt;0, (SUM($C$4:C5)-SUM($D$4:D5))/SUM($C$4:C5), 0)</f>
        <v>0</v>
      </c>
      <c r="G5" s="6">
        <f t="shared" ref="G5:G35" si="1">D5-C5</f>
        <v>0</v>
      </c>
      <c r="I5" s="4" t="s">
        <v>21</v>
      </c>
      <c r="J5" s="4">
        <f>SUM(Table6[[#All],[Meta]])</f>
        <v>16750</v>
      </c>
    </row>
    <row r="6" spans="1:13" x14ac:dyDescent="0.2">
      <c r="A6">
        <v>3</v>
      </c>
      <c r="B6" s="1">
        <v>45481</v>
      </c>
      <c r="C6" s="4">
        <v>250</v>
      </c>
      <c r="D6" s="11">
        <v>0</v>
      </c>
      <c r="E6" s="5">
        <f t="shared" si="0"/>
        <v>0</v>
      </c>
      <c r="F6" s="16">
        <f>IF(SUM($C$4:C6)-SUM($D$4:D6)&gt;0, (SUM($C$4:C6)-SUM($D$4:D6))/SUM($C$4:C6), 0)</f>
        <v>0.33333333333333331</v>
      </c>
      <c r="G6" s="6">
        <f t="shared" si="1"/>
        <v>-250</v>
      </c>
      <c r="I6" s="4" t="s">
        <v>22</v>
      </c>
      <c r="J6" s="4">
        <f>SUM(Table6[[#All],[Cobranza]])</f>
        <v>16050</v>
      </c>
    </row>
    <row r="7" spans="1:13" x14ac:dyDescent="0.2">
      <c r="A7">
        <v>4</v>
      </c>
      <c r="B7" s="1">
        <v>45488</v>
      </c>
      <c r="C7" s="4">
        <v>250</v>
      </c>
      <c r="D7" s="4">
        <v>500</v>
      </c>
      <c r="E7" s="5">
        <f t="shared" si="0"/>
        <v>2</v>
      </c>
      <c r="F7" s="16">
        <f>IF(SUM($C$4:C7)-SUM($D$4:D7)&gt;0, (SUM($C$4:C7)-SUM($D$4:D7))/SUM($C$4:C7), 0)</f>
        <v>0</v>
      </c>
      <c r="G7" s="6">
        <f t="shared" si="1"/>
        <v>250</v>
      </c>
      <c r="I7" s="4" t="s">
        <v>23</v>
      </c>
      <c r="J7" s="4">
        <f>SUM(Table6[Didiferencia Absoluta])</f>
        <v>-700</v>
      </c>
    </row>
    <row r="8" spans="1:13" x14ac:dyDescent="0.2">
      <c r="A8">
        <v>5</v>
      </c>
      <c r="B8" s="1">
        <v>45495</v>
      </c>
      <c r="C8" s="4">
        <v>250</v>
      </c>
      <c r="D8" s="4">
        <v>250</v>
      </c>
      <c r="E8" s="5">
        <f t="shared" si="0"/>
        <v>1</v>
      </c>
      <c r="F8" s="16">
        <f>IF(SUM($C$4:C8)-SUM($D$4:D8)&gt;0, (SUM($C$4:C8)-SUM($D$4:D8))/SUM($C$4:C8), 0)</f>
        <v>0</v>
      </c>
      <c r="G8" s="6">
        <f t="shared" si="1"/>
        <v>0</v>
      </c>
      <c r="I8" t="s">
        <v>24</v>
      </c>
      <c r="J8" s="16">
        <f>(J7/J5)*-1</f>
        <v>4.1791044776119404E-2</v>
      </c>
    </row>
    <row r="9" spans="1:13" x14ac:dyDescent="0.2">
      <c r="A9">
        <v>6</v>
      </c>
      <c r="B9" s="1">
        <v>45502</v>
      </c>
      <c r="C9" s="4">
        <v>250</v>
      </c>
      <c r="D9" s="4">
        <v>250</v>
      </c>
      <c r="E9" s="5">
        <f t="shared" si="0"/>
        <v>1</v>
      </c>
      <c r="F9" s="16">
        <f>IF(SUM($C$4:C9)-SUM($D$4:D9)&gt;0, (SUM($C$4:C9)-SUM($D$4:D9))/SUM($C$4:C9), 0)</f>
        <v>0</v>
      </c>
      <c r="G9" s="6">
        <f t="shared" si="1"/>
        <v>0</v>
      </c>
    </row>
    <row r="10" spans="1:13" x14ac:dyDescent="0.2">
      <c r="A10">
        <v>7</v>
      </c>
      <c r="B10" s="1">
        <v>45509</v>
      </c>
      <c r="C10" s="4">
        <v>250</v>
      </c>
      <c r="D10" s="4">
        <v>250</v>
      </c>
      <c r="E10" s="5">
        <f t="shared" si="0"/>
        <v>1</v>
      </c>
      <c r="F10" s="16">
        <f>IF(SUM($C$4:C10)-SUM($D$4:D10)&gt;0, (SUM($C$4:C10)-SUM($D$4:D10))/SUM($C$4:C10), 0)</f>
        <v>0</v>
      </c>
      <c r="G10" s="6">
        <f t="shared" si="1"/>
        <v>0</v>
      </c>
    </row>
    <row r="11" spans="1:13" x14ac:dyDescent="0.2">
      <c r="A11">
        <v>8</v>
      </c>
      <c r="B11" s="1">
        <v>45516</v>
      </c>
      <c r="C11" s="4">
        <v>250</v>
      </c>
      <c r="D11" s="4">
        <v>250</v>
      </c>
      <c r="E11" s="5">
        <f t="shared" si="0"/>
        <v>1</v>
      </c>
      <c r="F11" s="16">
        <f>IF(SUM($C$4:C11)-SUM($D$4:D11)&gt;0, (SUM($C$4:C11)-SUM($D$4:D11))/SUM($C$4:C11), 0)</f>
        <v>0</v>
      </c>
      <c r="G11" s="6">
        <f t="shared" si="1"/>
        <v>0</v>
      </c>
    </row>
    <row r="12" spans="1:13" x14ac:dyDescent="0.2">
      <c r="A12">
        <v>9</v>
      </c>
      <c r="B12" s="1">
        <v>45523</v>
      </c>
      <c r="C12" s="4">
        <v>250</v>
      </c>
      <c r="D12" s="4">
        <v>250</v>
      </c>
      <c r="E12" s="5">
        <f t="shared" si="0"/>
        <v>1</v>
      </c>
      <c r="F12" s="16">
        <f>IF(SUM($C$4:C12)-SUM($D$4:D12)&gt;0, (SUM($C$4:C12)-SUM($D$4:D12))/SUM($C$4:C12), 0)</f>
        <v>0</v>
      </c>
      <c r="G12" s="6">
        <f t="shared" si="1"/>
        <v>0</v>
      </c>
    </row>
    <row r="13" spans="1:13" x14ac:dyDescent="0.2">
      <c r="A13">
        <v>10</v>
      </c>
      <c r="B13" s="1">
        <v>45530</v>
      </c>
      <c r="C13" s="4">
        <v>250</v>
      </c>
      <c r="D13" s="4">
        <v>500</v>
      </c>
      <c r="E13" s="5">
        <f t="shared" si="0"/>
        <v>2</v>
      </c>
      <c r="F13" s="16">
        <f>IF(SUM($C$4:C13)-SUM($D$4:D13)&gt;0, (SUM($C$4:C13)-SUM($D$4:D13))/SUM($C$4:C13), 0)</f>
        <v>0</v>
      </c>
      <c r="G13" s="6">
        <f t="shared" si="1"/>
        <v>250</v>
      </c>
    </row>
    <row r="14" spans="1:13" x14ac:dyDescent="0.2">
      <c r="A14">
        <v>11</v>
      </c>
      <c r="B14" s="1">
        <v>45537</v>
      </c>
      <c r="C14" s="4">
        <v>250</v>
      </c>
      <c r="D14" s="4">
        <v>0</v>
      </c>
      <c r="E14" s="5">
        <f t="shared" si="0"/>
        <v>0</v>
      </c>
      <c r="F14" s="16">
        <f>IF(SUM($C$4:C14)-SUM($D$4:D14)&gt;0, (SUM($C$4:C14)-SUM($D$4:D14))/SUM($C$4:C14), 0)</f>
        <v>0</v>
      </c>
      <c r="G14" s="6">
        <f t="shared" si="1"/>
        <v>-250</v>
      </c>
    </row>
    <row r="15" spans="1:13" x14ac:dyDescent="0.2">
      <c r="A15">
        <v>12</v>
      </c>
      <c r="B15" s="1">
        <v>45544</v>
      </c>
      <c r="C15" s="4">
        <v>250</v>
      </c>
      <c r="D15" s="4">
        <v>500</v>
      </c>
      <c r="E15" s="5">
        <f t="shared" si="0"/>
        <v>2</v>
      </c>
      <c r="F15" s="16">
        <f>IF(SUM($C$4:C15)-SUM($D$4:D15)&gt;0, (SUM($C$4:C15)-SUM($D$4:D15))/SUM($C$4:C15), 0)</f>
        <v>0</v>
      </c>
      <c r="G15" s="6">
        <f t="shared" si="1"/>
        <v>250</v>
      </c>
    </row>
    <row r="16" spans="1:13" x14ac:dyDescent="0.2">
      <c r="A16">
        <v>13</v>
      </c>
      <c r="B16" s="1">
        <v>45551</v>
      </c>
      <c r="C16" s="4">
        <v>250</v>
      </c>
      <c r="D16" s="4">
        <v>0</v>
      </c>
      <c r="E16" s="5">
        <f t="shared" si="0"/>
        <v>0</v>
      </c>
      <c r="F16" s="16">
        <f>IF(SUM($C$4:C16)-SUM($D$4:D16)&gt;0, (SUM($C$4:C16)-SUM($D$4:D16))/SUM($C$4:C16), 0)</f>
        <v>0</v>
      </c>
      <c r="G16" s="6">
        <f t="shared" si="1"/>
        <v>-250</v>
      </c>
    </row>
    <row r="17" spans="1:7" x14ac:dyDescent="0.2">
      <c r="A17">
        <v>14</v>
      </c>
      <c r="B17" s="1">
        <v>45558</v>
      </c>
      <c r="C17" s="4">
        <v>550</v>
      </c>
      <c r="D17" s="4">
        <v>600</v>
      </c>
      <c r="E17" s="5">
        <f t="shared" si="0"/>
        <v>1.0909090909090908</v>
      </c>
      <c r="F17" s="16">
        <f>IF(SUM($C$4:C17)-SUM($D$4:D17)&gt;0, (SUM($C$4:C17)-SUM($D$4:D17))/SUM($C$4:C17), 0)</f>
        <v>0</v>
      </c>
      <c r="G17" s="6">
        <f t="shared" si="1"/>
        <v>50</v>
      </c>
    </row>
    <row r="18" spans="1:7" x14ac:dyDescent="0.2">
      <c r="A18">
        <v>15</v>
      </c>
      <c r="B18" s="1">
        <v>45565</v>
      </c>
      <c r="C18" s="4">
        <v>300</v>
      </c>
      <c r="D18" s="4">
        <v>250</v>
      </c>
      <c r="E18" s="5">
        <f t="shared" si="0"/>
        <v>0.83333333333333337</v>
      </c>
      <c r="F18" s="16">
        <f>IF(SUM($C$4:C18)-SUM($D$4:D18)&gt;0, (SUM($C$4:C18)-SUM($D$4:D18))/SUM($C$4:C18), 0)</f>
        <v>0</v>
      </c>
      <c r="G18" s="6">
        <f t="shared" si="1"/>
        <v>-50</v>
      </c>
    </row>
    <row r="19" spans="1:7" x14ac:dyDescent="0.2">
      <c r="A19">
        <v>16</v>
      </c>
      <c r="B19" s="1">
        <v>45572</v>
      </c>
      <c r="C19" s="4">
        <v>300</v>
      </c>
      <c r="D19" s="4">
        <v>600</v>
      </c>
      <c r="E19" s="5">
        <f t="shared" si="0"/>
        <v>2</v>
      </c>
      <c r="F19" s="16">
        <f>IF(SUM($C$4:C19)-SUM($D$4:D19)&gt;0, (SUM($C$4:C19)-SUM($D$4:D19))/SUM($C$4:C19), 0)</f>
        <v>0</v>
      </c>
      <c r="G19" s="6">
        <f t="shared" si="1"/>
        <v>300</v>
      </c>
    </row>
    <row r="20" spans="1:7" x14ac:dyDescent="0.2">
      <c r="A20">
        <v>17</v>
      </c>
      <c r="B20" s="1">
        <v>45579</v>
      </c>
      <c r="C20" s="4">
        <v>300</v>
      </c>
      <c r="D20" s="4">
        <v>300</v>
      </c>
      <c r="E20" s="5">
        <f t="shared" si="0"/>
        <v>1</v>
      </c>
      <c r="F20" s="16">
        <f>IF(SUM($C$4:C20)-SUM($D$4:D20)&gt;0, (SUM($C$4:C20)-SUM($D$4:D20))/SUM($C$4:C20), 0)</f>
        <v>0</v>
      </c>
      <c r="G20" s="6">
        <f t="shared" si="1"/>
        <v>0</v>
      </c>
    </row>
    <row r="21" spans="1:7" x14ac:dyDescent="0.2">
      <c r="A21">
        <v>18</v>
      </c>
      <c r="B21" s="1">
        <v>45586</v>
      </c>
      <c r="C21" s="4">
        <v>300</v>
      </c>
      <c r="D21" s="4">
        <v>0</v>
      </c>
      <c r="E21" s="5">
        <f t="shared" si="0"/>
        <v>0</v>
      </c>
      <c r="F21" s="16">
        <f>IF(SUM($C$4:C21)-SUM($D$4:D21)&gt;0, (SUM($C$4:C21)-SUM($D$4:D21))/SUM($C$4:C21), 0)</f>
        <v>0</v>
      </c>
      <c r="G21" s="6">
        <f t="shared" si="1"/>
        <v>-300</v>
      </c>
    </row>
    <row r="22" spans="1:7" x14ac:dyDescent="0.2">
      <c r="A22">
        <v>19</v>
      </c>
      <c r="B22" s="1">
        <v>45593</v>
      </c>
      <c r="C22" s="4">
        <v>300</v>
      </c>
      <c r="D22" s="4">
        <v>600</v>
      </c>
      <c r="E22" s="5">
        <f t="shared" si="0"/>
        <v>2</v>
      </c>
      <c r="F22" s="16">
        <f>IF(SUM($C$4:C22)-SUM($D$4:D22)&gt;0, (SUM($C$4:C22)-SUM($D$4:D22))/SUM($C$4:C22), 0)</f>
        <v>0</v>
      </c>
      <c r="G22" s="6">
        <f t="shared" si="1"/>
        <v>300</v>
      </c>
    </row>
    <row r="23" spans="1:7" x14ac:dyDescent="0.2">
      <c r="A23">
        <v>20</v>
      </c>
      <c r="B23" s="1">
        <v>45600</v>
      </c>
      <c r="C23" s="4">
        <v>300</v>
      </c>
      <c r="D23" s="4">
        <v>0</v>
      </c>
      <c r="E23" s="5">
        <f t="shared" si="0"/>
        <v>0</v>
      </c>
      <c r="F23" s="16">
        <f>IF(SUM($C$4:C23)-SUM($D$4:D23)&gt;0, (SUM($C$4:C23)-SUM($D$4:D23))/SUM($C$4:C23), 0)</f>
        <v>0</v>
      </c>
      <c r="G23" s="6">
        <f t="shared" si="1"/>
        <v>-300</v>
      </c>
    </row>
    <row r="24" spans="1:7" x14ac:dyDescent="0.2">
      <c r="A24">
        <v>21</v>
      </c>
      <c r="B24" s="1">
        <v>45607</v>
      </c>
      <c r="C24" s="4">
        <v>300</v>
      </c>
      <c r="D24" s="4">
        <v>300</v>
      </c>
      <c r="E24" s="5">
        <f t="shared" si="0"/>
        <v>1</v>
      </c>
      <c r="F24" s="16">
        <f>IF(SUM($C$4:C24)-SUM($D$4:D24)&gt;0, (SUM($C$4:C24)-SUM($D$4:D24))/SUM($C$4:C24), 0)</f>
        <v>0</v>
      </c>
      <c r="G24" s="6">
        <f t="shared" si="1"/>
        <v>0</v>
      </c>
    </row>
    <row r="25" spans="1:7" x14ac:dyDescent="0.2">
      <c r="A25">
        <v>22</v>
      </c>
      <c r="B25" s="1">
        <v>45614</v>
      </c>
      <c r="C25" s="4">
        <v>300</v>
      </c>
      <c r="D25" s="4">
        <v>600</v>
      </c>
      <c r="E25" s="5">
        <f t="shared" si="0"/>
        <v>2</v>
      </c>
      <c r="F25" s="16">
        <f>IF(SUM($C$4:C25)-SUM($D$4:D25)&gt;0, (SUM($C$4:C25)-SUM($D$4:D25))/SUM($C$4:C25), 0)</f>
        <v>0</v>
      </c>
      <c r="G25" s="6">
        <f t="shared" si="1"/>
        <v>300</v>
      </c>
    </row>
    <row r="26" spans="1:7" x14ac:dyDescent="0.2">
      <c r="A26">
        <v>23</v>
      </c>
      <c r="B26" s="1">
        <v>45621</v>
      </c>
      <c r="C26" s="4">
        <v>300</v>
      </c>
      <c r="D26" s="4">
        <v>300</v>
      </c>
      <c r="E26" s="5">
        <f t="shared" si="0"/>
        <v>1</v>
      </c>
      <c r="F26" s="16">
        <f>IF(SUM($C$4:C26)-SUM($D$4:D26)&gt;0, (SUM($C$4:C26)-SUM($D$4:D26))/SUM($C$4:C26), 0)</f>
        <v>0</v>
      </c>
      <c r="G26" s="6">
        <f t="shared" si="1"/>
        <v>0</v>
      </c>
    </row>
    <row r="27" spans="1:7" x14ac:dyDescent="0.2">
      <c r="A27">
        <v>24</v>
      </c>
      <c r="B27" s="1">
        <v>45628</v>
      </c>
      <c r="C27" s="4">
        <v>0</v>
      </c>
      <c r="D27" s="4">
        <v>350</v>
      </c>
      <c r="E27" s="5">
        <v>1</v>
      </c>
      <c r="F27" s="16">
        <f>IF(SUM($C$4:C27)-SUM($D$4:D27)&gt;0, (SUM($C$4:C27)-SUM($D$4:D27))/SUM($C$4:C27), 0)</f>
        <v>0</v>
      </c>
      <c r="G27" s="6">
        <f t="shared" si="1"/>
        <v>350</v>
      </c>
    </row>
    <row r="28" spans="1:7" x14ac:dyDescent="0.2">
      <c r="A28">
        <v>25</v>
      </c>
      <c r="B28" s="1">
        <v>45635</v>
      </c>
      <c r="C28" s="4">
        <v>350</v>
      </c>
      <c r="D28" s="4">
        <v>350</v>
      </c>
      <c r="E28" s="5">
        <f t="shared" si="0"/>
        <v>1</v>
      </c>
      <c r="F28" s="16">
        <f>IF(SUM($C$4:C28)-SUM($D$4:D28)&gt;0, (SUM($C$4:C28)-SUM($D$4:D28))/SUM($C$4:C28), 0)</f>
        <v>0</v>
      </c>
      <c r="G28" s="6">
        <f t="shared" si="1"/>
        <v>0</v>
      </c>
    </row>
    <row r="29" spans="1:7" x14ac:dyDescent="0.2">
      <c r="A29">
        <v>26</v>
      </c>
      <c r="B29" s="1">
        <v>45642</v>
      </c>
      <c r="C29" s="4">
        <v>350</v>
      </c>
      <c r="D29" s="4">
        <v>0</v>
      </c>
      <c r="E29" s="5">
        <f t="shared" si="0"/>
        <v>0</v>
      </c>
      <c r="F29" s="16">
        <f>IF(SUM($C$4:C29)-SUM($D$4:D29)&gt;0, (SUM($C$4:C29)-SUM($D$4:D29))/SUM($C$4:C29), 0)</f>
        <v>0</v>
      </c>
      <c r="G29" s="6">
        <f t="shared" si="1"/>
        <v>-350</v>
      </c>
    </row>
    <row r="30" spans="1:7" x14ac:dyDescent="0.2">
      <c r="A30">
        <v>27</v>
      </c>
      <c r="B30" s="1">
        <v>45649</v>
      </c>
      <c r="C30" s="4">
        <v>350</v>
      </c>
      <c r="D30" s="4">
        <v>700</v>
      </c>
      <c r="E30" s="5">
        <f t="shared" si="0"/>
        <v>2</v>
      </c>
      <c r="F30" s="16">
        <f>IF(SUM($C$4:C30)-SUM($D$4:D30)&gt;0, (SUM($C$4:C30)-SUM($D$4:D30))/SUM($C$4:C30), 0)</f>
        <v>0</v>
      </c>
      <c r="G30" s="6">
        <f t="shared" si="1"/>
        <v>350</v>
      </c>
    </row>
    <row r="31" spans="1:7" x14ac:dyDescent="0.2">
      <c r="A31">
        <v>28</v>
      </c>
      <c r="B31" s="1">
        <v>45656</v>
      </c>
      <c r="C31" s="4">
        <v>350</v>
      </c>
      <c r="D31" s="4">
        <v>0</v>
      </c>
      <c r="E31" s="5">
        <f t="shared" si="0"/>
        <v>0</v>
      </c>
      <c r="F31" s="16">
        <f>IF(SUM($C$4:C31)-SUM($D$4:D31)&gt;0, (SUM($C$4:C31)-SUM($D$4:D31))/SUM($C$4:C31), 0)</f>
        <v>0</v>
      </c>
      <c r="G31" s="6">
        <f t="shared" si="1"/>
        <v>-350</v>
      </c>
    </row>
    <row r="32" spans="1:7" x14ac:dyDescent="0.2">
      <c r="A32">
        <v>29</v>
      </c>
      <c r="B32" s="1">
        <v>45663</v>
      </c>
      <c r="C32" s="4">
        <v>350</v>
      </c>
      <c r="D32" s="4">
        <v>350</v>
      </c>
      <c r="E32" s="5">
        <f t="shared" si="0"/>
        <v>1</v>
      </c>
      <c r="F32" s="16">
        <f>IF(SUM($C$4:C32)-SUM($D$4:D32)&gt;0, (SUM($C$4:C32)-SUM($D$4:D32))/SUM($C$4:C32), 0)</f>
        <v>0</v>
      </c>
      <c r="G32" s="6">
        <f t="shared" si="1"/>
        <v>0</v>
      </c>
    </row>
    <row r="33" spans="1:7" x14ac:dyDescent="0.2">
      <c r="A33">
        <v>30</v>
      </c>
      <c r="B33" s="1">
        <v>45670</v>
      </c>
      <c r="C33" s="4">
        <v>350</v>
      </c>
      <c r="D33" s="4">
        <v>700</v>
      </c>
      <c r="E33" s="5">
        <f t="shared" si="0"/>
        <v>2</v>
      </c>
      <c r="F33" s="16">
        <f>IF(SUM($C$4:C33)-SUM($D$4:D33)&gt;0, (SUM($C$4:C33)-SUM($D$4:D33))/SUM($C$4:C33), 0)</f>
        <v>0</v>
      </c>
      <c r="G33" s="6">
        <f t="shared" si="1"/>
        <v>350</v>
      </c>
    </row>
    <row r="34" spans="1:7" x14ac:dyDescent="0.2">
      <c r="A34">
        <v>31</v>
      </c>
      <c r="B34" s="1">
        <v>45677</v>
      </c>
      <c r="C34" s="4">
        <v>350</v>
      </c>
      <c r="D34" s="4">
        <v>950</v>
      </c>
      <c r="E34" s="5">
        <f t="shared" si="0"/>
        <v>2.7142857142857144</v>
      </c>
      <c r="F34" s="16">
        <f>IF(SUM($C$4:C34)-SUM($D$4:D34)&gt;0, (SUM($C$4:C34)-SUM($D$4:D34))/SUM($C$4:C34), 0)</f>
        <v>0</v>
      </c>
      <c r="G34" s="6">
        <f t="shared" si="1"/>
        <v>600</v>
      </c>
    </row>
    <row r="35" spans="1:7" x14ac:dyDescent="0.2">
      <c r="A35">
        <v>32</v>
      </c>
      <c r="B35" s="1">
        <v>45684</v>
      </c>
      <c r="C35" s="4">
        <v>950</v>
      </c>
      <c r="D35" s="4">
        <v>950</v>
      </c>
      <c r="E35" s="5">
        <f t="shared" si="0"/>
        <v>1</v>
      </c>
      <c r="F35" s="16">
        <f>IF(SUM($C$4:C35)-SUM($D$4:D35)&gt;0, (SUM($C$4:C35)-SUM($D$4:D35))/SUM($C$4:C35), 0)</f>
        <v>0</v>
      </c>
      <c r="G35" s="6">
        <f t="shared" si="1"/>
        <v>0</v>
      </c>
    </row>
    <row r="36" spans="1:7" x14ac:dyDescent="0.2">
      <c r="A36">
        <v>33</v>
      </c>
      <c r="B36" s="1">
        <v>45691</v>
      </c>
      <c r="C36" s="4">
        <v>950</v>
      </c>
      <c r="D36" s="4">
        <v>950</v>
      </c>
      <c r="E36" s="5">
        <f t="shared" ref="E36:E41" si="2">D36/C36</f>
        <v>1</v>
      </c>
      <c r="F36" s="16">
        <f>IF(SUM($C$4:C36)-SUM($D$4:D36)&gt;0, (SUM($C$4:C36)-SUM($D$4:D36))/SUM($C$4:C36), 0)</f>
        <v>0</v>
      </c>
      <c r="G36" s="6">
        <f t="shared" ref="G36:G41" si="3">D36-C36</f>
        <v>0</v>
      </c>
    </row>
    <row r="37" spans="1:7" x14ac:dyDescent="0.2">
      <c r="A37">
        <v>34</v>
      </c>
      <c r="B37" s="1">
        <v>45698</v>
      </c>
      <c r="C37" s="4">
        <v>950</v>
      </c>
      <c r="D37" s="4">
        <v>950</v>
      </c>
      <c r="E37" s="5">
        <f t="shared" si="2"/>
        <v>1</v>
      </c>
      <c r="F37" s="16">
        <f>IF(SUM($C$4:C37)-SUM($D$4:D37)&gt;0, (SUM($C$4:C37)-SUM($D$4:D37))/SUM($C$4:C37), 0)</f>
        <v>0</v>
      </c>
      <c r="G37" s="6">
        <f t="shared" si="3"/>
        <v>0</v>
      </c>
    </row>
    <row r="38" spans="1:7" x14ac:dyDescent="0.2">
      <c r="A38">
        <v>35</v>
      </c>
      <c r="B38" s="1">
        <v>45705</v>
      </c>
      <c r="C38" s="4">
        <v>950</v>
      </c>
      <c r="D38" s="4">
        <v>0</v>
      </c>
      <c r="E38" s="5">
        <f t="shared" si="2"/>
        <v>0</v>
      </c>
      <c r="F38" s="16">
        <f>IF(SUM($C$4:C38)-SUM($D$4:D38)&gt;0, (SUM($C$4:C38)-SUM($D$4:D38))/SUM($C$4:C38), 0)</f>
        <v>0</v>
      </c>
      <c r="G38" s="6">
        <f t="shared" si="3"/>
        <v>-950</v>
      </c>
    </row>
    <row r="39" spans="1:7" x14ac:dyDescent="0.2">
      <c r="A39">
        <v>36</v>
      </c>
      <c r="B39" s="1">
        <v>45712</v>
      </c>
      <c r="C39" s="4">
        <v>1000</v>
      </c>
      <c r="D39" s="4">
        <v>1000</v>
      </c>
      <c r="E39" s="5">
        <f t="shared" si="2"/>
        <v>1</v>
      </c>
      <c r="F39" s="16">
        <f>IF(SUM($C$4:C39)-SUM($D$4:D39)&gt;0, (SUM($C$4:C39)-SUM($D$4:D39))/SUM($C$4:C39), 0)</f>
        <v>0</v>
      </c>
      <c r="G39" s="6">
        <f t="shared" si="3"/>
        <v>0</v>
      </c>
    </row>
    <row r="40" spans="1:7" x14ac:dyDescent="0.2">
      <c r="A40">
        <v>37</v>
      </c>
      <c r="B40" s="1">
        <v>45719</v>
      </c>
      <c r="C40" s="4">
        <v>1000</v>
      </c>
      <c r="D40" s="4">
        <v>1000</v>
      </c>
      <c r="E40" s="5">
        <f t="shared" si="2"/>
        <v>1</v>
      </c>
      <c r="F40" s="16">
        <f>IF(SUM($C$4:C40)-SUM($D$4:D40)&gt;0, (SUM($C$4:C40)-SUM($D$4:D40))/SUM($C$4:C40), 0)</f>
        <v>0</v>
      </c>
      <c r="G40" s="4">
        <f t="shared" si="3"/>
        <v>0</v>
      </c>
    </row>
    <row r="41" spans="1:7" x14ac:dyDescent="0.2">
      <c r="A41">
        <v>38</v>
      </c>
      <c r="B41" s="1">
        <v>45726</v>
      </c>
      <c r="C41" s="4">
        <v>1000</v>
      </c>
      <c r="D41" s="4">
        <v>1000</v>
      </c>
      <c r="E41" s="5">
        <f t="shared" si="2"/>
        <v>1</v>
      </c>
      <c r="F41" s="16">
        <f>IF(SUM($C$4:C42)-SUM($D$4:D42)&gt;0, (SUM($C$4:C42)-SUM($D$4:D42))/SUM($C$4:C42), 0)</f>
        <v>4.1791044776119404E-2</v>
      </c>
      <c r="G41" s="6">
        <f t="shared" si="3"/>
        <v>0</v>
      </c>
    </row>
    <row r="42" spans="1:7" x14ac:dyDescent="0.2">
      <c r="A42">
        <v>39</v>
      </c>
      <c r="B42" s="1">
        <v>45733</v>
      </c>
      <c r="C42" s="4">
        <v>1000</v>
      </c>
      <c r="D42" s="4"/>
      <c r="E42" s="5">
        <f>D42/C42</f>
        <v>0</v>
      </c>
      <c r="F42" s="16">
        <f>IF(SUM($C$4:C42)-SUM($D$4:D42)&gt;0, (SUM($C$4:C42)-SUM($D$4:D42))/SUM($C$4:C42), 0)</f>
        <v>4.1791044776119404E-2</v>
      </c>
      <c r="G42" s="6">
        <f>D42-C42</f>
        <v>-1000</v>
      </c>
    </row>
  </sheetData>
  <mergeCells count="2">
    <mergeCell ref="A1:A2"/>
    <mergeCell ref="B1:E2"/>
  </mergeCell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836DE-D943-5249-9E01-22FC56FA568D}">
  <dimension ref="A1:M40"/>
  <sheetViews>
    <sheetView topLeftCell="A9" workbookViewId="0">
      <selection activeCell="D41" sqref="D41"/>
    </sheetView>
  </sheetViews>
  <sheetFormatPr baseColWidth="10" defaultRowHeight="16" x14ac:dyDescent="0.2"/>
  <cols>
    <col min="3" max="4" width="11.5" bestFit="1" customWidth="1"/>
    <col min="5" max="6" width="24" customWidth="1"/>
    <col min="7" max="7" width="24" bestFit="1" customWidth="1"/>
    <col min="9" max="9" width="25.6640625" bestFit="1" customWidth="1"/>
    <col min="10" max="10" width="11.5" bestFit="1" customWidth="1"/>
    <col min="12" max="12" width="17.33203125" bestFit="1" customWidth="1"/>
    <col min="13" max="13" width="11.6640625" bestFit="1" customWidth="1"/>
  </cols>
  <sheetData>
    <row r="1" spans="1:13" ht="27" x14ac:dyDescent="0.2">
      <c r="A1" s="55" t="s">
        <v>31</v>
      </c>
      <c r="B1" s="55" t="s">
        <v>12</v>
      </c>
      <c r="C1" s="55"/>
      <c r="D1" s="55"/>
      <c r="E1" s="55"/>
      <c r="F1" s="15"/>
      <c r="G1" s="9"/>
      <c r="H1" s="10"/>
    </row>
    <row r="2" spans="1:13" ht="27" x14ac:dyDescent="0.2">
      <c r="A2" s="55"/>
      <c r="B2" s="55"/>
      <c r="C2" s="55"/>
      <c r="D2" s="55"/>
      <c r="E2" s="55"/>
      <c r="F2" s="15"/>
      <c r="I2" t="s">
        <v>12</v>
      </c>
    </row>
    <row r="3" spans="1:13" x14ac:dyDescent="0.2">
      <c r="A3" t="s">
        <v>19</v>
      </c>
      <c r="B3" t="s">
        <v>18</v>
      </c>
      <c r="C3" s="2" t="s">
        <v>1</v>
      </c>
      <c r="D3" s="2" t="s">
        <v>20</v>
      </c>
      <c r="E3" t="s">
        <v>9</v>
      </c>
      <c r="F3" t="s">
        <v>40</v>
      </c>
      <c r="G3" t="s">
        <v>8</v>
      </c>
      <c r="I3" s="9" t="s">
        <v>39</v>
      </c>
      <c r="J3" s="16" cm="1">
        <f t="array" ref="J3">AVERAGE(IF(Table7[Cumplimiento de Meta %]&gt;=100%,1,0))</f>
        <v>0.91891891891891897</v>
      </c>
      <c r="L3" t="s">
        <v>41</v>
      </c>
      <c r="M3" s="18">
        <f>(COUNT(Table7[[#All],[Semana]])*7)/30</f>
        <v>8.6333333333333329</v>
      </c>
    </row>
    <row r="4" spans="1:13" x14ac:dyDescent="0.2">
      <c r="A4">
        <v>1</v>
      </c>
      <c r="B4" s="1">
        <v>45481</v>
      </c>
      <c r="C4" s="4">
        <v>250</v>
      </c>
      <c r="D4" s="4">
        <v>0</v>
      </c>
      <c r="E4" s="5">
        <f>D4/C4</f>
        <v>0</v>
      </c>
      <c r="F4" s="16">
        <f>IF(SUM($C$4:C4)-SUM($D$4:D4)&gt;0, (SUM($C$4:C4)-SUM($D$4:D4))/SUM($C$4:C4), 0)</f>
        <v>1</v>
      </c>
      <c r="G4" s="6">
        <f>D4-C4</f>
        <v>-250</v>
      </c>
      <c r="I4" s="4"/>
      <c r="J4" s="4"/>
    </row>
    <row r="5" spans="1:13" x14ac:dyDescent="0.2">
      <c r="A5">
        <v>2</v>
      </c>
      <c r="B5" s="1">
        <v>45488</v>
      </c>
      <c r="C5" s="4">
        <v>250</v>
      </c>
      <c r="D5" s="4">
        <v>500</v>
      </c>
      <c r="E5" s="5">
        <f t="shared" ref="E5:E33" si="0">D5/C5</f>
        <v>2</v>
      </c>
      <c r="F5" s="16">
        <f>IF(SUM($C$4:C5)-SUM($D$4:D5)&gt;0, (SUM($C$4:C5)-SUM($D$4:D5))/SUM($C$4:C5), 0)</f>
        <v>0</v>
      </c>
      <c r="G5" s="6">
        <f t="shared" ref="G5:G33" si="1">D5-C5</f>
        <v>250</v>
      </c>
      <c r="I5" s="4" t="s">
        <v>21</v>
      </c>
      <c r="J5" s="4">
        <f>SUM(Table7[[#All],[Meta]])</f>
        <v>43750</v>
      </c>
    </row>
    <row r="6" spans="1:13" x14ac:dyDescent="0.2">
      <c r="A6">
        <v>3</v>
      </c>
      <c r="B6" s="1">
        <v>45495</v>
      </c>
      <c r="C6" s="4">
        <v>250</v>
      </c>
      <c r="D6" s="4">
        <v>250</v>
      </c>
      <c r="E6" s="5">
        <f t="shared" si="0"/>
        <v>1</v>
      </c>
      <c r="F6" s="16">
        <f>IF(SUM($C$4:C6)-SUM($D$4:D6)&gt;0, (SUM($C$4:C6)-SUM($D$4:D6))/SUM($C$4:C6), 0)</f>
        <v>0</v>
      </c>
      <c r="G6" s="6">
        <f t="shared" si="1"/>
        <v>0</v>
      </c>
      <c r="I6" s="4" t="s">
        <v>22</v>
      </c>
      <c r="J6" s="4">
        <f>SUM(Table7[[#All],[Cobranza]])</f>
        <v>44600</v>
      </c>
    </row>
    <row r="7" spans="1:13" x14ac:dyDescent="0.2">
      <c r="A7">
        <v>4</v>
      </c>
      <c r="B7" s="1">
        <v>45502</v>
      </c>
      <c r="C7" s="4">
        <v>250</v>
      </c>
      <c r="D7" s="4">
        <v>250</v>
      </c>
      <c r="E7" s="5">
        <f t="shared" si="0"/>
        <v>1</v>
      </c>
      <c r="F7" s="16">
        <f>IF(SUM($C$4:C7)-SUM($D$4:D7)&gt;0, (SUM($C$4:C7)-SUM($D$4:D7))/SUM($C$4:C7), 0)</f>
        <v>0</v>
      </c>
      <c r="G7" s="6">
        <f t="shared" si="1"/>
        <v>0</v>
      </c>
      <c r="I7" s="4" t="s">
        <v>23</v>
      </c>
      <c r="J7" s="4">
        <f>SUM(Table7[[#All],[Didiferencia Absoluta]])</f>
        <v>850</v>
      </c>
    </row>
    <row r="8" spans="1:13" x14ac:dyDescent="0.2">
      <c r="A8">
        <v>5</v>
      </c>
      <c r="B8" s="1">
        <v>45509</v>
      </c>
      <c r="C8" s="4">
        <v>250</v>
      </c>
      <c r="D8" s="4">
        <v>250</v>
      </c>
      <c r="E8" s="5">
        <f t="shared" si="0"/>
        <v>1</v>
      </c>
      <c r="F8" s="16">
        <f>IF(SUM($C$4:C8)-SUM($D$4:D8)&gt;0, (SUM($C$4:C8)-SUM($D$4:D8))/SUM($C$4:C8), 0)</f>
        <v>0</v>
      </c>
      <c r="G8" s="6">
        <f t="shared" si="1"/>
        <v>0</v>
      </c>
      <c r="I8" t="s">
        <v>24</v>
      </c>
      <c r="J8" s="16">
        <f>(J7/J5)*-1</f>
        <v>-1.9428571428571427E-2</v>
      </c>
    </row>
    <row r="9" spans="1:13" x14ac:dyDescent="0.2">
      <c r="A9">
        <v>6</v>
      </c>
      <c r="B9" s="1">
        <v>45516</v>
      </c>
      <c r="C9" s="4">
        <v>500</v>
      </c>
      <c r="D9" s="4">
        <v>500</v>
      </c>
      <c r="E9" s="5">
        <f t="shared" si="0"/>
        <v>1</v>
      </c>
      <c r="F9" s="16">
        <f>IF(SUM($C$4:C9)-SUM($D$4:D9)&gt;0, (SUM($C$4:C9)-SUM($D$4:D9))/SUM($C$4:C9), 0)</f>
        <v>0</v>
      </c>
      <c r="G9" s="6">
        <f t="shared" si="1"/>
        <v>0</v>
      </c>
    </row>
    <row r="10" spans="1:13" x14ac:dyDescent="0.2">
      <c r="A10">
        <v>7</v>
      </c>
      <c r="B10" s="1">
        <v>45523</v>
      </c>
      <c r="C10" s="4">
        <v>500</v>
      </c>
      <c r="D10" s="4">
        <v>500</v>
      </c>
      <c r="E10" s="5">
        <f t="shared" si="0"/>
        <v>1</v>
      </c>
      <c r="F10" s="16">
        <f>IF(SUM($C$4:C10)-SUM($D$4:D10)&gt;0, (SUM($C$4:C10)-SUM($D$4:D10))/SUM($C$4:C10), 0)</f>
        <v>0</v>
      </c>
      <c r="G10" s="6">
        <f t="shared" si="1"/>
        <v>0</v>
      </c>
    </row>
    <row r="11" spans="1:13" x14ac:dyDescent="0.2">
      <c r="A11">
        <v>8</v>
      </c>
      <c r="B11" s="1">
        <v>45530</v>
      </c>
      <c r="C11" s="4">
        <v>500</v>
      </c>
      <c r="D11" s="4">
        <v>500</v>
      </c>
      <c r="E11" s="5">
        <f t="shared" si="0"/>
        <v>1</v>
      </c>
      <c r="F11" s="16">
        <f>IF(SUM($C$4:C11)-SUM($D$4:D11)&gt;0, (SUM($C$4:C11)-SUM($D$4:D11))/SUM($C$4:C11), 0)</f>
        <v>0</v>
      </c>
      <c r="G11" s="6">
        <f t="shared" si="1"/>
        <v>0</v>
      </c>
    </row>
    <row r="12" spans="1:13" x14ac:dyDescent="0.2">
      <c r="A12">
        <v>9</v>
      </c>
      <c r="B12" s="1">
        <v>45537</v>
      </c>
      <c r="C12" s="4">
        <v>1600</v>
      </c>
      <c r="D12" s="4">
        <v>1600</v>
      </c>
      <c r="E12" s="5">
        <f t="shared" si="0"/>
        <v>1</v>
      </c>
      <c r="F12" s="16">
        <f>IF(SUM($C$4:C12)-SUM($D$4:D12)&gt;0, (SUM($C$4:C12)-SUM($D$4:D12))/SUM($C$4:C12), 0)</f>
        <v>0</v>
      </c>
      <c r="G12" s="6">
        <f t="shared" si="1"/>
        <v>0</v>
      </c>
    </row>
    <row r="13" spans="1:13" x14ac:dyDescent="0.2">
      <c r="A13">
        <v>10</v>
      </c>
      <c r="B13" s="1">
        <v>45544</v>
      </c>
      <c r="C13" s="4">
        <v>1600</v>
      </c>
      <c r="D13" s="4">
        <v>1600</v>
      </c>
      <c r="E13" s="5">
        <f t="shared" si="0"/>
        <v>1</v>
      </c>
      <c r="F13" s="16">
        <f>IF(SUM($C$4:C13)-SUM($D$4:D13)&gt;0, (SUM($C$4:C13)-SUM($D$4:D13))/SUM($C$4:C13), 0)</f>
        <v>0</v>
      </c>
      <c r="G13" s="6">
        <f t="shared" si="1"/>
        <v>0</v>
      </c>
    </row>
    <row r="14" spans="1:13" x14ac:dyDescent="0.2">
      <c r="A14">
        <v>11</v>
      </c>
      <c r="B14" s="1">
        <v>45551</v>
      </c>
      <c r="C14" s="4">
        <v>1600</v>
      </c>
      <c r="D14" s="4">
        <v>1600</v>
      </c>
      <c r="E14" s="5">
        <f t="shared" si="0"/>
        <v>1</v>
      </c>
      <c r="F14" s="16">
        <f>IF(SUM($C$4:C14)-SUM($D$4:D14)&gt;0, (SUM($C$4:C14)-SUM($D$4:D14))/SUM($C$4:C14), 0)</f>
        <v>0</v>
      </c>
      <c r="G14" s="6">
        <f t="shared" si="1"/>
        <v>0</v>
      </c>
    </row>
    <row r="15" spans="1:13" x14ac:dyDescent="0.2">
      <c r="A15">
        <v>12</v>
      </c>
      <c r="B15" s="1">
        <v>45558</v>
      </c>
      <c r="C15" s="4">
        <v>1600</v>
      </c>
      <c r="D15" s="4">
        <v>1600</v>
      </c>
      <c r="E15" s="5">
        <f t="shared" si="0"/>
        <v>1</v>
      </c>
      <c r="F15" s="16">
        <f>IF(SUM($C$4:C15)-SUM($D$4:D15)&gt;0, (SUM($C$4:C15)-SUM($D$4:D15))/SUM($C$4:C15), 0)</f>
        <v>0</v>
      </c>
      <c r="G15" s="6">
        <f t="shared" si="1"/>
        <v>0</v>
      </c>
    </row>
    <row r="16" spans="1:13" x14ac:dyDescent="0.2">
      <c r="A16">
        <v>13</v>
      </c>
      <c r="B16" s="1">
        <v>45565</v>
      </c>
      <c r="C16" s="4">
        <v>1600</v>
      </c>
      <c r="D16" s="4">
        <v>1600</v>
      </c>
      <c r="E16" s="5">
        <f t="shared" si="0"/>
        <v>1</v>
      </c>
      <c r="F16" s="16">
        <f>IF(SUM($C$4:C16)-SUM($D$4:D16)&gt;0, (SUM($C$4:C16)-SUM($D$4:D16))/SUM($C$4:C16), 0)</f>
        <v>0</v>
      </c>
      <c r="G16" s="6">
        <f t="shared" si="1"/>
        <v>0</v>
      </c>
    </row>
    <row r="17" spans="1:7" x14ac:dyDescent="0.2">
      <c r="A17">
        <v>14</v>
      </c>
      <c r="B17" s="1">
        <v>45572</v>
      </c>
      <c r="C17" s="4">
        <v>1350</v>
      </c>
      <c r="D17" s="4">
        <v>1600</v>
      </c>
      <c r="E17" s="5">
        <f t="shared" si="0"/>
        <v>1.1851851851851851</v>
      </c>
      <c r="F17" s="16">
        <f>IF(SUM($C$4:C17)-SUM($D$4:D17)&gt;0, (SUM($C$4:C17)-SUM($D$4:D17))/SUM($C$4:C17), 0)</f>
        <v>0</v>
      </c>
      <c r="G17" s="6">
        <f t="shared" si="1"/>
        <v>250</v>
      </c>
    </row>
    <row r="18" spans="1:7" x14ac:dyDescent="0.2">
      <c r="A18">
        <v>15</v>
      </c>
      <c r="B18" s="1">
        <v>45579</v>
      </c>
      <c r="C18" s="4">
        <v>1350</v>
      </c>
      <c r="D18" s="4">
        <v>1350</v>
      </c>
      <c r="E18" s="5">
        <f t="shared" si="0"/>
        <v>1</v>
      </c>
      <c r="F18" s="16">
        <f>IF(SUM($C$4:C18)-SUM($D$4:D18)&gt;0, (SUM($C$4:C18)-SUM($D$4:D18))/SUM($C$4:C18), 0)</f>
        <v>0</v>
      </c>
      <c r="G18" s="6">
        <f t="shared" si="1"/>
        <v>0</v>
      </c>
    </row>
    <row r="19" spans="1:7" x14ac:dyDescent="0.2">
      <c r="A19">
        <v>16</v>
      </c>
      <c r="B19" s="1">
        <v>45586</v>
      </c>
      <c r="C19" s="4">
        <v>1650</v>
      </c>
      <c r="D19" s="4">
        <v>1650</v>
      </c>
      <c r="E19" s="5">
        <f t="shared" si="0"/>
        <v>1</v>
      </c>
      <c r="F19" s="16">
        <f>IF(SUM($C$4:C19)-SUM($D$4:D19)&gt;0, (SUM($C$4:C19)-SUM($D$4:D19))/SUM($C$4:C19), 0)</f>
        <v>0</v>
      </c>
      <c r="G19" s="6">
        <f t="shared" si="1"/>
        <v>0</v>
      </c>
    </row>
    <row r="20" spans="1:7" x14ac:dyDescent="0.2">
      <c r="A20">
        <v>17</v>
      </c>
      <c r="B20" s="1">
        <v>45593</v>
      </c>
      <c r="C20" s="4">
        <v>1650</v>
      </c>
      <c r="D20" s="4">
        <v>1650</v>
      </c>
      <c r="E20" s="5">
        <f t="shared" si="0"/>
        <v>1</v>
      </c>
      <c r="F20" s="16">
        <f>IF(SUM($C$4:C20)-SUM($D$4:D20)&gt;0, (SUM($C$4:C20)-SUM($D$4:D20))/SUM($C$4:C20), 0)</f>
        <v>0</v>
      </c>
      <c r="G20" s="6">
        <f t="shared" si="1"/>
        <v>0</v>
      </c>
    </row>
    <row r="21" spans="1:7" x14ac:dyDescent="0.2">
      <c r="A21">
        <v>18</v>
      </c>
      <c r="B21" s="1">
        <v>45600</v>
      </c>
      <c r="C21" s="4">
        <v>1650</v>
      </c>
      <c r="D21" s="4">
        <v>1650</v>
      </c>
      <c r="E21" s="5">
        <f t="shared" si="0"/>
        <v>1</v>
      </c>
      <c r="F21" s="16">
        <f>IF(SUM($C$4:C21)-SUM($D$4:D21)&gt;0, (SUM($C$4:C21)-SUM($D$4:D21))/SUM($C$4:C21), 0)</f>
        <v>0</v>
      </c>
      <c r="G21" s="6">
        <f t="shared" si="1"/>
        <v>0</v>
      </c>
    </row>
    <row r="22" spans="1:7" x14ac:dyDescent="0.2">
      <c r="A22">
        <v>19</v>
      </c>
      <c r="B22" s="1">
        <v>45607</v>
      </c>
      <c r="C22" s="4">
        <v>1700</v>
      </c>
      <c r="D22" s="4">
        <v>1950</v>
      </c>
      <c r="E22" s="5">
        <f t="shared" si="0"/>
        <v>1.1470588235294117</v>
      </c>
      <c r="F22" s="16">
        <f>IF(SUM($C$4:C22)-SUM($D$4:D22)&gt;0, (SUM($C$4:C22)-SUM($D$4:D22))/SUM($C$4:C22), 0)</f>
        <v>0</v>
      </c>
      <c r="G22" s="6">
        <f t="shared" si="1"/>
        <v>250</v>
      </c>
    </row>
    <row r="23" spans="1:7" x14ac:dyDescent="0.2">
      <c r="A23">
        <v>20</v>
      </c>
      <c r="B23" s="1">
        <v>45614</v>
      </c>
      <c r="C23" s="4">
        <v>1700</v>
      </c>
      <c r="D23" s="4">
        <v>1700</v>
      </c>
      <c r="E23" s="5">
        <f t="shared" si="0"/>
        <v>1</v>
      </c>
      <c r="F23" s="16">
        <f>IF(SUM($C$4:C23)-SUM($D$4:D23)&gt;0, (SUM($C$4:C23)-SUM($D$4:D23))/SUM($C$4:C23), 0)</f>
        <v>0</v>
      </c>
      <c r="G23" s="6">
        <f t="shared" si="1"/>
        <v>0</v>
      </c>
    </row>
    <row r="24" spans="1:7" x14ac:dyDescent="0.2">
      <c r="A24">
        <v>21</v>
      </c>
      <c r="B24" s="1">
        <v>45621</v>
      </c>
      <c r="C24" s="4">
        <v>1450</v>
      </c>
      <c r="D24" s="4">
        <v>1700</v>
      </c>
      <c r="E24" s="5">
        <f t="shared" si="0"/>
        <v>1.1724137931034482</v>
      </c>
      <c r="F24" s="16">
        <f>IF(SUM($C$4:C24)-SUM($D$4:D24)&gt;0, (SUM($C$4:C24)-SUM($D$4:D24))/SUM($C$4:C24), 0)</f>
        <v>0</v>
      </c>
      <c r="G24" s="6">
        <f t="shared" si="1"/>
        <v>250</v>
      </c>
    </row>
    <row r="25" spans="1:7" x14ac:dyDescent="0.2">
      <c r="A25">
        <v>22</v>
      </c>
      <c r="B25" s="1">
        <v>45628</v>
      </c>
      <c r="C25" s="4">
        <v>1200</v>
      </c>
      <c r="D25" s="4">
        <v>1800</v>
      </c>
      <c r="E25" s="5">
        <f t="shared" si="0"/>
        <v>1.5</v>
      </c>
      <c r="F25" s="16">
        <f>IF(SUM($C$4:C25)-SUM($D$4:D25)&gt;0, (SUM($C$4:C25)-SUM($D$4:D25))/SUM($C$4:C25), 0)</f>
        <v>0</v>
      </c>
      <c r="G25" s="6">
        <f t="shared" si="1"/>
        <v>600</v>
      </c>
    </row>
    <row r="26" spans="1:7" x14ac:dyDescent="0.2">
      <c r="A26">
        <v>23</v>
      </c>
      <c r="B26" s="1">
        <v>45635</v>
      </c>
      <c r="C26" s="4">
        <v>1200</v>
      </c>
      <c r="D26" s="4">
        <v>1200</v>
      </c>
      <c r="E26" s="5">
        <f t="shared" si="0"/>
        <v>1</v>
      </c>
      <c r="F26" s="16">
        <f>IF(SUM($C$4:C26)-SUM($D$4:D26)&gt;0, (SUM($C$4:C26)-SUM($D$4:D26))/SUM($C$4:C26), 0)</f>
        <v>0</v>
      </c>
      <c r="G26" s="6">
        <f t="shared" si="1"/>
        <v>0</v>
      </c>
    </row>
    <row r="27" spans="1:7" x14ac:dyDescent="0.2">
      <c r="A27">
        <v>24</v>
      </c>
      <c r="B27" s="1">
        <v>45642</v>
      </c>
      <c r="C27" s="4">
        <v>1500</v>
      </c>
      <c r="D27" s="4">
        <v>1500</v>
      </c>
      <c r="E27" s="5">
        <f t="shared" si="0"/>
        <v>1</v>
      </c>
      <c r="F27" s="16">
        <f>IF(SUM($C$4:C27)-SUM($D$4:D27)&gt;0, (SUM($C$4:C27)-SUM($D$4:D27))/SUM($C$4:C27), 0)</f>
        <v>0</v>
      </c>
      <c r="G27" s="6">
        <f t="shared" si="1"/>
        <v>0</v>
      </c>
    </row>
    <row r="28" spans="1:7" x14ac:dyDescent="0.2">
      <c r="A28">
        <v>25</v>
      </c>
      <c r="B28" s="1">
        <v>45649</v>
      </c>
      <c r="C28" s="4">
        <v>1500</v>
      </c>
      <c r="D28" s="4">
        <v>1500</v>
      </c>
      <c r="E28" s="5">
        <f t="shared" si="0"/>
        <v>1</v>
      </c>
      <c r="F28" s="16">
        <f>IF(SUM($C$4:C28)-SUM($D$4:D28)&gt;0, (SUM($C$4:C28)-SUM($D$4:D28))/SUM($C$4:C28), 0)</f>
        <v>0</v>
      </c>
      <c r="G28" s="6">
        <f t="shared" si="1"/>
        <v>0</v>
      </c>
    </row>
    <row r="29" spans="1:7" x14ac:dyDescent="0.2">
      <c r="A29">
        <v>26</v>
      </c>
      <c r="B29" s="1">
        <v>45656</v>
      </c>
      <c r="C29" s="4">
        <v>1500</v>
      </c>
      <c r="D29" s="4">
        <v>1500</v>
      </c>
      <c r="E29" s="5">
        <f t="shared" si="0"/>
        <v>1</v>
      </c>
      <c r="F29" s="16">
        <f>IF(SUM($C$4:C29)-SUM($D$4:D29)&gt;0, (SUM($C$4:C29)-SUM($D$4:D29))/SUM($C$4:C29), 0)</f>
        <v>0</v>
      </c>
      <c r="G29" s="6">
        <f t="shared" si="1"/>
        <v>0</v>
      </c>
    </row>
    <row r="30" spans="1:7" x14ac:dyDescent="0.2">
      <c r="A30">
        <v>27</v>
      </c>
      <c r="B30" s="1">
        <v>45663</v>
      </c>
      <c r="C30" s="4">
        <v>1500</v>
      </c>
      <c r="D30" s="4">
        <v>1500</v>
      </c>
      <c r="E30" s="5">
        <f t="shared" si="0"/>
        <v>1</v>
      </c>
      <c r="F30" s="16">
        <f>IF(SUM($C$4:C30)-SUM($D$4:D30)&gt;0, (SUM($C$4:C30)-SUM($D$4:D30))/SUM($C$4:C30), 0)</f>
        <v>0</v>
      </c>
      <c r="G30" s="6">
        <f t="shared" si="1"/>
        <v>0</v>
      </c>
    </row>
    <row r="31" spans="1:7" x14ac:dyDescent="0.2">
      <c r="A31">
        <v>28</v>
      </c>
      <c r="B31" s="1">
        <v>45670</v>
      </c>
      <c r="C31" s="4">
        <v>1500</v>
      </c>
      <c r="D31" s="4">
        <v>1200</v>
      </c>
      <c r="E31" s="5">
        <f t="shared" si="0"/>
        <v>0.8</v>
      </c>
      <c r="F31" s="16">
        <f>IF(SUM($C$4:C31)-SUM($D$4:D31)&gt;0, (SUM($C$4:C31)-SUM($D$4:D31))/SUM($C$4:C31), 0)</f>
        <v>0</v>
      </c>
      <c r="G31" s="6">
        <f t="shared" si="1"/>
        <v>-300</v>
      </c>
    </row>
    <row r="32" spans="1:7" x14ac:dyDescent="0.2">
      <c r="A32">
        <v>29</v>
      </c>
      <c r="B32" s="1">
        <v>45677</v>
      </c>
      <c r="C32" s="4">
        <v>1200</v>
      </c>
      <c r="D32" s="4">
        <v>1800</v>
      </c>
      <c r="E32" s="5">
        <f t="shared" si="0"/>
        <v>1.5</v>
      </c>
      <c r="F32" s="16">
        <f>IF(SUM($C$4:C32)-SUM($D$4:D32)&gt;0, (SUM($C$4:C32)-SUM($D$4:D32))/SUM($C$4:C32), 0)</f>
        <v>0</v>
      </c>
      <c r="G32" s="6">
        <f t="shared" si="1"/>
        <v>600</v>
      </c>
    </row>
    <row r="33" spans="1:7" x14ac:dyDescent="0.2">
      <c r="A33">
        <v>30</v>
      </c>
      <c r="B33" s="1">
        <v>45684</v>
      </c>
      <c r="C33" s="4">
        <v>1200</v>
      </c>
      <c r="D33" s="4">
        <v>1200</v>
      </c>
      <c r="E33" s="5">
        <f t="shared" si="0"/>
        <v>1</v>
      </c>
      <c r="F33" s="16">
        <f>IF(SUM($C$4:C40)-SUM($D$4:D40)&gt;0, (SUM($C$4:C40)-SUM($D$4:D40))/SUM($C$4:C40), 0)</f>
        <v>0</v>
      </c>
      <c r="G33" s="6">
        <f t="shared" si="1"/>
        <v>0</v>
      </c>
    </row>
    <row r="34" spans="1:7" x14ac:dyDescent="0.2">
      <c r="A34">
        <v>31</v>
      </c>
      <c r="B34" s="1">
        <v>45691</v>
      </c>
      <c r="C34" s="4">
        <v>1200</v>
      </c>
      <c r="D34" s="4">
        <v>1200</v>
      </c>
      <c r="E34" s="5">
        <f t="shared" ref="E34:E39" si="2">D34/C34</f>
        <v>1</v>
      </c>
      <c r="F34" s="16">
        <f>IF(SUM($C$4:C40)-SUM($D$4:D40)&gt;0, (SUM($C$4:C40)-SUM($D$4:D40))/SUM($C$4:C40), 0)</f>
        <v>0</v>
      </c>
      <c r="G34" s="6">
        <f t="shared" ref="G34:G39" si="3">D34-C34</f>
        <v>0</v>
      </c>
    </row>
    <row r="35" spans="1:7" x14ac:dyDescent="0.2">
      <c r="A35">
        <v>32</v>
      </c>
      <c r="B35" s="1">
        <v>45698</v>
      </c>
      <c r="C35" s="4">
        <v>1200</v>
      </c>
      <c r="D35" s="4">
        <v>1200</v>
      </c>
      <c r="E35" s="5">
        <f t="shared" si="2"/>
        <v>1</v>
      </c>
      <c r="F35" s="16">
        <f>IF(SUM($C$4:C40)-SUM($D$4:D40)&gt;0, (SUM($C$4:C40)-SUM($D$4:D40))/SUM($C$4:C40), 0)</f>
        <v>0</v>
      </c>
      <c r="G35" s="6">
        <f t="shared" si="3"/>
        <v>0</v>
      </c>
    </row>
    <row r="36" spans="1:7" x14ac:dyDescent="0.2">
      <c r="A36">
        <v>33</v>
      </c>
      <c r="B36" s="1">
        <v>45705</v>
      </c>
      <c r="C36" s="4">
        <v>1200</v>
      </c>
      <c r="D36" s="4">
        <v>1200</v>
      </c>
      <c r="E36" s="5">
        <f t="shared" si="2"/>
        <v>1</v>
      </c>
      <c r="F36" s="16">
        <f>IF(SUM($C$4:C40)-SUM($D$4:D40)&gt;0, (SUM($C$4:C40)-SUM($D$4:D40))/SUM($C$4:C40), 0)</f>
        <v>0</v>
      </c>
      <c r="G36" s="6">
        <f t="shared" si="3"/>
        <v>0</v>
      </c>
    </row>
    <row r="37" spans="1:7" x14ac:dyDescent="0.2">
      <c r="A37">
        <v>34</v>
      </c>
      <c r="B37" s="1">
        <v>45712</v>
      </c>
      <c r="C37" s="4">
        <v>1200</v>
      </c>
      <c r="D37" s="4">
        <v>1200</v>
      </c>
      <c r="E37" s="5">
        <f t="shared" si="2"/>
        <v>1</v>
      </c>
      <c r="F37" s="16">
        <f>IF(SUM($C$4:C40)-SUM($D$4:D40)&gt;0, (SUM($C$4:C40)-SUM($D$4:D40))/SUM($C$4:C40), 0)</f>
        <v>0</v>
      </c>
      <c r="G37" s="6">
        <f t="shared" si="3"/>
        <v>0</v>
      </c>
    </row>
    <row r="38" spans="1:7" x14ac:dyDescent="0.2">
      <c r="A38">
        <v>35</v>
      </c>
      <c r="B38" s="1">
        <v>45719</v>
      </c>
      <c r="C38" s="4">
        <v>600</v>
      </c>
      <c r="D38" s="4">
        <v>1200</v>
      </c>
      <c r="E38" s="5">
        <f t="shared" si="2"/>
        <v>2</v>
      </c>
      <c r="F38" s="16">
        <f>IF(SUM($C$4:C40)-SUM($D$4:D40)&gt;0, (SUM($C$4:C40)-SUM($D$4:D40))/SUM($C$4:C40), 0)</f>
        <v>0</v>
      </c>
      <c r="G38" s="4">
        <f t="shared" si="3"/>
        <v>600</v>
      </c>
    </row>
    <row r="39" spans="1:7" x14ac:dyDescent="0.2">
      <c r="A39">
        <v>36</v>
      </c>
      <c r="B39" s="1">
        <v>45726</v>
      </c>
      <c r="C39" s="4">
        <v>1400</v>
      </c>
      <c r="D39" s="4">
        <v>1400</v>
      </c>
      <c r="E39" s="5">
        <f t="shared" si="2"/>
        <v>1</v>
      </c>
      <c r="F39" s="16">
        <f>IF(SUM($C$4:C40)-SUM($D$4:D40)&gt;0, (SUM($C$4:C40)-SUM($D$4:D40))/SUM($C$4:C40), 0)</f>
        <v>0</v>
      </c>
      <c r="G39" s="6">
        <f t="shared" si="3"/>
        <v>0</v>
      </c>
    </row>
    <row r="40" spans="1:7" x14ac:dyDescent="0.2">
      <c r="A40">
        <v>37</v>
      </c>
      <c r="B40" s="1">
        <v>45733</v>
      </c>
      <c r="C40" s="4">
        <v>1400</v>
      </c>
      <c r="D40" s="4"/>
      <c r="E40" s="5">
        <f>D40/C40</f>
        <v>0</v>
      </c>
      <c r="F40" s="16">
        <f>IF(SUM($C$4:C40)-SUM($D$4:D40)&gt;0, (SUM($C$4:C40)-SUM($D$4:D40))/SUM($C$4:C40), 0)</f>
        <v>0</v>
      </c>
      <c r="G40" s="6">
        <f>D40-C40</f>
        <v>-1400</v>
      </c>
    </row>
  </sheetData>
  <mergeCells count="2">
    <mergeCell ref="A1:A2"/>
    <mergeCell ref="B1:E2"/>
  </mergeCells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E2FAD-2B31-184C-BC28-526AD9AE31FC}">
  <dimension ref="A1:M40"/>
  <sheetViews>
    <sheetView topLeftCell="A11" workbookViewId="0">
      <selection activeCell="D42" sqref="D42"/>
    </sheetView>
  </sheetViews>
  <sheetFormatPr baseColWidth="10" defaultRowHeight="16" x14ac:dyDescent="0.2"/>
  <cols>
    <col min="3" max="4" width="11.5" bestFit="1" customWidth="1"/>
    <col min="5" max="6" width="24" customWidth="1"/>
    <col min="7" max="7" width="24" bestFit="1" customWidth="1"/>
    <col min="9" max="9" width="25.6640625" bestFit="1" customWidth="1"/>
    <col min="10" max="10" width="11.5" bestFit="1" customWidth="1"/>
    <col min="12" max="12" width="17.33203125" bestFit="1" customWidth="1"/>
  </cols>
  <sheetData>
    <row r="1" spans="1:13" ht="27" x14ac:dyDescent="0.2">
      <c r="A1" s="55" t="s">
        <v>32</v>
      </c>
      <c r="B1" s="55" t="s">
        <v>13</v>
      </c>
      <c r="C1" s="55"/>
      <c r="D1" s="55"/>
      <c r="E1" s="55"/>
      <c r="F1" s="15"/>
      <c r="G1" s="9"/>
      <c r="H1" s="10"/>
    </row>
    <row r="2" spans="1:13" ht="27" x14ac:dyDescent="0.2">
      <c r="A2" s="55"/>
      <c r="B2" s="55"/>
      <c r="C2" s="55"/>
      <c r="D2" s="55"/>
      <c r="E2" s="55"/>
      <c r="F2" s="15"/>
      <c r="I2" t="s">
        <v>13</v>
      </c>
    </row>
    <row r="3" spans="1:13" x14ac:dyDescent="0.2">
      <c r="A3" t="s">
        <v>19</v>
      </c>
      <c r="B3" t="s">
        <v>18</v>
      </c>
      <c r="C3" s="2" t="s">
        <v>1</v>
      </c>
      <c r="D3" s="2" t="s">
        <v>20</v>
      </c>
      <c r="E3" t="s">
        <v>9</v>
      </c>
      <c r="F3" t="s">
        <v>40</v>
      </c>
      <c r="G3" t="s">
        <v>8</v>
      </c>
      <c r="I3" s="9" t="s">
        <v>39</v>
      </c>
      <c r="J3" s="16" t="e" cm="1">
        <f t="array" ref="J3">AVERAGE(IF(Table8[Cumplimiento de Meta %]&gt;=100%,1,0))</f>
        <v>#DIV/0!</v>
      </c>
      <c r="L3" t="s">
        <v>41</v>
      </c>
      <c r="M3" s="18">
        <f>(COUNT(Table8[[#All],[Semana]])*7)/30</f>
        <v>8.6333333333333329</v>
      </c>
    </row>
    <row r="4" spans="1:13" x14ac:dyDescent="0.2">
      <c r="A4">
        <v>1</v>
      </c>
      <c r="B4" s="1">
        <v>45481</v>
      </c>
      <c r="C4" s="4">
        <v>250</v>
      </c>
      <c r="D4" s="4">
        <v>250</v>
      </c>
      <c r="E4" s="5">
        <f>D4/C4</f>
        <v>1</v>
      </c>
      <c r="F4" s="5">
        <f>IF(SUM($C$4:C4)-SUM($D$4:D4)&gt;0, (SUM($C$4:C4)-SUM($D$4:D4))/SUM($C$4:C4), 0)</f>
        <v>0</v>
      </c>
      <c r="G4" s="6">
        <f>D4-C4</f>
        <v>0</v>
      </c>
      <c r="I4" s="4"/>
      <c r="J4" s="4"/>
    </row>
    <row r="5" spans="1:13" x14ac:dyDescent="0.2">
      <c r="A5">
        <v>2</v>
      </c>
      <c r="B5" s="1">
        <v>45488</v>
      </c>
      <c r="C5" s="4">
        <v>250</v>
      </c>
      <c r="D5" s="4">
        <v>250</v>
      </c>
      <c r="E5" s="5">
        <f t="shared" ref="E5:E33" si="0">D5/C5</f>
        <v>1</v>
      </c>
      <c r="F5" s="5">
        <f>IF(SUM($C$4:C5)-SUM($D$4:D5)&gt;0, (SUM($C$4:C5)-SUM($D$4:D5))/SUM($C$4:C5), 0)</f>
        <v>0</v>
      </c>
      <c r="G5" s="6">
        <f t="shared" ref="G5:G33" si="1">D5-C5</f>
        <v>0</v>
      </c>
      <c r="I5" s="4" t="s">
        <v>21</v>
      </c>
      <c r="J5" s="4">
        <f>SUM(Table8[[#All],[Meta]])</f>
        <v>18250</v>
      </c>
    </row>
    <row r="6" spans="1:13" x14ac:dyDescent="0.2">
      <c r="A6">
        <v>3</v>
      </c>
      <c r="B6" s="1">
        <v>45495</v>
      </c>
      <c r="C6" s="4">
        <v>250</v>
      </c>
      <c r="D6" s="4">
        <v>250</v>
      </c>
      <c r="E6" s="5">
        <f t="shared" si="0"/>
        <v>1</v>
      </c>
      <c r="F6" s="5">
        <f>IF(SUM($C$4:C6)-SUM($D$4:D6)&gt;0, (SUM($C$4:C6)-SUM($D$4:D6))/SUM($C$4:C6), 0)</f>
        <v>0</v>
      </c>
      <c r="G6" s="6">
        <f t="shared" si="1"/>
        <v>0</v>
      </c>
      <c r="I6" s="4" t="s">
        <v>22</v>
      </c>
      <c r="J6" s="4">
        <f>SUM(Table8[[#All],[Cobranza]])</f>
        <v>19300</v>
      </c>
    </row>
    <row r="7" spans="1:13" x14ac:dyDescent="0.2">
      <c r="A7">
        <v>4</v>
      </c>
      <c r="B7" s="1">
        <v>45502</v>
      </c>
      <c r="C7" s="4">
        <v>250</v>
      </c>
      <c r="D7" s="4">
        <v>250</v>
      </c>
      <c r="E7" s="5">
        <f t="shared" si="0"/>
        <v>1</v>
      </c>
      <c r="F7" s="16">
        <f>IF(SUM($C$4:C7)-SUM($D$4:D7)&gt;0, (SUM($C$4:C7)-SUM($D$4:D7))/SUM($C$4:C7), 0)</f>
        <v>0</v>
      </c>
      <c r="G7" s="6">
        <f t="shared" si="1"/>
        <v>0</v>
      </c>
      <c r="I7" s="4" t="s">
        <v>23</v>
      </c>
      <c r="J7" s="4">
        <f>SUM(Table8[[#All],[Didiferencia Absoluta]])</f>
        <v>1050</v>
      </c>
    </row>
    <row r="8" spans="1:13" x14ac:dyDescent="0.2">
      <c r="A8">
        <v>5</v>
      </c>
      <c r="B8" s="1">
        <v>45509</v>
      </c>
      <c r="C8" s="4">
        <v>250</v>
      </c>
      <c r="D8" s="4">
        <v>250</v>
      </c>
      <c r="E8" s="5">
        <f t="shared" si="0"/>
        <v>1</v>
      </c>
      <c r="F8" s="16">
        <f>IF(SUM($C$4:C8)-SUM($D$4:D8)&gt;0, (SUM($C$4:C8)-SUM($D$4:D8))/SUM($C$4:C8), 0)</f>
        <v>0</v>
      </c>
      <c r="G8" s="6">
        <f t="shared" si="1"/>
        <v>0</v>
      </c>
      <c r="I8" t="s">
        <v>24</v>
      </c>
      <c r="J8" s="16">
        <f>(J7/J5)*-1</f>
        <v>-5.7534246575342465E-2</v>
      </c>
    </row>
    <row r="9" spans="1:13" x14ac:dyDescent="0.2">
      <c r="A9">
        <v>6</v>
      </c>
      <c r="B9" s="1">
        <v>45516</v>
      </c>
      <c r="C9" s="4">
        <v>250</v>
      </c>
      <c r="D9" s="4">
        <v>250</v>
      </c>
      <c r="E9" s="5">
        <f t="shared" si="0"/>
        <v>1</v>
      </c>
      <c r="F9" s="16">
        <f>IF(SUM($C$4:C9)-SUM($D$4:D9)&gt;0, (SUM($C$4:C9)-SUM($D$4:D9))/SUM($C$4:C9), 0)</f>
        <v>0</v>
      </c>
      <c r="G9" s="6">
        <f t="shared" si="1"/>
        <v>0</v>
      </c>
    </row>
    <row r="10" spans="1:13" x14ac:dyDescent="0.2">
      <c r="A10">
        <v>7</v>
      </c>
      <c r="B10" s="1">
        <v>45523</v>
      </c>
      <c r="C10" s="4">
        <v>250</v>
      </c>
      <c r="D10" s="4">
        <v>250</v>
      </c>
      <c r="E10" s="5">
        <f t="shared" si="0"/>
        <v>1</v>
      </c>
      <c r="F10" s="16">
        <f>IF(SUM($C$4:C10)-SUM($D$4:D10)&gt;0, (SUM($C$4:C10)-SUM($D$4:D10))/SUM($C$4:C10), 0)</f>
        <v>0</v>
      </c>
      <c r="G10" s="6">
        <f t="shared" si="1"/>
        <v>0</v>
      </c>
    </row>
    <row r="11" spans="1:13" x14ac:dyDescent="0.2">
      <c r="A11">
        <v>8</v>
      </c>
      <c r="B11" s="1">
        <v>45530</v>
      </c>
      <c r="C11" s="4">
        <v>900</v>
      </c>
      <c r="D11" s="4">
        <v>900</v>
      </c>
      <c r="E11" s="5">
        <f t="shared" si="0"/>
        <v>1</v>
      </c>
      <c r="F11" s="16">
        <f>IF(SUM($C$4:C11)-SUM($D$4:D11)&gt;0, (SUM($C$4:C11)-SUM($D$4:D11))/SUM($C$4:C11), 0)</f>
        <v>0</v>
      </c>
      <c r="G11" s="6">
        <f t="shared" si="1"/>
        <v>0</v>
      </c>
    </row>
    <row r="12" spans="1:13" x14ac:dyDescent="0.2">
      <c r="A12">
        <v>9</v>
      </c>
      <c r="B12" s="1">
        <v>45537</v>
      </c>
      <c r="C12" s="4">
        <v>900</v>
      </c>
      <c r="D12" s="4">
        <v>900</v>
      </c>
      <c r="E12" s="5">
        <f t="shared" si="0"/>
        <v>1</v>
      </c>
      <c r="F12" s="16">
        <f>IF(SUM($C$4:C12)-SUM($D$4:D12)&gt;0, (SUM($C$4:C12)-SUM($D$4:D12))/SUM($C$4:C12), 0)</f>
        <v>0</v>
      </c>
      <c r="G12" s="6">
        <f t="shared" si="1"/>
        <v>0</v>
      </c>
    </row>
    <row r="13" spans="1:13" x14ac:dyDescent="0.2">
      <c r="A13">
        <v>10</v>
      </c>
      <c r="B13" s="1">
        <v>45544</v>
      </c>
      <c r="C13" s="4">
        <v>900</v>
      </c>
      <c r="D13" s="4">
        <v>900</v>
      </c>
      <c r="E13" s="5">
        <f t="shared" si="0"/>
        <v>1</v>
      </c>
      <c r="F13" s="16">
        <f>IF(SUM($C$4:C13)-SUM($D$4:D13)&gt;0, (SUM($C$4:C13)-SUM($D$4:D13))/SUM($C$4:C13), 0)</f>
        <v>0</v>
      </c>
      <c r="G13" s="6">
        <f t="shared" si="1"/>
        <v>0</v>
      </c>
    </row>
    <row r="14" spans="1:13" x14ac:dyDescent="0.2">
      <c r="A14">
        <v>11</v>
      </c>
      <c r="B14" s="1">
        <v>45551</v>
      </c>
      <c r="C14" s="4">
        <v>900</v>
      </c>
      <c r="D14" s="4">
        <v>900</v>
      </c>
      <c r="E14" s="5">
        <f t="shared" si="0"/>
        <v>1</v>
      </c>
      <c r="F14" s="16">
        <f>IF(SUM($C$4:C14)-SUM($D$4:D14)&gt;0, (SUM($C$4:C14)-SUM($D$4:D14))/SUM($C$4:C14), 0)</f>
        <v>0</v>
      </c>
      <c r="G14" s="6">
        <f t="shared" si="1"/>
        <v>0</v>
      </c>
    </row>
    <row r="15" spans="1:13" x14ac:dyDescent="0.2">
      <c r="A15">
        <v>12</v>
      </c>
      <c r="B15" s="1">
        <v>45558</v>
      </c>
      <c r="C15" s="4">
        <v>1200</v>
      </c>
      <c r="D15" s="4">
        <v>950</v>
      </c>
      <c r="E15" s="5">
        <f t="shared" si="0"/>
        <v>0.79166666666666663</v>
      </c>
      <c r="F15" s="16">
        <f>IF(SUM($C$4:C15)-SUM($D$4:D15)&gt;0, (SUM($C$4:C15)-SUM($D$4:D15))/SUM($C$4:C15), 0)</f>
        <v>3.8167938931297711E-2</v>
      </c>
      <c r="G15" s="6">
        <f t="shared" si="1"/>
        <v>-250</v>
      </c>
    </row>
    <row r="16" spans="1:13" x14ac:dyDescent="0.2">
      <c r="A16">
        <v>13</v>
      </c>
      <c r="B16" s="1">
        <v>45565</v>
      </c>
      <c r="C16" s="4">
        <v>1200</v>
      </c>
      <c r="D16" s="4">
        <v>1700</v>
      </c>
      <c r="E16" s="5">
        <f t="shared" si="0"/>
        <v>1.4166666666666667</v>
      </c>
      <c r="F16" s="16">
        <f>IF(SUM($C$4:C16)-SUM($D$4:D16)&gt;0, (SUM($C$4:C16)-SUM($D$4:D16))/SUM($C$4:C16), 0)</f>
        <v>0</v>
      </c>
      <c r="G16" s="6">
        <f t="shared" si="1"/>
        <v>500</v>
      </c>
    </row>
    <row r="17" spans="1:7" x14ac:dyDescent="0.2">
      <c r="A17">
        <v>14</v>
      </c>
      <c r="B17" s="1">
        <v>45572</v>
      </c>
      <c r="C17" s="4">
        <v>950</v>
      </c>
      <c r="D17" s="4">
        <v>950</v>
      </c>
      <c r="E17" s="5">
        <f t="shared" si="0"/>
        <v>1</v>
      </c>
      <c r="F17" s="16">
        <f>IF(SUM($C$4:C17)-SUM($D$4:D17)&gt;0, (SUM($C$4:C17)-SUM($D$4:D17))/SUM($C$4:C17), 0)</f>
        <v>0</v>
      </c>
      <c r="G17" s="6">
        <f t="shared" si="1"/>
        <v>0</v>
      </c>
    </row>
    <row r="18" spans="1:7" x14ac:dyDescent="0.2">
      <c r="A18">
        <v>15</v>
      </c>
      <c r="B18" s="1">
        <v>45579</v>
      </c>
      <c r="C18" s="4">
        <v>950</v>
      </c>
      <c r="D18" s="4">
        <v>950</v>
      </c>
      <c r="E18" s="5">
        <f t="shared" si="0"/>
        <v>1</v>
      </c>
      <c r="F18" s="16">
        <f>IF(SUM($C$4:C18)-SUM($D$4:D18)&gt;0, (SUM($C$4:C18)-SUM($D$4:D18))/SUM($C$4:C18), 0)</f>
        <v>0</v>
      </c>
      <c r="G18" s="6">
        <f t="shared" si="1"/>
        <v>0</v>
      </c>
    </row>
    <row r="19" spans="1:7" x14ac:dyDescent="0.2">
      <c r="A19">
        <v>16</v>
      </c>
      <c r="B19" s="1">
        <v>45586</v>
      </c>
      <c r="C19" s="4">
        <v>950</v>
      </c>
      <c r="D19" s="4">
        <v>950</v>
      </c>
      <c r="E19" s="5">
        <f t="shared" si="0"/>
        <v>1</v>
      </c>
      <c r="F19" s="16">
        <f>IF(SUM($C$4:C19)-SUM($D$4:D19)&gt;0, (SUM($C$4:C19)-SUM($D$4:D19))/SUM($C$4:C19), 0)</f>
        <v>0</v>
      </c>
      <c r="G19" s="6">
        <f t="shared" si="1"/>
        <v>0</v>
      </c>
    </row>
    <row r="20" spans="1:7" x14ac:dyDescent="0.2">
      <c r="A20">
        <v>17</v>
      </c>
      <c r="B20" s="1">
        <v>45593</v>
      </c>
      <c r="C20" s="4">
        <v>950</v>
      </c>
      <c r="D20" s="4">
        <v>950</v>
      </c>
      <c r="E20" s="5">
        <f t="shared" si="0"/>
        <v>1</v>
      </c>
      <c r="F20" s="16">
        <f>IF(SUM($C$4:C20)-SUM($D$4:D20)&gt;0, (SUM($C$4:C20)-SUM($D$4:D20))/SUM($C$4:C20), 0)</f>
        <v>0</v>
      </c>
      <c r="G20" s="6">
        <f t="shared" si="1"/>
        <v>0</v>
      </c>
    </row>
    <row r="21" spans="1:7" x14ac:dyDescent="0.2">
      <c r="A21">
        <v>18</v>
      </c>
      <c r="B21" s="1">
        <v>45600</v>
      </c>
      <c r="C21" s="4">
        <v>950</v>
      </c>
      <c r="D21" s="4">
        <v>950</v>
      </c>
      <c r="E21" s="5">
        <f t="shared" si="0"/>
        <v>1</v>
      </c>
      <c r="F21" s="16">
        <f>IF(SUM($C$4:C21)-SUM($D$4:D21)&gt;0, (SUM($C$4:C21)-SUM($D$4:D21))/SUM($C$4:C21), 0)</f>
        <v>0</v>
      </c>
      <c r="G21" s="6">
        <f t="shared" si="1"/>
        <v>0</v>
      </c>
    </row>
    <row r="22" spans="1:7" x14ac:dyDescent="0.2">
      <c r="A22">
        <v>19</v>
      </c>
      <c r="B22" s="1">
        <v>45607</v>
      </c>
      <c r="C22" s="4">
        <v>800</v>
      </c>
      <c r="D22" s="4">
        <v>950</v>
      </c>
      <c r="E22" s="5">
        <f t="shared" si="0"/>
        <v>1.1875</v>
      </c>
      <c r="F22" s="16">
        <f>IF(SUM($C$4:C22)-SUM($D$4:D22)&gt;0, (SUM($C$4:C22)-SUM($D$4:D22))/SUM($C$4:C22), 0)</f>
        <v>0</v>
      </c>
      <c r="G22" s="6">
        <f t="shared" si="1"/>
        <v>150</v>
      </c>
    </row>
    <row r="23" spans="1:7" x14ac:dyDescent="0.2">
      <c r="A23">
        <v>20</v>
      </c>
      <c r="B23" s="1">
        <v>45614</v>
      </c>
      <c r="C23" s="4">
        <v>1000</v>
      </c>
      <c r="D23" s="4">
        <v>750</v>
      </c>
      <c r="E23" s="5">
        <f t="shared" si="0"/>
        <v>0.75</v>
      </c>
      <c r="F23" s="16">
        <f>IF(SUM($C$4:C23)-SUM($D$4:D23)&gt;0, (SUM($C$4:C23)-SUM($D$4:D23))/SUM($C$4:C23), 0)</f>
        <v>0</v>
      </c>
      <c r="G23" s="6">
        <f t="shared" si="1"/>
        <v>-250</v>
      </c>
    </row>
    <row r="24" spans="1:7" x14ac:dyDescent="0.2">
      <c r="A24">
        <v>21</v>
      </c>
      <c r="B24" s="1">
        <v>45621</v>
      </c>
      <c r="C24" s="4">
        <v>750</v>
      </c>
      <c r="D24" s="4">
        <v>750</v>
      </c>
      <c r="E24" s="5">
        <f t="shared" si="0"/>
        <v>1</v>
      </c>
      <c r="F24" s="16">
        <f>IF(SUM($C$4:C24)-SUM($D$4:D24)&gt;0, (SUM($C$4:C24)-SUM($D$4:D24))/SUM($C$4:C24), 0)</f>
        <v>0</v>
      </c>
      <c r="G24" s="6">
        <f t="shared" si="1"/>
        <v>0</v>
      </c>
    </row>
    <row r="25" spans="1:7" x14ac:dyDescent="0.2">
      <c r="A25">
        <v>22</v>
      </c>
      <c r="B25" s="1">
        <v>45628</v>
      </c>
      <c r="C25" s="4">
        <v>500</v>
      </c>
      <c r="D25" s="4">
        <v>0</v>
      </c>
      <c r="E25" s="5">
        <f t="shared" si="0"/>
        <v>0</v>
      </c>
      <c r="F25" s="16">
        <f>IF(SUM($C$4:C25)-SUM($D$4:D25)&gt;0, (SUM($C$4:C25)-SUM($D$4:D25))/SUM($C$4:C25), 0)</f>
        <v>2.2508038585209004E-2</v>
      </c>
      <c r="G25" s="6">
        <f t="shared" si="1"/>
        <v>-500</v>
      </c>
    </row>
    <row r="26" spans="1:7" x14ac:dyDescent="0.2">
      <c r="A26">
        <v>23</v>
      </c>
      <c r="B26" s="1">
        <v>45635</v>
      </c>
      <c r="C26" s="4">
        <v>500</v>
      </c>
      <c r="D26" s="4">
        <v>0</v>
      </c>
      <c r="E26" s="5">
        <f t="shared" si="0"/>
        <v>0</v>
      </c>
      <c r="F26" s="16">
        <f>IF(SUM($C$4:C26)-SUM($D$4:D26)&gt;0, (SUM($C$4:C26)-SUM($D$4:D26))/SUM($C$4:C26), 0)</f>
        <v>5.2959501557632398E-2</v>
      </c>
      <c r="G26" s="6">
        <f t="shared" si="1"/>
        <v>-500</v>
      </c>
    </row>
    <row r="27" spans="1:7" x14ac:dyDescent="0.2">
      <c r="A27">
        <v>24</v>
      </c>
      <c r="B27" s="1">
        <v>45642</v>
      </c>
      <c r="C27" s="4">
        <v>500</v>
      </c>
      <c r="D27" s="4">
        <v>0</v>
      </c>
      <c r="E27" s="5">
        <f t="shared" si="0"/>
        <v>0</v>
      </c>
      <c r="F27" s="16">
        <f>IF(SUM($C$4:C27)-SUM($D$4:D27)&gt;0, (SUM($C$4:C27)-SUM($D$4:D27))/SUM($C$4:C27), 0)</f>
        <v>8.1570996978851965E-2</v>
      </c>
      <c r="G27" s="6">
        <f t="shared" si="1"/>
        <v>-500</v>
      </c>
    </row>
    <row r="28" spans="1:7" x14ac:dyDescent="0.2">
      <c r="A28">
        <v>25</v>
      </c>
      <c r="B28" s="1">
        <v>45649</v>
      </c>
      <c r="C28" s="4">
        <v>500</v>
      </c>
      <c r="D28" s="4">
        <v>0</v>
      </c>
      <c r="E28" s="5">
        <f t="shared" si="0"/>
        <v>0</v>
      </c>
      <c r="F28" s="16">
        <f>IF(SUM($C$4:C28)-SUM($D$4:D28)&gt;0, (SUM($C$4:C28)-SUM($D$4:D28))/SUM($C$4:C28), 0)</f>
        <v>0.10850439882697947</v>
      </c>
      <c r="G28" s="6">
        <f t="shared" si="1"/>
        <v>-500</v>
      </c>
    </row>
    <row r="29" spans="1:7" x14ac:dyDescent="0.2">
      <c r="A29">
        <v>26</v>
      </c>
      <c r="B29" s="1">
        <v>45656</v>
      </c>
      <c r="C29" s="4">
        <v>200</v>
      </c>
      <c r="D29" s="4">
        <v>2500</v>
      </c>
      <c r="E29" s="5">
        <f t="shared" si="0"/>
        <v>12.5</v>
      </c>
      <c r="F29" s="16">
        <f>IF(SUM($C$4:C29)-SUM($D$4:D29)&gt;0, (SUM($C$4:C29)-SUM($D$4:D29))/SUM($C$4:C29), 0)</f>
        <v>0</v>
      </c>
      <c r="G29" s="6">
        <f t="shared" si="1"/>
        <v>2300</v>
      </c>
    </row>
    <row r="30" spans="1:7" x14ac:dyDescent="0.2">
      <c r="A30">
        <v>27</v>
      </c>
      <c r="B30" s="1">
        <v>45663</v>
      </c>
      <c r="C30" s="4">
        <v>200</v>
      </c>
      <c r="D30" s="4">
        <v>200</v>
      </c>
      <c r="E30" s="5">
        <f t="shared" si="0"/>
        <v>1</v>
      </c>
      <c r="F30" s="16">
        <f>IF(SUM($C$4:C30)-SUM($D$4:D30)&gt;0, (SUM($C$4:C30)-SUM($D$4:D30))/SUM($C$4:C30), 0)</f>
        <v>0</v>
      </c>
      <c r="G30" s="6">
        <f t="shared" si="1"/>
        <v>0</v>
      </c>
    </row>
    <row r="31" spans="1:7" x14ac:dyDescent="0.2">
      <c r="A31">
        <v>28</v>
      </c>
      <c r="B31" s="1">
        <v>45670</v>
      </c>
      <c r="C31" s="4">
        <v>200</v>
      </c>
      <c r="D31" s="4">
        <v>200</v>
      </c>
      <c r="E31" s="5">
        <f t="shared" si="0"/>
        <v>1</v>
      </c>
      <c r="F31" s="16">
        <f>IF(SUM($C$4:C31)-SUM($D$4:D31)&gt;0, (SUM($C$4:C31)-SUM($D$4:D31))/SUM($C$4:C31), 0)</f>
        <v>0</v>
      </c>
      <c r="G31" s="6">
        <f t="shared" si="1"/>
        <v>0</v>
      </c>
    </row>
    <row r="32" spans="1:7" x14ac:dyDescent="0.2">
      <c r="A32">
        <v>29</v>
      </c>
      <c r="B32" s="1">
        <v>45677</v>
      </c>
      <c r="C32" s="4">
        <v>200</v>
      </c>
      <c r="D32" s="4">
        <v>800</v>
      </c>
      <c r="E32" s="5">
        <f t="shared" si="0"/>
        <v>4</v>
      </c>
      <c r="F32" s="16">
        <f>IF(SUM($C$4:C32)-SUM($D$4:D32)&gt;0, (SUM($C$4:C32)-SUM($D$4:D32))/SUM($C$4:C32), 0)</f>
        <v>0</v>
      </c>
      <c r="G32" s="6">
        <f t="shared" si="1"/>
        <v>600</v>
      </c>
    </row>
    <row r="33" spans="1:7" x14ac:dyDescent="0.2">
      <c r="A33">
        <v>30</v>
      </c>
      <c r="B33" s="1">
        <v>45684</v>
      </c>
      <c r="C33" s="4">
        <v>200</v>
      </c>
      <c r="D33" s="4">
        <v>200</v>
      </c>
      <c r="E33" s="5">
        <f t="shared" si="0"/>
        <v>1</v>
      </c>
      <c r="F33" s="16">
        <f>IF(SUM($C$4:C40)-SUM($D$4:D40)&gt;0, (SUM($C$4:C40)-SUM($D$4:D40))/SUM($C$4:C40), 0)</f>
        <v>0</v>
      </c>
      <c r="G33" s="6">
        <f t="shared" si="1"/>
        <v>0</v>
      </c>
    </row>
    <row r="34" spans="1:7" x14ac:dyDescent="0.2">
      <c r="A34">
        <v>31</v>
      </c>
      <c r="B34" s="1">
        <v>45691</v>
      </c>
      <c r="C34" s="4">
        <v>200</v>
      </c>
      <c r="D34" s="4">
        <v>200</v>
      </c>
      <c r="E34" s="5">
        <f>D34/C34</f>
        <v>1</v>
      </c>
      <c r="F34" s="5">
        <f>IF(SUM($C$4:C40)-SUM($D$4:D40)&gt;0, (SUM($C$4:C40)-SUM($D$4:D40))/SUM($C$4:C40), 0)</f>
        <v>0</v>
      </c>
      <c r="G34" s="6">
        <f t="shared" ref="G34:G39" si="2">D34-C34</f>
        <v>0</v>
      </c>
    </row>
    <row r="35" spans="1:7" x14ac:dyDescent="0.2">
      <c r="A35">
        <v>32</v>
      </c>
      <c r="B35" s="1">
        <v>45698</v>
      </c>
      <c r="C35" s="4">
        <v>0</v>
      </c>
      <c r="D35" s="4">
        <v>0</v>
      </c>
      <c r="E35" s="5">
        <v>1</v>
      </c>
      <c r="F35" s="5">
        <f>IF(SUM($C$4:C40)-SUM($D$4:D40)&gt;0, (SUM($C$4:C40)-SUM($D$4:D40))/SUM($C$4:C40), 0)</f>
        <v>0</v>
      </c>
      <c r="G35" s="6">
        <f t="shared" si="2"/>
        <v>0</v>
      </c>
    </row>
    <row r="36" spans="1:7" x14ac:dyDescent="0.2">
      <c r="A36">
        <v>33</v>
      </c>
      <c r="B36" s="1">
        <v>45705</v>
      </c>
      <c r="C36" s="4">
        <v>0</v>
      </c>
      <c r="D36" s="4">
        <v>0</v>
      </c>
      <c r="E36" s="5">
        <v>0</v>
      </c>
      <c r="F36" s="5">
        <f>IF(SUM($C$4:C40)-SUM($D$4:D40)&gt;0, (SUM($C$4:C40)-SUM($D$4:D40))/SUM($C$4:C40), 0)</f>
        <v>0</v>
      </c>
      <c r="G36" s="6">
        <f t="shared" si="2"/>
        <v>0</v>
      </c>
    </row>
    <row r="37" spans="1:7" x14ac:dyDescent="0.2">
      <c r="A37">
        <v>34</v>
      </c>
      <c r="B37" s="1">
        <v>45712</v>
      </c>
      <c r="C37" s="4">
        <v>0</v>
      </c>
      <c r="D37" s="4">
        <v>0</v>
      </c>
      <c r="E37" s="5" t="e">
        <f>D37/C37</f>
        <v>#DIV/0!</v>
      </c>
      <c r="F37" s="5">
        <f>IF(SUM($C$4:C40)-SUM($D$4:D40)&gt;0, (SUM($C$4:C40)-SUM($D$4:D40))/SUM($C$4:C40), 0)</f>
        <v>0</v>
      </c>
      <c r="G37" s="6">
        <f t="shared" si="2"/>
        <v>0</v>
      </c>
    </row>
    <row r="38" spans="1:7" x14ac:dyDescent="0.2">
      <c r="A38">
        <v>35</v>
      </c>
      <c r="B38" s="1">
        <v>45719</v>
      </c>
      <c r="C38" s="4">
        <v>0</v>
      </c>
      <c r="D38" s="4">
        <v>0</v>
      </c>
      <c r="E38" s="5" t="e">
        <f>D38/C38</f>
        <v>#DIV/0!</v>
      </c>
      <c r="F38" s="5">
        <f>IF(SUM($C$4:C40)-SUM($D$4:D40)&gt;0, (SUM($C$4:C40)-SUM($D$4:D40))/SUM($C$4:C40), 0)</f>
        <v>0</v>
      </c>
      <c r="G38" s="4">
        <f t="shared" si="2"/>
        <v>0</v>
      </c>
    </row>
    <row r="39" spans="1:7" x14ac:dyDescent="0.2">
      <c r="A39">
        <v>36</v>
      </c>
      <c r="B39" s="1">
        <v>45726</v>
      </c>
      <c r="C39" s="4">
        <v>0</v>
      </c>
      <c r="D39" s="4">
        <v>0</v>
      </c>
      <c r="E39" s="5" t="e">
        <f>D39/C39</f>
        <v>#DIV/0!</v>
      </c>
      <c r="F39" s="5">
        <f>IF(SUM($C$4:C40)-SUM($D$4:D40)&gt;0, (SUM($C$4:C40)-SUM($D$4:D40))/SUM($C$4:C40), 0)</f>
        <v>0</v>
      </c>
      <c r="G39" s="6">
        <f t="shared" si="2"/>
        <v>0</v>
      </c>
    </row>
    <row r="40" spans="1:7" x14ac:dyDescent="0.2">
      <c r="A40">
        <v>37</v>
      </c>
      <c r="B40" s="1">
        <v>45733</v>
      </c>
      <c r="C40" s="4">
        <v>0</v>
      </c>
      <c r="D40" s="4"/>
      <c r="E40" s="5" t="e">
        <f>D40/C40</f>
        <v>#DIV/0!</v>
      </c>
      <c r="F40" s="62">
        <f>IF(SUM($C$4:C40)-SUM($D$4:D40)&gt;0, (SUM($C$4:C40)-SUM($D$4:D40))/SUM($C$4:C40), 0)</f>
        <v>0</v>
      </c>
      <c r="G40" s="6">
        <f>D40-C40</f>
        <v>0</v>
      </c>
    </row>
  </sheetData>
  <mergeCells count="2">
    <mergeCell ref="A1:A2"/>
    <mergeCell ref="B1:E2"/>
  </mergeCells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9EEB9-0D1E-6F48-91DA-9499DCDEEE65}">
  <dimension ref="A1:M40"/>
  <sheetViews>
    <sheetView topLeftCell="A14" workbookViewId="0">
      <selection activeCell="D41" sqref="D41"/>
    </sheetView>
  </sheetViews>
  <sheetFormatPr baseColWidth="10" defaultRowHeight="16" x14ac:dyDescent="0.2"/>
  <cols>
    <col min="3" max="4" width="11.5" bestFit="1" customWidth="1"/>
    <col min="5" max="5" width="25.6640625" bestFit="1" customWidth="1"/>
    <col min="6" max="6" width="25.6640625" customWidth="1"/>
    <col min="7" max="7" width="24" bestFit="1" customWidth="1"/>
    <col min="9" max="9" width="25.6640625" bestFit="1" customWidth="1"/>
    <col min="10" max="10" width="12.1640625" bestFit="1" customWidth="1"/>
    <col min="12" max="12" width="17.33203125" bestFit="1" customWidth="1"/>
  </cols>
  <sheetData>
    <row r="1" spans="1:13" ht="27" x14ac:dyDescent="0.2">
      <c r="A1" s="55" t="s">
        <v>33</v>
      </c>
      <c r="B1" s="55" t="s">
        <v>14</v>
      </c>
      <c r="C1" s="55"/>
      <c r="D1" s="55"/>
      <c r="E1" s="55"/>
      <c r="F1" s="15"/>
      <c r="G1" s="9"/>
      <c r="H1" s="10"/>
    </row>
    <row r="2" spans="1:13" ht="27" x14ac:dyDescent="0.2">
      <c r="A2" s="55"/>
      <c r="B2" s="55"/>
      <c r="C2" s="55"/>
      <c r="D2" s="55"/>
      <c r="E2" s="55"/>
      <c r="F2" s="15"/>
      <c r="I2" t="s">
        <v>14</v>
      </c>
    </row>
    <row r="3" spans="1:13" x14ac:dyDescent="0.2">
      <c r="A3" t="s">
        <v>19</v>
      </c>
      <c r="B3" t="s">
        <v>18</v>
      </c>
      <c r="C3" s="2" t="s">
        <v>1</v>
      </c>
      <c r="D3" s="2" t="s">
        <v>20</v>
      </c>
      <c r="E3" t="s">
        <v>9</v>
      </c>
      <c r="F3" t="s">
        <v>40</v>
      </c>
      <c r="G3" t="s">
        <v>8</v>
      </c>
      <c r="I3" s="9" t="s">
        <v>39</v>
      </c>
      <c r="J3" s="16" cm="1">
        <f t="array" ref="J3">AVERAGE(IF(Table9[Cumplimiento de Meta %]&gt;=100%,1,0))</f>
        <v>0.54054054054054057</v>
      </c>
      <c r="L3" t="s">
        <v>41</v>
      </c>
      <c r="M3" s="18">
        <f>(COUNT(Table9[[#All],[Semana]])*7)/30</f>
        <v>8.6333333333333329</v>
      </c>
    </row>
    <row r="4" spans="1:13" x14ac:dyDescent="0.2">
      <c r="A4">
        <v>1</v>
      </c>
      <c r="B4" s="1">
        <v>45481</v>
      </c>
      <c r="C4" s="4">
        <v>250</v>
      </c>
      <c r="D4" s="4">
        <v>500</v>
      </c>
      <c r="E4" s="5">
        <f>D4/C4</f>
        <v>2</v>
      </c>
      <c r="F4" s="16">
        <f>IF(SUM($C$4:C4)-SUM($D$4:D4)&gt;0, (SUM($C$4:C4)-SUM($D$4:D4))/SUM($C$4:C4), 0)</f>
        <v>0</v>
      </c>
      <c r="G4" s="6">
        <f>D4-C4</f>
        <v>250</v>
      </c>
      <c r="I4" s="4"/>
      <c r="J4" s="4"/>
    </row>
    <row r="5" spans="1:13" x14ac:dyDescent="0.2">
      <c r="A5">
        <v>2</v>
      </c>
      <c r="B5" s="1">
        <v>45488</v>
      </c>
      <c r="C5" s="4">
        <v>500</v>
      </c>
      <c r="D5" s="4">
        <v>250</v>
      </c>
      <c r="E5" s="5">
        <f t="shared" ref="E5:E33" si="0">D5/C5</f>
        <v>0.5</v>
      </c>
      <c r="F5" s="16">
        <f>IF(SUM($C$4:C5)-SUM($D$4:D5)&gt;0, (SUM($C$4:C5)-SUM($D$4:D5))/SUM($C$4:C5), 0)</f>
        <v>0</v>
      </c>
      <c r="G5" s="6">
        <f t="shared" ref="G5:G33" si="1">D5-C5</f>
        <v>-250</v>
      </c>
      <c r="I5" s="4" t="s">
        <v>21</v>
      </c>
      <c r="J5" s="4">
        <f>SUM(Table9[[#All],[Meta]])</f>
        <v>60600</v>
      </c>
    </row>
    <row r="6" spans="1:13" x14ac:dyDescent="0.2">
      <c r="A6">
        <v>3</v>
      </c>
      <c r="B6" s="1">
        <v>45495</v>
      </c>
      <c r="C6" s="4">
        <v>500</v>
      </c>
      <c r="D6" s="4">
        <v>500</v>
      </c>
      <c r="E6" s="5">
        <f t="shared" si="0"/>
        <v>1</v>
      </c>
      <c r="F6" s="16">
        <f>IF(SUM($C$4:C6)-SUM($D$4:D6)&gt;0, (SUM($C$4:C6)-SUM($D$4:D6))/SUM($C$4:C6), 0)</f>
        <v>0</v>
      </c>
      <c r="G6" s="6">
        <f t="shared" si="1"/>
        <v>0</v>
      </c>
      <c r="I6" s="4" t="s">
        <v>22</v>
      </c>
      <c r="J6" s="4">
        <f>SUM(Table9[[#All],[Cobranza]])</f>
        <v>50350</v>
      </c>
    </row>
    <row r="7" spans="1:13" x14ac:dyDescent="0.2">
      <c r="A7">
        <v>4</v>
      </c>
      <c r="B7" s="1">
        <v>45502</v>
      </c>
      <c r="C7" s="4">
        <v>700</v>
      </c>
      <c r="D7" s="4">
        <v>700</v>
      </c>
      <c r="E7" s="5">
        <f t="shared" si="0"/>
        <v>1</v>
      </c>
      <c r="F7" s="16">
        <f>IF(SUM($C$4:C7)-SUM($D$4:D7)&gt;0, (SUM($C$4:C7)-SUM($D$4:D7))/SUM($C$4:C7), 0)</f>
        <v>0</v>
      </c>
      <c r="G7" s="6">
        <f t="shared" si="1"/>
        <v>0</v>
      </c>
      <c r="I7" s="4" t="s">
        <v>23</v>
      </c>
      <c r="J7" s="4">
        <f>SUM(Table9[[#All],[Didiferencia Absoluta]])</f>
        <v>-10250</v>
      </c>
    </row>
    <row r="8" spans="1:13" x14ac:dyDescent="0.2">
      <c r="A8">
        <v>5</v>
      </c>
      <c r="B8" s="1">
        <v>45509</v>
      </c>
      <c r="C8" s="4">
        <v>700</v>
      </c>
      <c r="D8" s="4">
        <v>750</v>
      </c>
      <c r="E8" s="5">
        <f t="shared" si="0"/>
        <v>1.0714285714285714</v>
      </c>
      <c r="F8" s="16">
        <f>IF(SUM($C$4:C8)-SUM($D$4:D8)&gt;0, (SUM($C$4:C8)-SUM($D$4:D8))/SUM($C$4:C8), 0)</f>
        <v>0</v>
      </c>
      <c r="G8" s="6">
        <f t="shared" si="1"/>
        <v>50</v>
      </c>
      <c r="I8" t="s">
        <v>24</v>
      </c>
      <c r="J8" s="16">
        <f>(J7/J5)*-1</f>
        <v>0.16914191419141913</v>
      </c>
    </row>
    <row r="9" spans="1:13" x14ac:dyDescent="0.2">
      <c r="A9">
        <v>6</v>
      </c>
      <c r="B9" s="1">
        <v>45516</v>
      </c>
      <c r="C9" s="4">
        <v>950</v>
      </c>
      <c r="D9" s="4">
        <v>950</v>
      </c>
      <c r="E9" s="5">
        <f t="shared" si="0"/>
        <v>1</v>
      </c>
      <c r="F9" s="16">
        <f>IF(SUM($C$4:C9)-SUM($D$4:D9)&gt;0, (SUM($C$4:C9)-SUM($D$4:D9))/SUM($C$4:C9), 0)</f>
        <v>0</v>
      </c>
      <c r="G9" s="6">
        <f t="shared" si="1"/>
        <v>0</v>
      </c>
    </row>
    <row r="10" spans="1:13" x14ac:dyDescent="0.2">
      <c r="A10">
        <v>7</v>
      </c>
      <c r="B10" s="1">
        <v>45523</v>
      </c>
      <c r="C10" s="4">
        <v>950</v>
      </c>
      <c r="D10" s="4">
        <v>900</v>
      </c>
      <c r="E10" s="5">
        <f t="shared" si="0"/>
        <v>0.94736842105263153</v>
      </c>
      <c r="F10" s="16">
        <f>IF(SUM($C$4:C10)-SUM($D$4:D10)&gt;0, (SUM($C$4:C10)-SUM($D$4:D10))/SUM($C$4:C10), 0)</f>
        <v>0</v>
      </c>
      <c r="G10" s="6">
        <f t="shared" si="1"/>
        <v>-50</v>
      </c>
    </row>
    <row r="11" spans="1:13" x14ac:dyDescent="0.2">
      <c r="A11">
        <v>8</v>
      </c>
      <c r="B11" s="1">
        <v>45530</v>
      </c>
      <c r="C11" s="4">
        <v>950</v>
      </c>
      <c r="D11" s="4">
        <v>950</v>
      </c>
      <c r="E11" s="5">
        <f t="shared" si="0"/>
        <v>1</v>
      </c>
      <c r="F11" s="16">
        <f>IF(SUM($C$4:C11)-SUM($D$4:D11)&gt;0, (SUM($C$4:C11)-SUM($D$4:D11))/SUM($C$4:C11), 0)</f>
        <v>0</v>
      </c>
      <c r="G11" s="6">
        <f t="shared" si="1"/>
        <v>0</v>
      </c>
    </row>
    <row r="12" spans="1:13" x14ac:dyDescent="0.2">
      <c r="A12">
        <v>9</v>
      </c>
      <c r="B12" s="1">
        <v>45537</v>
      </c>
      <c r="C12" s="4">
        <v>1100</v>
      </c>
      <c r="D12" s="4">
        <v>1100</v>
      </c>
      <c r="E12" s="5">
        <f t="shared" si="0"/>
        <v>1</v>
      </c>
      <c r="F12" s="16">
        <f>IF(SUM($C$4:C12)-SUM($D$4:D12)&gt;0, (SUM($C$4:C12)-SUM($D$4:D12))/SUM($C$4:C12), 0)</f>
        <v>0</v>
      </c>
      <c r="G12" s="6">
        <f t="shared" si="1"/>
        <v>0</v>
      </c>
    </row>
    <row r="13" spans="1:13" x14ac:dyDescent="0.2">
      <c r="A13">
        <v>10</v>
      </c>
      <c r="B13" s="1">
        <v>45544</v>
      </c>
      <c r="C13" s="4">
        <v>1100</v>
      </c>
      <c r="D13" s="4">
        <v>1100</v>
      </c>
      <c r="E13" s="5">
        <f t="shared" si="0"/>
        <v>1</v>
      </c>
      <c r="F13" s="16">
        <f>IF(SUM($C$4:C13)-SUM($D$4:D13)&gt;0, (SUM($C$4:C13)-SUM($D$4:D13))/SUM($C$4:C13), 0)</f>
        <v>0</v>
      </c>
      <c r="G13" s="6">
        <f t="shared" si="1"/>
        <v>0</v>
      </c>
    </row>
    <row r="14" spans="1:13" x14ac:dyDescent="0.2">
      <c r="A14">
        <v>11</v>
      </c>
      <c r="B14" s="1">
        <v>45551</v>
      </c>
      <c r="C14" s="4">
        <v>1400</v>
      </c>
      <c r="D14" s="4">
        <v>0</v>
      </c>
      <c r="E14" s="5">
        <f t="shared" si="0"/>
        <v>0</v>
      </c>
      <c r="F14" s="16">
        <f>IF(SUM($C$4:C14)-SUM($D$4:D14)&gt;0, (SUM($C$4:C14)-SUM($D$4:D14))/SUM($C$4:C14), 0)</f>
        <v>0.15384615384615385</v>
      </c>
      <c r="G14" s="6">
        <f t="shared" si="1"/>
        <v>-1400</v>
      </c>
    </row>
    <row r="15" spans="1:13" x14ac:dyDescent="0.2">
      <c r="A15">
        <v>12</v>
      </c>
      <c r="B15" s="1">
        <v>45558</v>
      </c>
      <c r="C15" s="4">
        <v>1400</v>
      </c>
      <c r="D15" s="4">
        <v>2300</v>
      </c>
      <c r="E15" s="5">
        <f t="shared" si="0"/>
        <v>1.6428571428571428</v>
      </c>
      <c r="F15" s="16">
        <f>IF(SUM($C$4:C15)-SUM($D$4:D15)&gt;0, (SUM($C$4:C15)-SUM($D$4:D15))/SUM($C$4:C15), 0)</f>
        <v>4.7619047619047616E-2</v>
      </c>
      <c r="G15" s="6">
        <f t="shared" si="1"/>
        <v>900</v>
      </c>
    </row>
    <row r="16" spans="1:13" x14ac:dyDescent="0.2">
      <c r="A16">
        <v>13</v>
      </c>
      <c r="B16" s="1">
        <v>45565</v>
      </c>
      <c r="C16" s="4">
        <v>1950</v>
      </c>
      <c r="D16" s="4">
        <v>3200</v>
      </c>
      <c r="E16" s="5">
        <f t="shared" si="0"/>
        <v>1.641025641025641</v>
      </c>
      <c r="F16" s="16">
        <f>IF(SUM($C$4:C16)-SUM($D$4:D16)&gt;0, (SUM($C$4:C16)-SUM($D$4:D16))/SUM($C$4:C16), 0)</f>
        <v>0</v>
      </c>
      <c r="G16" s="6">
        <f t="shared" si="1"/>
        <v>1250</v>
      </c>
    </row>
    <row r="17" spans="1:7" x14ac:dyDescent="0.2">
      <c r="A17">
        <v>14</v>
      </c>
      <c r="B17" s="1">
        <v>45572</v>
      </c>
      <c r="C17" s="4">
        <v>1450</v>
      </c>
      <c r="D17" s="4">
        <v>1450</v>
      </c>
      <c r="E17" s="5">
        <f t="shared" si="0"/>
        <v>1</v>
      </c>
      <c r="F17" s="16">
        <f>IF(SUM($C$4:C17)-SUM($D$4:D17)&gt;0, (SUM($C$4:C17)-SUM($D$4:D17))/SUM($C$4:C17), 0)</f>
        <v>0</v>
      </c>
      <c r="G17" s="6">
        <f t="shared" si="1"/>
        <v>0</v>
      </c>
    </row>
    <row r="18" spans="1:7" x14ac:dyDescent="0.2">
      <c r="A18">
        <v>15</v>
      </c>
      <c r="B18" s="1">
        <v>45579</v>
      </c>
      <c r="C18" s="4">
        <v>1450</v>
      </c>
      <c r="D18" s="4">
        <v>1450</v>
      </c>
      <c r="E18" s="5">
        <f t="shared" si="0"/>
        <v>1</v>
      </c>
      <c r="F18" s="16">
        <f>IF(SUM($C$4:C18)-SUM($D$4:D18)&gt;0, (SUM($C$4:C18)-SUM($D$4:D18))/SUM($C$4:C18), 0)</f>
        <v>0</v>
      </c>
      <c r="G18" s="6">
        <f t="shared" si="1"/>
        <v>0</v>
      </c>
    </row>
    <row r="19" spans="1:7" x14ac:dyDescent="0.2">
      <c r="A19">
        <v>16</v>
      </c>
      <c r="B19" s="1">
        <v>45586</v>
      </c>
      <c r="C19" s="4">
        <v>1450</v>
      </c>
      <c r="D19" s="4">
        <v>1450</v>
      </c>
      <c r="E19" s="5">
        <f t="shared" si="0"/>
        <v>1</v>
      </c>
      <c r="F19" s="16">
        <f>IF(SUM($C$4:C19)-SUM($D$4:D19)&gt;0, (SUM($C$4:C19)-SUM($D$4:D19))/SUM($C$4:C19), 0)</f>
        <v>0</v>
      </c>
      <c r="G19" s="6">
        <f t="shared" si="1"/>
        <v>0</v>
      </c>
    </row>
    <row r="20" spans="1:7" x14ac:dyDescent="0.2">
      <c r="A20">
        <v>17</v>
      </c>
      <c r="B20" s="1">
        <v>45593</v>
      </c>
      <c r="C20" s="4">
        <v>1450</v>
      </c>
      <c r="D20" s="4">
        <v>1200</v>
      </c>
      <c r="E20" s="5">
        <f t="shared" si="0"/>
        <v>0.82758620689655171</v>
      </c>
      <c r="F20" s="16">
        <f>IF(SUM($C$4:C20)-SUM($D$4:D20)&gt;0, (SUM($C$4:C20)-SUM($D$4:D20))/SUM($C$4:C20), 0)</f>
        <v>0</v>
      </c>
      <c r="G20" s="6">
        <f t="shared" si="1"/>
        <v>-250</v>
      </c>
    </row>
    <row r="21" spans="1:7" x14ac:dyDescent="0.2">
      <c r="A21">
        <v>18</v>
      </c>
      <c r="B21" s="1">
        <v>45600</v>
      </c>
      <c r="C21" s="4">
        <v>1250</v>
      </c>
      <c r="D21" s="4">
        <v>1500</v>
      </c>
      <c r="E21" s="5">
        <f t="shared" si="0"/>
        <v>1.2</v>
      </c>
      <c r="F21" s="16">
        <f>IF(SUM($C$4:C21)-SUM($D$4:D21)&gt;0, (SUM($C$4:C21)-SUM($D$4:D21))/SUM($C$4:C21), 0)</f>
        <v>0</v>
      </c>
      <c r="G21" s="6">
        <f t="shared" si="1"/>
        <v>250</v>
      </c>
    </row>
    <row r="22" spans="1:7" x14ac:dyDescent="0.2">
      <c r="A22">
        <v>19</v>
      </c>
      <c r="B22" s="1">
        <v>45607</v>
      </c>
      <c r="C22" s="4">
        <v>1400</v>
      </c>
      <c r="D22" s="4">
        <v>1150</v>
      </c>
      <c r="E22" s="5">
        <f t="shared" si="0"/>
        <v>0.8214285714285714</v>
      </c>
      <c r="F22" s="16">
        <f>IF(SUM($C$4:C22)-SUM($D$4:D22)&gt;0, (SUM($C$4:C22)-SUM($D$4:D22))/SUM($C$4:C22), 0)</f>
        <v>0</v>
      </c>
      <c r="G22" s="6">
        <f t="shared" si="1"/>
        <v>-250</v>
      </c>
    </row>
    <row r="23" spans="1:7" x14ac:dyDescent="0.2">
      <c r="A23">
        <v>20</v>
      </c>
      <c r="B23" s="1">
        <v>45614</v>
      </c>
      <c r="C23" s="4">
        <v>2000</v>
      </c>
      <c r="D23" s="4">
        <v>2000</v>
      </c>
      <c r="E23" s="5">
        <f t="shared" si="0"/>
        <v>1</v>
      </c>
      <c r="F23" s="16">
        <f>IF(SUM($C$4:C23)-SUM($D$4:D23)&gt;0, (SUM($C$4:C23)-SUM($D$4:D23))/SUM($C$4:C23), 0)</f>
        <v>0</v>
      </c>
      <c r="G23" s="6">
        <f t="shared" si="1"/>
        <v>0</v>
      </c>
    </row>
    <row r="24" spans="1:7" x14ac:dyDescent="0.2">
      <c r="A24">
        <v>21</v>
      </c>
      <c r="B24" s="1">
        <v>45621</v>
      </c>
      <c r="C24" s="4">
        <v>2350</v>
      </c>
      <c r="D24" s="4">
        <v>2350</v>
      </c>
      <c r="E24" s="5">
        <f t="shared" si="0"/>
        <v>1</v>
      </c>
      <c r="F24" s="16">
        <f>IF(SUM($C$4:C24)-SUM($D$4:D24)&gt;0, (SUM($C$4:C24)-SUM($D$4:D24))/SUM($C$4:C24), 0)</f>
        <v>0</v>
      </c>
      <c r="G24" s="6">
        <f t="shared" si="1"/>
        <v>0</v>
      </c>
    </row>
    <row r="25" spans="1:7" x14ac:dyDescent="0.2">
      <c r="A25">
        <v>22</v>
      </c>
      <c r="B25" s="1">
        <v>45628</v>
      </c>
      <c r="C25" s="4">
        <v>2350</v>
      </c>
      <c r="D25" s="4">
        <v>2350</v>
      </c>
      <c r="E25" s="5">
        <f t="shared" si="0"/>
        <v>1</v>
      </c>
      <c r="F25" s="16">
        <f>IF(SUM($C$4:C25)-SUM($D$4:D25)&gt;0, (SUM($C$4:C25)-SUM($D$4:D25))/SUM($C$4:C25), 0)</f>
        <v>0</v>
      </c>
      <c r="G25" s="6">
        <f t="shared" si="1"/>
        <v>0</v>
      </c>
    </row>
    <row r="26" spans="1:7" x14ac:dyDescent="0.2">
      <c r="A26">
        <v>23</v>
      </c>
      <c r="B26" s="1">
        <v>45635</v>
      </c>
      <c r="C26" s="4">
        <v>2350</v>
      </c>
      <c r="D26" s="4">
        <v>2350</v>
      </c>
      <c r="E26" s="5">
        <f t="shared" si="0"/>
        <v>1</v>
      </c>
      <c r="F26" s="16">
        <f>IF(SUM($C$4:C26)-SUM($D$4:D26)&gt;0, (SUM($C$4:C26)-SUM($D$4:D26))/SUM($C$4:C26), 0)</f>
        <v>0</v>
      </c>
      <c r="G26" s="6">
        <f t="shared" si="1"/>
        <v>0</v>
      </c>
    </row>
    <row r="27" spans="1:7" x14ac:dyDescent="0.2">
      <c r="A27">
        <v>24</v>
      </c>
      <c r="B27" s="1">
        <v>45642</v>
      </c>
      <c r="C27" s="4">
        <v>2400</v>
      </c>
      <c r="D27" s="4">
        <v>2100</v>
      </c>
      <c r="E27" s="5">
        <f t="shared" si="0"/>
        <v>0.875</v>
      </c>
      <c r="F27" s="16">
        <f>IF(SUM($C$4:C27)-SUM($D$4:D27)&gt;0, (SUM($C$4:C27)-SUM($D$4:D27))/SUM($C$4:C27), 0)</f>
        <v>0</v>
      </c>
      <c r="G27" s="6">
        <f t="shared" si="1"/>
        <v>-300</v>
      </c>
    </row>
    <row r="28" spans="1:7" x14ac:dyDescent="0.2">
      <c r="A28">
        <v>25</v>
      </c>
      <c r="B28" s="1">
        <v>45649</v>
      </c>
      <c r="C28" s="4">
        <v>2700</v>
      </c>
      <c r="D28" s="4">
        <v>3000</v>
      </c>
      <c r="E28" s="5">
        <f t="shared" si="0"/>
        <v>1.1111111111111112</v>
      </c>
      <c r="F28" s="16">
        <f>IF(SUM($C$4:C28)-SUM($D$4:D28)&gt;0, (SUM($C$4:C28)-SUM($D$4:D28))/SUM($C$4:C28), 0)</f>
        <v>0</v>
      </c>
      <c r="G28" s="6">
        <f t="shared" si="1"/>
        <v>300</v>
      </c>
    </row>
    <row r="29" spans="1:7" x14ac:dyDescent="0.2">
      <c r="A29">
        <v>26</v>
      </c>
      <c r="B29" s="1">
        <v>45656</v>
      </c>
      <c r="C29" s="4">
        <v>2700</v>
      </c>
      <c r="D29" s="4">
        <v>1750</v>
      </c>
      <c r="E29" s="5">
        <f t="shared" si="0"/>
        <v>0.64814814814814814</v>
      </c>
      <c r="F29" s="16">
        <f>IF(SUM($C$4:C29)-SUM($D$4:D29)&gt;0, (SUM($C$4:C29)-SUM($D$4:D29))/SUM($C$4:C29), 0)</f>
        <v>1.1920529801324504E-2</v>
      </c>
      <c r="G29" s="6">
        <f t="shared" si="1"/>
        <v>-950</v>
      </c>
    </row>
    <row r="30" spans="1:7" x14ac:dyDescent="0.2">
      <c r="A30">
        <v>27</v>
      </c>
      <c r="B30" s="1">
        <v>45663</v>
      </c>
      <c r="C30" s="4">
        <v>2700</v>
      </c>
      <c r="D30" s="4">
        <v>1400</v>
      </c>
      <c r="E30" s="5">
        <f t="shared" si="0"/>
        <v>0.51851851851851849</v>
      </c>
      <c r="F30" s="16">
        <f>IF(SUM($C$4:C30)-SUM($D$4:D30)&gt;0, (SUM($C$4:C30)-SUM($D$4:D30))/SUM($C$4:C30), 0)</f>
        <v>4.3263288009888753E-2</v>
      </c>
      <c r="G30" s="6">
        <f t="shared" si="1"/>
        <v>-1300</v>
      </c>
    </row>
    <row r="31" spans="1:7" x14ac:dyDescent="0.2">
      <c r="A31">
        <v>28</v>
      </c>
      <c r="B31" s="1">
        <v>45670</v>
      </c>
      <c r="C31" s="4">
        <v>2700</v>
      </c>
      <c r="D31" s="4">
        <v>3350</v>
      </c>
      <c r="E31" s="5">
        <f t="shared" si="0"/>
        <v>1.2407407407407407</v>
      </c>
      <c r="F31" s="16">
        <f>IF(SUM($C$4:C31)-SUM($D$4:D31)&gt;0, (SUM($C$4:C31)-SUM($D$4:D31))/SUM($C$4:C31), 0)</f>
        <v>2.5492468134414831E-2</v>
      </c>
      <c r="G31" s="6">
        <f t="shared" si="1"/>
        <v>650</v>
      </c>
    </row>
    <row r="32" spans="1:7" x14ac:dyDescent="0.2">
      <c r="A32">
        <v>29</v>
      </c>
      <c r="B32" s="1">
        <v>45677</v>
      </c>
      <c r="C32" s="4">
        <v>2700</v>
      </c>
      <c r="D32" s="4">
        <v>1450</v>
      </c>
      <c r="E32" s="5">
        <f t="shared" si="0"/>
        <v>0.53703703703703709</v>
      </c>
      <c r="F32" s="16">
        <f>IF(SUM($C$4:C32)-SUM($D$4:D32)&gt;0, (SUM($C$4:C32)-SUM($D$4:D32))/SUM($C$4:C32), 0)</f>
        <v>5.1254089422028352E-2</v>
      </c>
      <c r="G32" s="6">
        <f t="shared" si="1"/>
        <v>-1250</v>
      </c>
    </row>
    <row r="33" spans="1:7" x14ac:dyDescent="0.2">
      <c r="A33">
        <v>30</v>
      </c>
      <c r="B33" s="1">
        <v>45684</v>
      </c>
      <c r="C33" s="4">
        <v>2700</v>
      </c>
      <c r="D33" s="4">
        <v>2400</v>
      </c>
      <c r="E33" s="5">
        <f t="shared" si="0"/>
        <v>0.88888888888888884</v>
      </c>
      <c r="F33" s="16">
        <f>IF(SUM($C$4:C40)-SUM($D$4:D40)&gt;0, (SUM($C$4:C40)-SUM($D$4:D40))/SUM($C$4:C40), 0)</f>
        <v>0.16914191419141913</v>
      </c>
      <c r="G33" s="6">
        <f t="shared" si="1"/>
        <v>-300</v>
      </c>
    </row>
    <row r="34" spans="1:7" x14ac:dyDescent="0.2">
      <c r="A34">
        <v>31</v>
      </c>
      <c r="B34" s="1">
        <v>45691</v>
      </c>
      <c r="C34" s="4">
        <v>2700</v>
      </c>
      <c r="D34" s="4">
        <v>2350</v>
      </c>
      <c r="E34" s="5">
        <f t="shared" ref="E34:E39" si="2">D34/C34</f>
        <v>0.87037037037037035</v>
      </c>
      <c r="F34" s="16">
        <f>IF(SUM($C$4:C40)-SUM($D$4:D40)&gt;0, (SUM($C$4:C40)-SUM($D$4:D40))/SUM($C$4:C40), 0)</f>
        <v>0.16914191419141913</v>
      </c>
      <c r="G34" s="6">
        <f t="shared" ref="G34:G39" si="3">D34-C34</f>
        <v>-350</v>
      </c>
    </row>
    <row r="35" spans="1:7" x14ac:dyDescent="0.2">
      <c r="A35">
        <v>32</v>
      </c>
      <c r="B35" s="1">
        <v>45698</v>
      </c>
      <c r="C35" s="4">
        <v>2700</v>
      </c>
      <c r="D35" s="4">
        <v>850</v>
      </c>
      <c r="E35" s="5">
        <f t="shared" si="2"/>
        <v>0.31481481481481483</v>
      </c>
      <c r="F35" s="16">
        <f>IF(SUM($C$4:C40)-SUM($D$4:D40)&gt;0, (SUM($C$4:C40)-SUM($D$4:D40))/SUM($C$4:C40), 0)</f>
        <v>0.16914191419141913</v>
      </c>
      <c r="G35" s="6">
        <f t="shared" si="3"/>
        <v>-1850</v>
      </c>
    </row>
    <row r="36" spans="1:7" x14ac:dyDescent="0.2">
      <c r="A36">
        <v>33</v>
      </c>
      <c r="B36" s="1">
        <v>45705</v>
      </c>
      <c r="C36" s="4">
        <v>2400</v>
      </c>
      <c r="D36" s="4">
        <v>550</v>
      </c>
      <c r="E36" s="5">
        <f t="shared" si="2"/>
        <v>0.22916666666666666</v>
      </c>
      <c r="F36" s="16">
        <f>IF(SUM($C$4:C40)-SUM($D$4:D40)&gt;0, (SUM($C$4:C40)-SUM($D$4:D40))/SUM($C$4:C40), 0)</f>
        <v>0.16914191419141913</v>
      </c>
      <c r="G36" s="6">
        <f t="shared" si="3"/>
        <v>-1850</v>
      </c>
    </row>
    <row r="37" spans="1:7" x14ac:dyDescent="0.2">
      <c r="A37">
        <v>34</v>
      </c>
      <c r="B37" s="1">
        <v>45712</v>
      </c>
      <c r="C37" s="4">
        <v>1550</v>
      </c>
      <c r="D37" s="4">
        <v>700</v>
      </c>
      <c r="E37" s="5">
        <f t="shared" si="2"/>
        <v>0.45161290322580644</v>
      </c>
      <c r="F37" s="16">
        <f>IF(SUM($C$4:C40)-SUM($D$4:D40)&gt;0, (SUM($C$4:C40)-SUM($D$4:D40))/SUM($C$4:C40), 0)</f>
        <v>0.16914191419141913</v>
      </c>
      <c r="G37" s="6">
        <f t="shared" si="3"/>
        <v>-850</v>
      </c>
    </row>
    <row r="38" spans="1:7" x14ac:dyDescent="0.2">
      <c r="A38">
        <v>35</v>
      </c>
      <c r="B38" s="1">
        <v>45719</v>
      </c>
      <c r="C38" s="4">
        <v>900</v>
      </c>
      <c r="D38" s="4">
        <v>0</v>
      </c>
      <c r="E38" s="5">
        <f t="shared" si="2"/>
        <v>0</v>
      </c>
      <c r="F38" s="16">
        <f>IF(SUM($C$4:C40)-SUM($D$4:D40)&gt;0, (SUM($C$4:C40)-SUM($D$4:D40))/SUM($C$4:C40), 0)</f>
        <v>0.16914191419141913</v>
      </c>
      <c r="G38" s="4">
        <f t="shared" si="3"/>
        <v>-900</v>
      </c>
    </row>
    <row r="39" spans="1:7" x14ac:dyDescent="0.2">
      <c r="A39">
        <v>36</v>
      </c>
      <c r="B39" s="1">
        <v>45726</v>
      </c>
      <c r="C39" s="4">
        <v>900</v>
      </c>
      <c r="D39" s="4">
        <v>0</v>
      </c>
      <c r="E39" s="5">
        <f t="shared" si="2"/>
        <v>0</v>
      </c>
      <c r="F39" s="16">
        <f>IF(SUM($C$4:C40)-SUM($D$4:D40)&gt;0, (SUM($C$4:C40)-SUM($D$4:D40))/SUM($C$4:C40), 0)</f>
        <v>0.16914191419141913</v>
      </c>
      <c r="G39" s="6">
        <f t="shared" si="3"/>
        <v>-900</v>
      </c>
    </row>
    <row r="40" spans="1:7" x14ac:dyDescent="0.2">
      <c r="A40">
        <v>37</v>
      </c>
      <c r="B40" s="1">
        <v>45733</v>
      </c>
      <c r="C40" s="4">
        <v>900</v>
      </c>
      <c r="D40" s="4"/>
      <c r="E40" s="5">
        <f>D40/C40</f>
        <v>0</v>
      </c>
      <c r="F40" s="16">
        <f>IF(SUM($C$4:C40)-SUM($D$4:D40)&gt;0, (SUM($C$4:C40)-SUM($D$4:D40))/SUM($C$4:C40), 0)</f>
        <v>0.16914191419141913</v>
      </c>
      <c r="G40" s="63">
        <f>D40-C40</f>
        <v>-900</v>
      </c>
    </row>
  </sheetData>
  <mergeCells count="2">
    <mergeCell ref="A1:A2"/>
    <mergeCell ref="B1:E2"/>
  </mergeCells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CB82-3BF0-094E-82D1-23F4BF4E9D99}">
  <dimension ref="A1:N39"/>
  <sheetViews>
    <sheetView topLeftCell="A18" workbookViewId="0">
      <selection activeCell="D40" sqref="D40"/>
    </sheetView>
  </sheetViews>
  <sheetFormatPr baseColWidth="10" defaultRowHeight="16" x14ac:dyDescent="0.2"/>
  <cols>
    <col min="3" max="4" width="12.5" bestFit="1" customWidth="1"/>
    <col min="5" max="5" width="25.6640625" bestFit="1" customWidth="1"/>
    <col min="6" max="6" width="25.6640625" customWidth="1"/>
    <col min="7" max="7" width="24" bestFit="1" customWidth="1"/>
    <col min="9" max="9" width="25.6640625" bestFit="1" customWidth="1"/>
    <col min="10" max="10" width="12.5" bestFit="1" customWidth="1"/>
    <col min="12" max="12" width="17.83203125" customWidth="1"/>
  </cols>
  <sheetData>
    <row r="1" spans="1:14" ht="27" x14ac:dyDescent="0.2">
      <c r="A1" s="55" t="s">
        <v>34</v>
      </c>
      <c r="B1" s="55" t="s">
        <v>15</v>
      </c>
      <c r="C1" s="55"/>
      <c r="D1" s="55"/>
      <c r="E1" s="55"/>
      <c r="F1" s="15"/>
      <c r="G1" s="9"/>
      <c r="L1" s="13" t="s">
        <v>16</v>
      </c>
      <c r="M1" s="13"/>
      <c r="N1" s="13"/>
    </row>
    <row r="2" spans="1:14" ht="27" x14ac:dyDescent="0.2">
      <c r="A2" s="55"/>
      <c r="B2" s="55"/>
      <c r="C2" s="55"/>
      <c r="D2" s="55"/>
      <c r="E2" s="55"/>
      <c r="F2" s="15"/>
      <c r="I2" s="19" t="s">
        <v>15</v>
      </c>
    </row>
    <row r="3" spans="1:14" x14ac:dyDescent="0.2">
      <c r="A3" t="s">
        <v>19</v>
      </c>
      <c r="B3" t="s">
        <v>18</v>
      </c>
      <c r="C3" s="2" t="s">
        <v>1</v>
      </c>
      <c r="D3" s="2" t="s">
        <v>20</v>
      </c>
      <c r="E3" t="s">
        <v>9</v>
      </c>
      <c r="F3" t="s">
        <v>40</v>
      </c>
      <c r="G3" t="s">
        <v>8</v>
      </c>
      <c r="I3" s="9" t="s">
        <v>39</v>
      </c>
      <c r="J3" s="16" t="e" cm="1">
        <f t="array" ref="J3">AVERAGE(IF(Table10[Cumplimiento de Meta %]&gt;=100%,1,0))</f>
        <v>#DIV/0!</v>
      </c>
      <c r="L3" t="s">
        <v>41</v>
      </c>
      <c r="M3" s="18">
        <f>(COUNT(Table10[[#All],[Semana]])*7)/30</f>
        <v>8.4</v>
      </c>
    </row>
    <row r="4" spans="1:14" x14ac:dyDescent="0.2">
      <c r="A4">
        <v>1</v>
      </c>
      <c r="B4" s="1">
        <v>45488</v>
      </c>
      <c r="C4" s="4">
        <v>750</v>
      </c>
      <c r="D4" s="4">
        <v>750</v>
      </c>
      <c r="E4" s="5">
        <f>D4/C4</f>
        <v>1</v>
      </c>
      <c r="F4" s="16">
        <f>IF(SUM($C$4:C4)-SUM($D$4:D4)&gt;0, (SUM($C$4:C4)-SUM($D$4:D4))/SUM($C$4:C4), 0)</f>
        <v>0</v>
      </c>
      <c r="G4" s="6">
        <f>D4-C4</f>
        <v>0</v>
      </c>
      <c r="I4" s="4"/>
      <c r="J4" s="4"/>
    </row>
    <row r="5" spans="1:14" x14ac:dyDescent="0.2">
      <c r="A5">
        <v>2</v>
      </c>
      <c r="B5" s="1">
        <v>45495</v>
      </c>
      <c r="C5" s="4">
        <v>1750</v>
      </c>
      <c r="D5" s="4">
        <v>1750</v>
      </c>
      <c r="E5" s="5">
        <f t="shared" ref="E5:E32" si="0">D5/C5</f>
        <v>1</v>
      </c>
      <c r="F5" s="16">
        <f>IF(SUM($C$4:C5)-SUM($D$4:D5)&gt;0, (SUM($C$4:C5)-SUM($D$4:D5))/SUM($C$4:C5), 0)</f>
        <v>0</v>
      </c>
      <c r="G5" s="6">
        <f t="shared" ref="G5:G32" si="1">D5-C5</f>
        <v>0</v>
      </c>
      <c r="I5" s="4" t="s">
        <v>21</v>
      </c>
      <c r="J5" s="4">
        <f>SUM(Table10[[#All],[Meta]])</f>
        <v>189250</v>
      </c>
    </row>
    <row r="6" spans="1:14" x14ac:dyDescent="0.2">
      <c r="A6">
        <v>3</v>
      </c>
      <c r="B6" s="1">
        <v>45502</v>
      </c>
      <c r="C6" s="4">
        <v>3200</v>
      </c>
      <c r="D6" s="4">
        <v>3200</v>
      </c>
      <c r="E6" s="5">
        <f t="shared" si="0"/>
        <v>1</v>
      </c>
      <c r="F6" s="16">
        <f>IF(SUM($C$4:C6)-SUM($D$4:D6)&gt;0, (SUM($C$4:C6)-SUM($D$4:D6))/SUM($C$4:C6), 0)</f>
        <v>0</v>
      </c>
      <c r="G6" s="6">
        <f t="shared" si="1"/>
        <v>0</v>
      </c>
      <c r="I6" s="4" t="s">
        <v>22</v>
      </c>
      <c r="J6" s="4">
        <f>SUM(Table10[[#All],[Cobranza]])</f>
        <v>174405</v>
      </c>
    </row>
    <row r="7" spans="1:14" x14ac:dyDescent="0.2">
      <c r="A7">
        <v>4</v>
      </c>
      <c r="B7" s="1">
        <v>45509</v>
      </c>
      <c r="C7" s="4">
        <v>3700</v>
      </c>
      <c r="D7" s="4">
        <v>4280</v>
      </c>
      <c r="E7" s="5">
        <f t="shared" si="0"/>
        <v>1.1567567567567567</v>
      </c>
      <c r="F7" s="16">
        <f>IF(SUM($C$4:C7)-SUM($D$4:D7)&gt;0, (SUM($C$4:C7)-SUM($D$4:D7))/SUM($C$4:C7), 0)</f>
        <v>0</v>
      </c>
      <c r="G7" s="6">
        <f t="shared" si="1"/>
        <v>580</v>
      </c>
      <c r="I7" s="4" t="s">
        <v>23</v>
      </c>
      <c r="J7" s="4">
        <f>SUM(Table10[[#All],[Didiferencia Absoluta]])</f>
        <v>-14845</v>
      </c>
    </row>
    <row r="8" spans="1:14" x14ac:dyDescent="0.2">
      <c r="A8">
        <v>5</v>
      </c>
      <c r="B8" s="1">
        <v>45516</v>
      </c>
      <c r="C8" s="4">
        <v>5200</v>
      </c>
      <c r="D8" s="4">
        <v>5120</v>
      </c>
      <c r="E8" s="5">
        <f t="shared" si="0"/>
        <v>0.98461538461538467</v>
      </c>
      <c r="F8" s="16">
        <f>IF(SUM($C$4:C8)-SUM($D$4:D8)&gt;0, (SUM($C$4:C8)-SUM($D$4:D8))/SUM($C$4:C8), 0)</f>
        <v>0</v>
      </c>
      <c r="G8" s="6">
        <f t="shared" si="1"/>
        <v>-80</v>
      </c>
      <c r="I8" t="s">
        <v>24</v>
      </c>
      <c r="J8" s="16">
        <f>(J7/J5)*-1</f>
        <v>7.8441215323645966E-2</v>
      </c>
    </row>
    <row r="9" spans="1:14" x14ac:dyDescent="0.2">
      <c r="A9">
        <v>6</v>
      </c>
      <c r="B9" s="1">
        <v>45523</v>
      </c>
      <c r="C9" s="4">
        <v>5700</v>
      </c>
      <c r="D9" s="4">
        <v>7700</v>
      </c>
      <c r="E9" s="5">
        <f t="shared" si="0"/>
        <v>1.3508771929824561</v>
      </c>
      <c r="F9" s="16">
        <f>IF(SUM($C$4:C9)-SUM($D$4:D9)&gt;0, (SUM($C$4:C9)-SUM($D$4:D9))/SUM($C$4:C9), 0)</f>
        <v>0</v>
      </c>
      <c r="G9" s="6">
        <f t="shared" si="1"/>
        <v>2000</v>
      </c>
    </row>
    <row r="10" spans="1:14" x14ac:dyDescent="0.2">
      <c r="A10">
        <v>7</v>
      </c>
      <c r="B10" s="1">
        <v>45530</v>
      </c>
      <c r="C10" s="4">
        <v>6700</v>
      </c>
      <c r="D10" s="4">
        <v>6700</v>
      </c>
      <c r="E10" s="5">
        <f t="shared" si="0"/>
        <v>1</v>
      </c>
      <c r="F10" s="16">
        <f>IF(SUM($C$4:C10)-SUM($D$4:D10)&gt;0, (SUM($C$4:C10)-SUM($D$4:D10))/SUM($C$4:C10), 0)</f>
        <v>0</v>
      </c>
      <c r="G10" s="6">
        <f t="shared" si="1"/>
        <v>0</v>
      </c>
    </row>
    <row r="11" spans="1:14" x14ac:dyDescent="0.2">
      <c r="A11">
        <v>8</v>
      </c>
      <c r="B11" s="1">
        <v>45537</v>
      </c>
      <c r="C11" s="4">
        <v>7200</v>
      </c>
      <c r="D11" s="4">
        <v>7200</v>
      </c>
      <c r="E11" s="5">
        <f t="shared" si="0"/>
        <v>1</v>
      </c>
      <c r="F11" s="16">
        <f>IF(SUM($C$4:C11)-SUM($D$4:D11)&gt;0, (SUM($C$4:C11)-SUM($D$4:D11))/SUM($C$4:C11), 0)</f>
        <v>0</v>
      </c>
      <c r="G11" s="6">
        <f t="shared" si="1"/>
        <v>0</v>
      </c>
    </row>
    <row r="12" spans="1:14" x14ac:dyDescent="0.2">
      <c r="A12">
        <v>9</v>
      </c>
      <c r="B12" s="1">
        <v>45544</v>
      </c>
      <c r="C12" s="4">
        <v>7450</v>
      </c>
      <c r="D12" s="4">
        <v>7000</v>
      </c>
      <c r="E12" s="5">
        <f t="shared" si="0"/>
        <v>0.93959731543624159</v>
      </c>
      <c r="F12" s="16">
        <f>IF(SUM($C$4:C12)-SUM($D$4:D12)&gt;0, (SUM($C$4:C12)-SUM($D$4:D12))/SUM($C$4:C12), 0)</f>
        <v>0</v>
      </c>
      <c r="G12" s="6">
        <f t="shared" si="1"/>
        <v>-450</v>
      </c>
    </row>
    <row r="13" spans="1:14" x14ac:dyDescent="0.2">
      <c r="A13">
        <v>10</v>
      </c>
      <c r="B13" s="1">
        <v>45551</v>
      </c>
      <c r="C13" s="4">
        <v>7450</v>
      </c>
      <c r="D13" s="4">
        <v>7700</v>
      </c>
      <c r="E13" s="5">
        <f t="shared" si="0"/>
        <v>1.0335570469798658</v>
      </c>
      <c r="F13" s="16">
        <f>IF(SUM($C$4:C13)-SUM($D$4:D13)&gt;0, (SUM($C$4:C13)-SUM($D$4:D13))/SUM($C$4:C13), 0)</f>
        <v>0</v>
      </c>
      <c r="G13" s="6">
        <f t="shared" si="1"/>
        <v>250</v>
      </c>
    </row>
    <row r="14" spans="1:14" x14ac:dyDescent="0.2">
      <c r="A14">
        <v>11</v>
      </c>
      <c r="B14" s="12">
        <v>45558</v>
      </c>
      <c r="C14" s="4">
        <v>8050</v>
      </c>
      <c r="D14" s="4">
        <v>7350</v>
      </c>
      <c r="E14" s="5">
        <f t="shared" si="0"/>
        <v>0.91304347826086951</v>
      </c>
      <c r="F14" s="16">
        <f>IF(SUM($C$4:C14)-SUM($D$4:D14)&gt;0, (SUM($C$4:C14)-SUM($D$4:D14))/SUM($C$4:C14), 0)</f>
        <v>0</v>
      </c>
      <c r="G14" s="6">
        <f t="shared" si="1"/>
        <v>-700</v>
      </c>
    </row>
    <row r="15" spans="1:14" x14ac:dyDescent="0.2">
      <c r="A15">
        <v>12</v>
      </c>
      <c r="B15" s="1">
        <v>45565</v>
      </c>
      <c r="C15" s="4">
        <v>8650</v>
      </c>
      <c r="D15" s="4">
        <v>10100</v>
      </c>
      <c r="E15" s="5">
        <f t="shared" si="0"/>
        <v>1.1676300578034682</v>
      </c>
      <c r="F15" s="16">
        <f>IF(SUM($C$4:C15)-SUM($D$4:D15)&gt;0, (SUM($C$4:C15)-SUM($D$4:D15))/SUM($C$4:C15), 0)</f>
        <v>0</v>
      </c>
      <c r="G15" s="6">
        <f t="shared" si="1"/>
        <v>1450</v>
      </c>
    </row>
    <row r="16" spans="1:14" x14ac:dyDescent="0.2">
      <c r="A16">
        <v>13</v>
      </c>
      <c r="B16" s="1">
        <v>45572</v>
      </c>
      <c r="C16" s="4">
        <v>8500</v>
      </c>
      <c r="D16" s="4">
        <v>6800</v>
      </c>
      <c r="E16" s="5">
        <f t="shared" si="0"/>
        <v>0.8</v>
      </c>
      <c r="F16" s="16">
        <f>IF(SUM($C$4:C16)-SUM($D$4:D16)&gt;0, (SUM($C$4:C16)-SUM($D$4:D16))/SUM($C$4:C16), 0)</f>
        <v>0</v>
      </c>
      <c r="G16" s="6">
        <f t="shared" si="1"/>
        <v>-1700</v>
      </c>
    </row>
    <row r="17" spans="1:7" x14ac:dyDescent="0.2">
      <c r="A17">
        <v>14</v>
      </c>
      <c r="B17" s="1">
        <v>45579</v>
      </c>
      <c r="C17" s="4">
        <v>9300</v>
      </c>
      <c r="D17" s="4">
        <v>14700</v>
      </c>
      <c r="E17" s="5">
        <f t="shared" si="0"/>
        <v>1.5806451612903225</v>
      </c>
      <c r="F17" s="16">
        <f>IF(SUM($C$4:C17)-SUM($D$4:D17)&gt;0, (SUM($C$4:C17)-SUM($D$4:D17))/SUM($C$4:C17), 0)</f>
        <v>0</v>
      </c>
      <c r="G17" s="6">
        <f t="shared" si="1"/>
        <v>5400</v>
      </c>
    </row>
    <row r="18" spans="1:7" x14ac:dyDescent="0.2">
      <c r="A18">
        <v>15</v>
      </c>
      <c r="B18" s="1">
        <v>45586</v>
      </c>
      <c r="C18" s="4">
        <v>8000</v>
      </c>
      <c r="D18" s="4">
        <v>6700</v>
      </c>
      <c r="E18" s="5">
        <f t="shared" si="0"/>
        <v>0.83750000000000002</v>
      </c>
      <c r="F18" s="16">
        <f>IF(SUM($C$4:C18)-SUM($D$4:D18)&gt;0, (SUM($C$4:C18)-SUM($D$4:D18))/SUM($C$4:C18), 0)</f>
        <v>0</v>
      </c>
      <c r="G18" s="6">
        <f t="shared" si="1"/>
        <v>-1300</v>
      </c>
    </row>
    <row r="19" spans="1:7" x14ac:dyDescent="0.2">
      <c r="A19">
        <v>16</v>
      </c>
      <c r="B19" s="1">
        <v>45593</v>
      </c>
      <c r="C19" s="4">
        <v>8300</v>
      </c>
      <c r="D19" s="4">
        <v>7550</v>
      </c>
      <c r="E19" s="5">
        <f t="shared" si="0"/>
        <v>0.90963855421686746</v>
      </c>
      <c r="F19" s="16">
        <f>IF(SUM($C$4:C19)-SUM($D$4:D19)&gt;0, (SUM($C$4:C19)-SUM($D$4:D19))/SUM($C$4:C19), 0)</f>
        <v>0</v>
      </c>
      <c r="G19" s="6">
        <f t="shared" si="1"/>
        <v>-750</v>
      </c>
    </row>
    <row r="20" spans="1:7" x14ac:dyDescent="0.2">
      <c r="A20">
        <v>17</v>
      </c>
      <c r="B20" s="1">
        <v>45600</v>
      </c>
      <c r="C20" s="4">
        <v>8500</v>
      </c>
      <c r="D20" s="4">
        <v>7500</v>
      </c>
      <c r="E20" s="5">
        <f t="shared" si="0"/>
        <v>0.88235294117647056</v>
      </c>
      <c r="F20" s="16">
        <f>IF(SUM($C$4:C20)-SUM($D$4:D20)&gt;0, (SUM($C$4:C20)-SUM($D$4:D20))/SUM($C$4:C20), 0)</f>
        <v>0</v>
      </c>
      <c r="G20" s="6">
        <f t="shared" si="1"/>
        <v>-1000</v>
      </c>
    </row>
    <row r="21" spans="1:7" x14ac:dyDescent="0.2">
      <c r="A21">
        <v>18</v>
      </c>
      <c r="B21" s="1">
        <v>45607</v>
      </c>
      <c r="C21" s="4">
        <v>8600</v>
      </c>
      <c r="D21" s="4">
        <v>6050</v>
      </c>
      <c r="E21" s="5">
        <f t="shared" si="0"/>
        <v>0.70348837209302328</v>
      </c>
      <c r="F21" s="16">
        <f>IF(SUM($C$4:C21)-SUM($D$4:D21)&gt;0, (SUM($C$4:C21)-SUM($D$4:D21))/SUM($C$4:C21), 0)</f>
        <v>0</v>
      </c>
      <c r="G21" s="6">
        <f t="shared" si="1"/>
        <v>-2550</v>
      </c>
    </row>
    <row r="22" spans="1:7" x14ac:dyDescent="0.2">
      <c r="A22">
        <v>19</v>
      </c>
      <c r="B22" s="1">
        <v>45614</v>
      </c>
      <c r="C22" s="4">
        <v>8600</v>
      </c>
      <c r="D22" s="4">
        <v>8650</v>
      </c>
      <c r="E22" s="5">
        <f t="shared" si="0"/>
        <v>1.0058139534883721</v>
      </c>
      <c r="F22" s="16">
        <f>IF(SUM($C$4:C22)-SUM($D$4:D22)&gt;0, (SUM($C$4:C22)-SUM($D$4:D22))/SUM($C$4:C22), 0)</f>
        <v>0</v>
      </c>
      <c r="G22" s="6">
        <f t="shared" si="1"/>
        <v>50</v>
      </c>
    </row>
    <row r="23" spans="1:7" x14ac:dyDescent="0.2">
      <c r="A23">
        <v>20</v>
      </c>
      <c r="B23" s="1">
        <v>45621</v>
      </c>
      <c r="C23" s="4">
        <v>7850</v>
      </c>
      <c r="D23" s="4">
        <v>5000</v>
      </c>
      <c r="E23" s="5">
        <f t="shared" si="0"/>
        <v>0.63694267515923564</v>
      </c>
      <c r="F23" s="16">
        <f>IF(SUM($C$4:C23)-SUM($D$4:D23)&gt;0, (SUM($C$4:C23)-SUM($D$4:D23))/SUM($C$4:C23), 0)</f>
        <v>1.2364181341326339E-2</v>
      </c>
      <c r="G23" s="6">
        <f t="shared" si="1"/>
        <v>-2850</v>
      </c>
    </row>
    <row r="24" spans="1:7" x14ac:dyDescent="0.2">
      <c r="A24">
        <v>21</v>
      </c>
      <c r="B24" s="1">
        <v>45628</v>
      </c>
      <c r="C24" s="4">
        <v>7900</v>
      </c>
      <c r="D24" s="4">
        <v>6355</v>
      </c>
      <c r="E24" s="5">
        <f t="shared" si="0"/>
        <v>0.8044303797468354</v>
      </c>
      <c r="F24" s="16">
        <f>IF(SUM($C$4:C24)-SUM($D$4:D24)&gt;0, (SUM($C$4:C24)-SUM($D$4:D24))/SUM($C$4:C24), 0)</f>
        <v>2.2603466572338169E-2</v>
      </c>
      <c r="G24" s="6">
        <f t="shared" si="1"/>
        <v>-1545</v>
      </c>
    </row>
    <row r="25" spans="1:7" x14ac:dyDescent="0.2">
      <c r="A25">
        <v>22</v>
      </c>
      <c r="B25" s="1">
        <v>45635</v>
      </c>
      <c r="C25" s="4">
        <v>7400</v>
      </c>
      <c r="D25" s="4">
        <v>5950</v>
      </c>
      <c r="E25" s="5">
        <f t="shared" si="0"/>
        <v>0.80405405405405406</v>
      </c>
      <c r="F25" s="16">
        <f>IF(SUM($C$4:C25)-SUM($D$4:D25)&gt;0, (SUM($C$4:C25)-SUM($D$4:D25))/SUM($C$4:C25), 0)</f>
        <v>3.1226890756302521E-2</v>
      </c>
      <c r="G25" s="6">
        <f t="shared" si="1"/>
        <v>-1450</v>
      </c>
    </row>
    <row r="26" spans="1:7" x14ac:dyDescent="0.2">
      <c r="A26">
        <v>23</v>
      </c>
      <c r="B26" s="1">
        <v>45642</v>
      </c>
      <c r="C26" s="4">
        <v>7150</v>
      </c>
      <c r="D26" s="4">
        <v>5300</v>
      </c>
      <c r="E26" s="5">
        <f t="shared" si="0"/>
        <v>0.74125874125874125</v>
      </c>
      <c r="F26" s="16">
        <f>IF(SUM($C$4:C26)-SUM($D$4:D26)&gt;0, (SUM($C$4:C26)-SUM($D$4:D26))/SUM($C$4:C26), 0)</f>
        <v>4.1661321359846057E-2</v>
      </c>
      <c r="G26" s="6">
        <f t="shared" si="1"/>
        <v>-1850</v>
      </c>
    </row>
    <row r="27" spans="1:7" x14ac:dyDescent="0.2">
      <c r="A27">
        <v>24</v>
      </c>
      <c r="B27" s="1">
        <v>45649</v>
      </c>
      <c r="C27" s="4">
        <v>7150</v>
      </c>
      <c r="D27" s="4">
        <v>5400</v>
      </c>
      <c r="E27" s="5">
        <f t="shared" si="0"/>
        <v>0.75524475524475521</v>
      </c>
      <c r="F27" s="16">
        <f>IF(SUM($C$4:C27)-SUM($D$4:D27)&gt;0, (SUM($C$4:C27)-SUM($D$4:D27))/SUM($C$4:C27), 0)</f>
        <v>5.0567310640907699E-2</v>
      </c>
      <c r="G27" s="6">
        <f t="shared" si="1"/>
        <v>-1750</v>
      </c>
    </row>
    <row r="28" spans="1:7" x14ac:dyDescent="0.2">
      <c r="A28">
        <v>25</v>
      </c>
      <c r="B28" s="1">
        <v>45656</v>
      </c>
      <c r="C28" s="4">
        <v>6550</v>
      </c>
      <c r="D28" s="4">
        <v>6300</v>
      </c>
      <c r="E28" s="5">
        <f t="shared" si="0"/>
        <v>0.96183206106870234</v>
      </c>
      <c r="F28" s="16">
        <f>IF(SUM($C$4:C28)-SUM($D$4:D28)&gt;0, (SUM($C$4:C28)-SUM($D$4:D28))/SUM($C$4:C28), 0)</f>
        <v>5.0088443396226416E-2</v>
      </c>
      <c r="G28" s="6">
        <f t="shared" si="1"/>
        <v>-250</v>
      </c>
    </row>
    <row r="29" spans="1:7" x14ac:dyDescent="0.2">
      <c r="A29">
        <v>26</v>
      </c>
      <c r="B29" s="1">
        <v>45663</v>
      </c>
      <c r="C29" s="4">
        <v>5350</v>
      </c>
      <c r="D29" s="4">
        <v>3500</v>
      </c>
      <c r="E29" s="5">
        <f t="shared" si="0"/>
        <v>0.65420560747663548</v>
      </c>
      <c r="F29" s="16">
        <f>IF(SUM($C$4:C29)-SUM($D$4:D29)&gt;0, (SUM($C$4:C29)-SUM($D$4:D29))/SUM($C$4:C29), 0)</f>
        <v>5.9131180337239214E-2</v>
      </c>
      <c r="G29" s="6">
        <f t="shared" si="1"/>
        <v>-1850</v>
      </c>
    </row>
    <row r="30" spans="1:7" x14ac:dyDescent="0.2">
      <c r="A30">
        <v>27</v>
      </c>
      <c r="B30" s="1">
        <v>45670</v>
      </c>
      <c r="C30" s="4">
        <v>4150</v>
      </c>
      <c r="D30" s="4">
        <v>3400</v>
      </c>
      <c r="E30" s="5">
        <f t="shared" si="0"/>
        <v>0.81927710843373491</v>
      </c>
      <c r="F30" s="16">
        <f>IF(SUM($C$4:C30)-SUM($D$4:D30)&gt;0, (SUM($C$4:C30)-SUM($D$4:D30))/SUM($C$4:C30), 0)</f>
        <v>6.1948632049134561E-2</v>
      </c>
      <c r="G30" s="6">
        <f t="shared" si="1"/>
        <v>-750</v>
      </c>
    </row>
    <row r="31" spans="1:7" x14ac:dyDescent="0.2">
      <c r="A31">
        <v>28</v>
      </c>
      <c r="B31" s="1">
        <v>45677</v>
      </c>
      <c r="C31" s="4">
        <v>3850</v>
      </c>
      <c r="D31" s="4">
        <v>2100</v>
      </c>
      <c r="E31" s="5">
        <f t="shared" si="0"/>
        <v>0.54545454545454541</v>
      </c>
      <c r="F31" s="16">
        <f>IF(SUM($C$4:C31)-SUM($D$4:D31)&gt;0, (SUM($C$4:C31)-SUM($D$4:D31))/SUM($C$4:C31), 0)</f>
        <v>7.0210440010931949E-2</v>
      </c>
      <c r="G31" s="6">
        <f t="shared" si="1"/>
        <v>-1750</v>
      </c>
    </row>
    <row r="32" spans="1:7" x14ac:dyDescent="0.2">
      <c r="A32">
        <v>29</v>
      </c>
      <c r="B32" s="1">
        <v>45684</v>
      </c>
      <c r="C32" s="4">
        <v>2400</v>
      </c>
      <c r="D32" s="4">
        <v>1800</v>
      </c>
      <c r="E32" s="5">
        <f t="shared" si="0"/>
        <v>0.75</v>
      </c>
      <c r="F32" s="16">
        <f>IF(SUM($C$4:C32)-SUM($D$4:D32)&gt;0, (SUM($C$4:C32)-SUM($D$4:D32))/SUM($C$4:C32), 0)</f>
        <v>7.2538440787698943E-2</v>
      </c>
      <c r="G32" s="6">
        <f t="shared" si="1"/>
        <v>-600</v>
      </c>
    </row>
    <row r="33" spans="1:7" x14ac:dyDescent="0.2">
      <c r="A33">
        <v>30</v>
      </c>
      <c r="B33" s="1">
        <v>45691</v>
      </c>
      <c r="C33" s="4">
        <v>2100</v>
      </c>
      <c r="D33" s="4">
        <v>800</v>
      </c>
      <c r="E33" s="5">
        <f t="shared" ref="E33:E38" si="2">D33/C33</f>
        <v>0.38095238095238093</v>
      </c>
      <c r="F33" s="16">
        <f>IF(SUM($C$4:C33)-SUM($D$4:D33)&gt;0, (SUM($C$4:C33)-SUM($D$4:D33))/SUM($C$4:C33), 0)</f>
        <v>7.8660976260336093E-2</v>
      </c>
      <c r="G33" s="6">
        <f t="shared" ref="G33:G38" si="3">D33-C33</f>
        <v>-1300</v>
      </c>
    </row>
    <row r="34" spans="1:7" x14ac:dyDescent="0.2">
      <c r="A34">
        <v>31</v>
      </c>
      <c r="B34" s="1">
        <v>45698</v>
      </c>
      <c r="C34" s="4">
        <v>900</v>
      </c>
      <c r="D34" s="4">
        <v>500</v>
      </c>
      <c r="E34" s="5">
        <f t="shared" si="2"/>
        <v>0.55555555555555558</v>
      </c>
      <c r="F34" s="16">
        <f>IF(SUM($C$4:C34)-SUM($D$4:D34)&gt;0, (SUM($C$4:C34)-SUM($D$4:D34))/SUM($C$4:C34), 0)</f>
        <v>8.0408813379346966E-2</v>
      </c>
      <c r="G34" s="6">
        <f t="shared" si="3"/>
        <v>-400</v>
      </c>
    </row>
    <row r="35" spans="1:7" x14ac:dyDescent="0.2">
      <c r="A35">
        <v>32</v>
      </c>
      <c r="B35" s="1">
        <v>45705</v>
      </c>
      <c r="C35" s="4">
        <v>300</v>
      </c>
      <c r="D35" s="4">
        <v>0</v>
      </c>
      <c r="E35" s="5">
        <f t="shared" si="2"/>
        <v>0</v>
      </c>
      <c r="F35" s="16">
        <f>IF(SUM($C$4:C35)-SUM($D$4:D35)&gt;0, (SUM($C$4:C35)-SUM($D$4:D35))/SUM($C$4:C35), 0)</f>
        <v>8.1871190034455338E-2</v>
      </c>
      <c r="G35" s="6">
        <f t="shared" si="3"/>
        <v>-300</v>
      </c>
    </row>
    <row r="36" spans="1:7" x14ac:dyDescent="0.2">
      <c r="A36">
        <v>33</v>
      </c>
      <c r="B36" s="1">
        <v>45712</v>
      </c>
      <c r="C36" s="4">
        <v>300</v>
      </c>
      <c r="D36" s="4">
        <v>1200</v>
      </c>
      <c r="E36" s="5">
        <f t="shared" si="2"/>
        <v>4</v>
      </c>
      <c r="F36" s="16">
        <f>IF(SUM($C$4:C39)-SUM($D$4:D39)&gt;0, (SUM($C$4:C39)-SUM($D$4:D39))/SUM($C$4:C39), 0)</f>
        <v>7.8441215323645966E-2</v>
      </c>
      <c r="G36" s="6">
        <f t="shared" si="3"/>
        <v>900</v>
      </c>
    </row>
    <row r="37" spans="1:7" x14ac:dyDescent="0.2">
      <c r="A37">
        <v>34</v>
      </c>
      <c r="B37" s="1">
        <v>45719</v>
      </c>
      <c r="C37" s="4">
        <v>300</v>
      </c>
      <c r="D37" s="4">
        <v>0</v>
      </c>
      <c r="E37" s="5">
        <f t="shared" si="2"/>
        <v>0</v>
      </c>
      <c r="F37" s="16">
        <f>IF(SUM($C$4:C39)-SUM($D$4:D39)&gt;0, (SUM($C$4:C39)-SUM($D$4:D39))/SUM($C$4:C39), 0)</f>
        <v>7.8441215323645966E-2</v>
      </c>
      <c r="G37" s="4">
        <f t="shared" si="3"/>
        <v>-300</v>
      </c>
    </row>
    <row r="38" spans="1:7" x14ac:dyDescent="0.2">
      <c r="A38">
        <v>35</v>
      </c>
      <c r="B38" s="1">
        <v>45726</v>
      </c>
      <c r="C38" s="4">
        <v>0</v>
      </c>
      <c r="D38" s="4">
        <v>0</v>
      </c>
      <c r="E38" s="5" t="e">
        <f t="shared" si="2"/>
        <v>#DIV/0!</v>
      </c>
      <c r="F38" s="16">
        <f>IF(SUM($C$4:C39)-SUM($D$4:D39)&gt;0, (SUM($C$4:C39)-SUM($D$4:D39))/SUM($C$4:C39), 0)</f>
        <v>7.8441215323645966E-2</v>
      </c>
      <c r="G38" s="6">
        <f t="shared" si="3"/>
        <v>0</v>
      </c>
    </row>
    <row r="39" spans="1:7" x14ac:dyDescent="0.2">
      <c r="A39">
        <v>36</v>
      </c>
      <c r="B39" s="1">
        <v>45733</v>
      </c>
      <c r="C39" s="4">
        <v>0</v>
      </c>
      <c r="D39" s="4"/>
      <c r="E39" s="5" t="e">
        <f>D39/C39</f>
        <v>#DIV/0!</v>
      </c>
      <c r="F39" s="16">
        <f>IF(SUM($C$4:C39)-SUM($D$4:D39)&gt;0, (SUM($C$4:C39)-SUM($D$4:D39))/SUM($C$4:C39), 0)</f>
        <v>7.8441215323645966E-2</v>
      </c>
      <c r="G39" s="63">
        <f>D39-C39</f>
        <v>0</v>
      </c>
    </row>
  </sheetData>
  <mergeCells count="2">
    <mergeCell ref="A1:A2"/>
    <mergeCell ref="B1:E2"/>
  </mergeCells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D1155-737A-CB4C-9C07-7143A4E3A332}">
  <dimension ref="A1:M33"/>
  <sheetViews>
    <sheetView topLeftCell="A5" workbookViewId="0">
      <selection activeCell="D34" sqref="D34"/>
    </sheetView>
  </sheetViews>
  <sheetFormatPr baseColWidth="10" defaultRowHeight="16" x14ac:dyDescent="0.2"/>
  <cols>
    <col min="3" max="4" width="11.5" bestFit="1" customWidth="1"/>
    <col min="5" max="5" width="25.6640625" bestFit="1" customWidth="1"/>
    <col min="6" max="6" width="25.6640625" customWidth="1"/>
    <col min="7" max="7" width="24" bestFit="1" customWidth="1"/>
    <col min="9" max="9" width="25.6640625" bestFit="1" customWidth="1"/>
    <col min="10" max="10" width="12.5" bestFit="1" customWidth="1"/>
    <col min="12" max="12" width="17.33203125" bestFit="1" customWidth="1"/>
  </cols>
  <sheetData>
    <row r="1" spans="1:13" ht="27" x14ac:dyDescent="0.2">
      <c r="A1" s="55" t="s">
        <v>35</v>
      </c>
      <c r="B1" s="55" t="s">
        <v>17</v>
      </c>
      <c r="C1" s="55"/>
      <c r="D1" s="55"/>
      <c r="E1" s="55"/>
      <c r="F1" s="15"/>
      <c r="G1" s="9"/>
      <c r="H1" s="10"/>
    </row>
    <row r="2" spans="1:13" ht="27" x14ac:dyDescent="0.2">
      <c r="A2" s="55"/>
      <c r="B2" s="55"/>
      <c r="C2" s="55"/>
      <c r="D2" s="55"/>
      <c r="E2" s="55"/>
      <c r="F2" s="15"/>
      <c r="I2" t="s">
        <v>17</v>
      </c>
    </row>
    <row r="3" spans="1:13" x14ac:dyDescent="0.2">
      <c r="A3" t="s">
        <v>19</v>
      </c>
      <c r="B3" t="s">
        <v>18</v>
      </c>
      <c r="C3" s="2" t="s">
        <v>1</v>
      </c>
      <c r="D3" s="2" t="s">
        <v>20</v>
      </c>
      <c r="E3" t="s">
        <v>9</v>
      </c>
      <c r="F3" t="s">
        <v>40</v>
      </c>
      <c r="G3" t="s">
        <v>8</v>
      </c>
      <c r="I3" s="9" t="s">
        <v>39</v>
      </c>
      <c r="J3" s="16" t="e" cm="1">
        <f t="array" ref="J3">AVERAGE(IF(Table11[Cumplimiento de Meta %]&gt;=100%,1,0))</f>
        <v>#DIV/0!</v>
      </c>
      <c r="L3" t="s">
        <v>41</v>
      </c>
      <c r="M3" s="18">
        <f>(COUNT(Table11[[#All],[Semana]])*7)/30</f>
        <v>7</v>
      </c>
    </row>
    <row r="4" spans="1:13" x14ac:dyDescent="0.2">
      <c r="A4">
        <v>1</v>
      </c>
      <c r="B4" s="1">
        <v>45530</v>
      </c>
      <c r="C4" s="4">
        <v>550</v>
      </c>
      <c r="D4" s="4">
        <v>550</v>
      </c>
      <c r="E4" s="5">
        <f>D4/C4</f>
        <v>1</v>
      </c>
      <c r="F4" s="16">
        <f>IF(SUM($C$4:C4)-SUM($D$4:D4)&gt;0, (SUM($C$4:C4)-SUM($D$4:D4))/SUM($C$4:C4), 0)</f>
        <v>0</v>
      </c>
      <c r="G4" s="6">
        <f>D4-C4</f>
        <v>0</v>
      </c>
      <c r="I4" s="4"/>
      <c r="J4" s="4"/>
    </row>
    <row r="5" spans="1:13" x14ac:dyDescent="0.2">
      <c r="A5">
        <v>2</v>
      </c>
      <c r="B5" s="1">
        <v>45537</v>
      </c>
      <c r="C5" s="4">
        <v>1400</v>
      </c>
      <c r="D5" s="4">
        <v>1400</v>
      </c>
      <c r="E5" s="5">
        <f t="shared" ref="E5:E26" si="0">D5/C5</f>
        <v>1</v>
      </c>
      <c r="F5" s="16">
        <f>IF(SUM($C$4:C5)-SUM($D$4:D5)&gt;0, (SUM($C$4:C5)-SUM($D$4:D5))/SUM($C$4:C5), 0)</f>
        <v>0</v>
      </c>
      <c r="G5" s="6">
        <f t="shared" ref="G5:G26" si="1">D5-C5</f>
        <v>0</v>
      </c>
      <c r="I5" s="4" t="s">
        <v>21</v>
      </c>
      <c r="J5" s="4">
        <f>SUM(Table11[[#All],[Meta]])</f>
        <v>90250</v>
      </c>
    </row>
    <row r="6" spans="1:13" x14ac:dyDescent="0.2">
      <c r="A6">
        <v>3</v>
      </c>
      <c r="B6" s="1">
        <v>45544</v>
      </c>
      <c r="C6" s="4">
        <v>2300</v>
      </c>
      <c r="D6" s="4">
        <v>2300</v>
      </c>
      <c r="E6" s="5">
        <f t="shared" si="0"/>
        <v>1</v>
      </c>
      <c r="F6" s="16">
        <f>IF(SUM($C$4:C6)-SUM($D$4:D6)&gt;0, (SUM($C$4:C6)-SUM($D$4:D6))/SUM($C$4:C6), 0)</f>
        <v>0</v>
      </c>
      <c r="G6" s="6">
        <f t="shared" si="1"/>
        <v>0</v>
      </c>
      <c r="I6" s="4" t="s">
        <v>22</v>
      </c>
      <c r="J6" s="4">
        <f>SUM(Table11[[#All],[Cobranza]])</f>
        <v>74650</v>
      </c>
    </row>
    <row r="7" spans="1:13" x14ac:dyDescent="0.2">
      <c r="A7">
        <v>4</v>
      </c>
      <c r="B7" s="1">
        <v>45551</v>
      </c>
      <c r="C7" s="4">
        <v>2900</v>
      </c>
      <c r="D7" s="4">
        <v>2900</v>
      </c>
      <c r="E7" s="5">
        <f t="shared" si="0"/>
        <v>1</v>
      </c>
      <c r="F7" s="16">
        <f>IF(SUM($C$4:C7)-SUM($D$4:D7)&gt;0, (SUM($C$4:C7)-SUM($D$4:D7))/SUM($C$4:C7), 0)</f>
        <v>0</v>
      </c>
      <c r="G7" s="6">
        <f t="shared" si="1"/>
        <v>0</v>
      </c>
      <c r="I7" s="4" t="s">
        <v>23</v>
      </c>
      <c r="J7" s="4">
        <f>SUM(Table11[[#All],[Didiferencia Absoluta]])</f>
        <v>-15600</v>
      </c>
      <c r="L7" s="6"/>
    </row>
    <row r="8" spans="1:13" x14ac:dyDescent="0.2">
      <c r="A8">
        <v>5</v>
      </c>
      <c r="B8" s="1">
        <v>45558</v>
      </c>
      <c r="C8" s="4">
        <v>3500</v>
      </c>
      <c r="D8" s="4">
        <v>3500</v>
      </c>
      <c r="E8" s="5">
        <f t="shared" si="0"/>
        <v>1</v>
      </c>
      <c r="F8" s="16">
        <f>IF(SUM($C$4:C8)-SUM($D$4:D8)&gt;0, (SUM($C$4:C8)-SUM($D$4:D8))/SUM($C$4:C8), 0)</f>
        <v>0</v>
      </c>
      <c r="G8" s="6">
        <f t="shared" si="1"/>
        <v>0</v>
      </c>
      <c r="I8" t="s">
        <v>24</v>
      </c>
      <c r="J8" s="16">
        <f>(J7/J5)*-1</f>
        <v>0.17285318559556787</v>
      </c>
    </row>
    <row r="9" spans="1:13" x14ac:dyDescent="0.2">
      <c r="A9">
        <v>6</v>
      </c>
      <c r="B9" s="1">
        <v>45565</v>
      </c>
      <c r="C9" s="4">
        <v>4100</v>
      </c>
      <c r="D9" s="4">
        <v>4100</v>
      </c>
      <c r="E9" s="5">
        <f t="shared" si="0"/>
        <v>1</v>
      </c>
      <c r="F9" s="16">
        <f>IF(SUM($C$4:C9)-SUM($D$4:D9)&gt;0, (SUM($C$4:C9)-SUM($D$4:D9))/SUM($C$4:C9), 0)</f>
        <v>0</v>
      </c>
      <c r="G9" s="6">
        <f t="shared" si="1"/>
        <v>0</v>
      </c>
    </row>
    <row r="10" spans="1:13" x14ac:dyDescent="0.2">
      <c r="A10">
        <v>7</v>
      </c>
      <c r="B10" s="1">
        <v>45572</v>
      </c>
      <c r="C10" s="4">
        <v>4700</v>
      </c>
      <c r="D10" s="4">
        <v>4700</v>
      </c>
      <c r="E10" s="5">
        <f t="shared" si="0"/>
        <v>1</v>
      </c>
      <c r="F10" s="16">
        <f>IF(SUM($C$4:C10)-SUM($D$4:D10)&gt;0, (SUM($C$4:C10)-SUM($D$4:D10))/SUM($C$4:C10), 0)</f>
        <v>0</v>
      </c>
      <c r="G10" s="6">
        <f t="shared" si="1"/>
        <v>0</v>
      </c>
    </row>
    <row r="11" spans="1:13" x14ac:dyDescent="0.2">
      <c r="A11">
        <v>8</v>
      </c>
      <c r="B11" s="1">
        <v>45579</v>
      </c>
      <c r="C11" s="4">
        <v>5600</v>
      </c>
      <c r="D11" s="4">
        <v>5600</v>
      </c>
      <c r="E11" s="5">
        <f t="shared" si="0"/>
        <v>1</v>
      </c>
      <c r="F11" s="16">
        <f>IF(SUM($C$4:C11)-SUM($D$4:D11)&gt;0, (SUM($C$4:C11)-SUM($D$4:D11))/SUM($C$4:C11), 0)</f>
        <v>0</v>
      </c>
      <c r="G11" s="6">
        <f t="shared" si="1"/>
        <v>0</v>
      </c>
    </row>
    <row r="12" spans="1:13" x14ac:dyDescent="0.2">
      <c r="A12">
        <v>9</v>
      </c>
      <c r="B12" s="1">
        <v>45586</v>
      </c>
      <c r="C12" s="4">
        <v>5900</v>
      </c>
      <c r="D12" s="4">
        <v>5300</v>
      </c>
      <c r="E12" s="5">
        <f t="shared" si="0"/>
        <v>0.89830508474576276</v>
      </c>
      <c r="F12" s="16">
        <f>IF(SUM($C$4:C12)-SUM($D$4:D12)&gt;0, (SUM($C$4:C12)-SUM($D$4:D12))/SUM($C$4:C12), 0)</f>
        <v>1.9386106623586429E-2</v>
      </c>
      <c r="G12" s="6">
        <f t="shared" si="1"/>
        <v>-600</v>
      </c>
    </row>
    <row r="13" spans="1:13" x14ac:dyDescent="0.2">
      <c r="A13">
        <v>10</v>
      </c>
      <c r="B13" s="1">
        <v>45593</v>
      </c>
      <c r="C13" s="4">
        <v>6200</v>
      </c>
      <c r="D13" s="4">
        <v>5600</v>
      </c>
      <c r="E13" s="5">
        <f t="shared" si="0"/>
        <v>0.90322580645161288</v>
      </c>
      <c r="F13" s="16">
        <f>IF(SUM($C$4:C13)-SUM($D$4:D13)&gt;0, (SUM($C$4:C13)-SUM($D$4:D13))/SUM($C$4:C13), 0)</f>
        <v>3.2301480484522208E-2</v>
      </c>
      <c r="G13" s="6">
        <f t="shared" si="1"/>
        <v>-600</v>
      </c>
    </row>
    <row r="14" spans="1:13" x14ac:dyDescent="0.2">
      <c r="A14">
        <v>11</v>
      </c>
      <c r="B14" s="1">
        <v>45600</v>
      </c>
      <c r="C14" s="4">
        <v>6200</v>
      </c>
      <c r="D14" s="4">
        <v>5900</v>
      </c>
      <c r="E14" s="5">
        <f t="shared" si="0"/>
        <v>0.95161290322580649</v>
      </c>
      <c r="F14" s="16">
        <f>IF(SUM($C$4:C14)-SUM($D$4:D14)&gt;0, (SUM($C$4:C14)-SUM($D$4:D14))/SUM($C$4:C14), 0)</f>
        <v>3.4602076124567477E-2</v>
      </c>
      <c r="G14" s="6">
        <f t="shared" si="1"/>
        <v>-300</v>
      </c>
    </row>
    <row r="15" spans="1:13" x14ac:dyDescent="0.2">
      <c r="A15">
        <v>12</v>
      </c>
      <c r="B15" s="1">
        <v>45607</v>
      </c>
      <c r="C15" s="4">
        <v>6250</v>
      </c>
      <c r="D15" s="4">
        <v>4150</v>
      </c>
      <c r="E15" s="5">
        <f t="shared" si="0"/>
        <v>0.66400000000000003</v>
      </c>
      <c r="F15" s="16">
        <f>IF(SUM($C$4:C15)-SUM($D$4:D15)&gt;0, (SUM($C$4:C15)-SUM($D$4:D15))/SUM($C$4:C15), 0)</f>
        <v>7.2580645161290328E-2</v>
      </c>
      <c r="G15" s="6">
        <f t="shared" si="1"/>
        <v>-2100</v>
      </c>
    </row>
    <row r="16" spans="1:13" x14ac:dyDescent="0.2">
      <c r="A16">
        <v>13</v>
      </c>
      <c r="B16" s="1">
        <v>45614</v>
      </c>
      <c r="C16" s="4">
        <v>6250</v>
      </c>
      <c r="D16" s="4">
        <v>5050</v>
      </c>
      <c r="E16" s="5">
        <f t="shared" si="0"/>
        <v>0.80800000000000005</v>
      </c>
      <c r="F16" s="16">
        <f>IF(SUM($C$4:C16)-SUM($D$4:D16)&gt;0, (SUM($C$4:C16)-SUM($D$4:D16))/SUM($C$4:C16), 0)</f>
        <v>8.5944494180841546E-2</v>
      </c>
      <c r="G16" s="6">
        <f t="shared" si="1"/>
        <v>-1200</v>
      </c>
    </row>
    <row r="17" spans="1:7" x14ac:dyDescent="0.2">
      <c r="A17">
        <v>14</v>
      </c>
      <c r="B17" s="1">
        <v>45621</v>
      </c>
      <c r="C17" s="4">
        <v>6250</v>
      </c>
      <c r="D17" s="4">
        <v>900</v>
      </c>
      <c r="E17" s="5">
        <f t="shared" si="0"/>
        <v>0.14399999999999999</v>
      </c>
      <c r="F17" s="16">
        <f>IF(SUM($C$4:C17)-SUM($D$4:D17)&gt;0, (SUM($C$4:C17)-SUM($D$4:D17))/SUM($C$4:C17), 0)</f>
        <v>0.16344605475040258</v>
      </c>
      <c r="G17" s="6">
        <f t="shared" si="1"/>
        <v>-5350</v>
      </c>
    </row>
    <row r="18" spans="1:7" x14ac:dyDescent="0.2">
      <c r="A18">
        <v>15</v>
      </c>
      <c r="B18" s="1">
        <v>45628</v>
      </c>
      <c r="C18" s="4">
        <v>5950</v>
      </c>
      <c r="D18" s="4">
        <v>5600</v>
      </c>
      <c r="E18" s="5">
        <f t="shared" si="0"/>
        <v>0.94117647058823528</v>
      </c>
      <c r="F18" s="16">
        <f>IF(SUM($C$4:C18)-SUM($D$4:D18)&gt;0, (SUM($C$4:C18)-SUM($D$4:D18))/SUM($C$4:C18), 0)</f>
        <v>0.15429831006612785</v>
      </c>
      <c r="G18" s="6">
        <f t="shared" si="1"/>
        <v>-350</v>
      </c>
    </row>
    <row r="19" spans="1:7" x14ac:dyDescent="0.2">
      <c r="A19">
        <v>16</v>
      </c>
      <c r="B19" s="1">
        <v>45635</v>
      </c>
      <c r="C19" s="4">
        <v>5100</v>
      </c>
      <c r="D19" s="4">
        <v>3300</v>
      </c>
      <c r="E19" s="5">
        <f t="shared" si="0"/>
        <v>0.6470588235294118</v>
      </c>
      <c r="F19" s="16">
        <f>IF(SUM($C$4:C19)-SUM($D$4:D19)&gt;0, (SUM($C$4:C19)-SUM($D$4:D19))/SUM($C$4:C19), 0)</f>
        <v>0.16814764183185235</v>
      </c>
      <c r="G19" s="6">
        <f t="shared" si="1"/>
        <v>-1800</v>
      </c>
    </row>
    <row r="20" spans="1:7" x14ac:dyDescent="0.2">
      <c r="A20">
        <v>17</v>
      </c>
      <c r="B20" s="1">
        <v>45642</v>
      </c>
      <c r="C20" s="4">
        <v>4200</v>
      </c>
      <c r="D20" s="4">
        <v>2700</v>
      </c>
      <c r="E20" s="5">
        <f t="shared" si="0"/>
        <v>0.6428571428571429</v>
      </c>
      <c r="F20" s="16">
        <f>IF(SUM($C$4:C20)-SUM($D$4:D20)&gt;0, (SUM($C$4:C20)-SUM($D$4:D20))/SUM($C$4:C20), 0)</f>
        <v>0.178409825468649</v>
      </c>
      <c r="G20" s="6">
        <f t="shared" si="1"/>
        <v>-1500</v>
      </c>
    </row>
    <row r="21" spans="1:7" x14ac:dyDescent="0.2">
      <c r="A21">
        <v>18</v>
      </c>
      <c r="B21" s="1">
        <v>45649</v>
      </c>
      <c r="C21" s="4">
        <v>3600</v>
      </c>
      <c r="D21" s="4">
        <v>1800</v>
      </c>
      <c r="E21" s="5">
        <f t="shared" si="0"/>
        <v>0.5</v>
      </c>
      <c r="F21" s="16">
        <f>IF(SUM($C$4:C21)-SUM($D$4:D21)&gt;0, (SUM($C$4:C21)-SUM($D$4:D21))/SUM($C$4:C21), 0)</f>
        <v>0.19271155033971588</v>
      </c>
      <c r="G21" s="6">
        <f t="shared" si="1"/>
        <v>-1800</v>
      </c>
    </row>
    <row r="22" spans="1:7" x14ac:dyDescent="0.2">
      <c r="A22">
        <v>19</v>
      </c>
      <c r="B22" s="1">
        <v>45656</v>
      </c>
      <c r="C22" s="4">
        <v>3000</v>
      </c>
      <c r="D22" s="4">
        <v>600</v>
      </c>
      <c r="E22" s="5">
        <f t="shared" si="0"/>
        <v>0.2</v>
      </c>
      <c r="F22" s="16">
        <f>IF(SUM($C$4:C22)-SUM($D$4:D22)&gt;0, (SUM($C$4:C22)-SUM($D$4:D22))/SUM($C$4:C22), 0)</f>
        <v>0.21441334127456821</v>
      </c>
      <c r="G22" s="6">
        <f t="shared" si="1"/>
        <v>-2400</v>
      </c>
    </row>
    <row r="23" spans="1:7" x14ac:dyDescent="0.2">
      <c r="A23">
        <v>20</v>
      </c>
      <c r="B23" s="1">
        <v>45663</v>
      </c>
      <c r="C23" s="4">
        <v>2400</v>
      </c>
      <c r="D23" s="4">
        <v>5100</v>
      </c>
      <c r="E23" s="5">
        <f t="shared" si="0"/>
        <v>2.125</v>
      </c>
      <c r="F23" s="16">
        <f>IF(SUM($C$4:C23)-SUM($D$4:D23)&gt;0, (SUM($C$4:C23)-SUM($D$4:D23))/SUM($C$4:C23), 0)</f>
        <v>0.17718587145338738</v>
      </c>
      <c r="G23" s="6">
        <f t="shared" si="1"/>
        <v>2700</v>
      </c>
    </row>
    <row r="24" spans="1:7" x14ac:dyDescent="0.2">
      <c r="A24">
        <v>21</v>
      </c>
      <c r="B24" s="1">
        <v>45670</v>
      </c>
      <c r="C24" s="4">
        <v>1800</v>
      </c>
      <c r="D24" s="4">
        <v>1200</v>
      </c>
      <c r="E24" s="5">
        <f t="shared" si="0"/>
        <v>0.66666666666666663</v>
      </c>
      <c r="F24" s="16">
        <f>IF(SUM($C$4:C24)-SUM($D$4:D24)&gt;0, (SUM($C$4:C24)-SUM($D$4:D24))/SUM($C$4:C24), 0)</f>
        <v>0.18037436188315373</v>
      </c>
      <c r="G24" s="6">
        <f t="shared" si="1"/>
        <v>-600</v>
      </c>
    </row>
    <row r="25" spans="1:7" x14ac:dyDescent="0.2">
      <c r="A25">
        <v>22</v>
      </c>
      <c r="B25" s="1">
        <v>45677</v>
      </c>
      <c r="C25" s="4">
        <v>900</v>
      </c>
      <c r="D25" s="4">
        <v>1500</v>
      </c>
      <c r="E25" s="5">
        <f t="shared" si="0"/>
        <v>1.6666666666666667</v>
      </c>
      <c r="F25" s="16">
        <f>IF(SUM($C$4:C25)-SUM($D$4:D25)&gt;0, (SUM($C$4:C25)-SUM($D$4:D25))/SUM($C$4:C25), 0)</f>
        <v>0.17181358787198203</v>
      </c>
      <c r="G25" s="6">
        <f t="shared" si="1"/>
        <v>600</v>
      </c>
    </row>
    <row r="26" spans="1:7" x14ac:dyDescent="0.2">
      <c r="A26">
        <v>23</v>
      </c>
      <c r="B26" s="1">
        <v>45684</v>
      </c>
      <c r="C26" s="4">
        <v>600</v>
      </c>
      <c r="D26" s="4">
        <v>0</v>
      </c>
      <c r="E26" s="5">
        <f t="shared" si="0"/>
        <v>0</v>
      </c>
      <c r="F26" s="16">
        <f>IF(SUM($C$4:C26)-SUM($D$4:D26)&gt;0, (SUM($C$4:C26)-SUM($D$4:D26))/SUM($C$4:C26), 0)</f>
        <v>0.177356385945343</v>
      </c>
      <c r="G26" s="6">
        <f t="shared" si="1"/>
        <v>-600</v>
      </c>
    </row>
    <row r="27" spans="1:7" x14ac:dyDescent="0.2">
      <c r="A27">
        <v>24</v>
      </c>
      <c r="B27" s="1">
        <v>45691</v>
      </c>
      <c r="C27" s="4">
        <v>300</v>
      </c>
      <c r="D27" s="4">
        <v>300</v>
      </c>
      <c r="E27" s="5">
        <f t="shared" ref="E27:E32" si="2">D27/C27</f>
        <v>1</v>
      </c>
      <c r="F27" s="16">
        <f>IF(SUM($C$4:C27)-SUM($D$4:D27)&gt;0, (SUM($C$4:C27)-SUM($D$4:D27))/SUM($C$4:C27), 0)</f>
        <v>0.17676486937187327</v>
      </c>
      <c r="G27" s="6">
        <f t="shared" ref="G27:G32" si="3">D27-C27</f>
        <v>0</v>
      </c>
    </row>
    <row r="28" spans="1:7" x14ac:dyDescent="0.2">
      <c r="A28">
        <v>25</v>
      </c>
      <c r="B28" s="1">
        <v>45698</v>
      </c>
      <c r="C28" s="4">
        <v>300</v>
      </c>
      <c r="D28" s="4">
        <v>0</v>
      </c>
      <c r="E28" s="5">
        <f t="shared" si="2"/>
        <v>0</v>
      </c>
      <c r="F28" s="16">
        <f>IF(SUM($C$4:C28)-SUM($D$4:D28)&gt;0, (SUM($C$4:C28)-SUM($D$4:D28))/SUM($C$4:C28), 0)</f>
        <v>0.17950138504155125</v>
      </c>
      <c r="G28" s="6">
        <f t="shared" si="3"/>
        <v>-300</v>
      </c>
    </row>
    <row r="29" spans="1:7" x14ac:dyDescent="0.2">
      <c r="A29">
        <v>26</v>
      </c>
      <c r="B29" s="1">
        <v>45705</v>
      </c>
      <c r="C29" s="4">
        <v>0</v>
      </c>
      <c r="D29" s="4">
        <v>300</v>
      </c>
      <c r="E29" s="5" t="e">
        <f t="shared" si="2"/>
        <v>#DIV/0!</v>
      </c>
      <c r="F29" s="16">
        <f>IF(SUM($C$4:C29)-SUM($D$4:D29)&gt;0, (SUM($C$4:C29)-SUM($D$4:D29))/SUM($C$4:C29), 0)</f>
        <v>0.17617728531855956</v>
      </c>
      <c r="G29" s="6">
        <f t="shared" si="3"/>
        <v>300</v>
      </c>
    </row>
    <row r="30" spans="1:7" x14ac:dyDescent="0.2">
      <c r="A30">
        <v>27</v>
      </c>
      <c r="B30" s="1">
        <v>45712</v>
      </c>
      <c r="C30" s="4">
        <v>0</v>
      </c>
      <c r="D30" s="4">
        <v>0</v>
      </c>
      <c r="E30" s="5" t="e">
        <f t="shared" si="2"/>
        <v>#DIV/0!</v>
      </c>
      <c r="F30" s="16">
        <f>IF(SUM($C$4:C33)-SUM($D$4:D33)&gt;0, (SUM($C$4:C33)-SUM($D$4:D33))/SUM($C$4:C33), 0)</f>
        <v>0.17285318559556787</v>
      </c>
      <c r="G30" s="6">
        <f t="shared" si="3"/>
        <v>0</v>
      </c>
    </row>
    <row r="31" spans="1:7" x14ac:dyDescent="0.2">
      <c r="A31">
        <v>28</v>
      </c>
      <c r="B31" s="1">
        <v>45719</v>
      </c>
      <c r="C31" s="4">
        <v>0</v>
      </c>
      <c r="D31" s="4">
        <v>300</v>
      </c>
      <c r="E31" s="5" t="e">
        <f t="shared" si="2"/>
        <v>#DIV/0!</v>
      </c>
      <c r="F31" s="16">
        <f>IF(SUM($C$4:C33)-SUM($D$4:D33)&gt;0, (SUM($C$4:C33)-SUM($D$4:D33))/SUM($C$4:C33), 0)</f>
        <v>0.17285318559556787</v>
      </c>
      <c r="G31" s="4">
        <f t="shared" si="3"/>
        <v>300</v>
      </c>
    </row>
    <row r="32" spans="1:7" x14ac:dyDescent="0.2">
      <c r="A32">
        <v>29</v>
      </c>
      <c r="B32" s="1">
        <v>45726</v>
      </c>
      <c r="C32" s="4">
        <v>0</v>
      </c>
      <c r="D32" s="4">
        <v>0</v>
      </c>
      <c r="E32" s="5" t="e">
        <f t="shared" si="2"/>
        <v>#DIV/0!</v>
      </c>
      <c r="F32" s="16">
        <f>IF(SUM($C$4:C33)-SUM($D$4:D33)&gt;0, (SUM($C$4:C33)-SUM($D$4:D33))/SUM($C$4:C33), 0)</f>
        <v>0.17285318559556787</v>
      </c>
      <c r="G32" s="6">
        <f t="shared" si="3"/>
        <v>0</v>
      </c>
    </row>
    <row r="33" spans="1:7" x14ac:dyDescent="0.2">
      <c r="A33">
        <v>30</v>
      </c>
      <c r="B33" s="1">
        <v>45733</v>
      </c>
      <c r="C33" s="4">
        <v>0</v>
      </c>
      <c r="D33" s="4"/>
      <c r="E33" s="5" t="e">
        <f>D33/C33</f>
        <v>#DIV/0!</v>
      </c>
      <c r="F33" s="16">
        <f>IF(SUM($C$4:C33)-SUM($D$4:D33)&gt;0, (SUM($C$4:C33)-SUM($D$4:D33))/SUM($C$4:C33), 0)</f>
        <v>0.17285318559556787</v>
      </c>
      <c r="G33" s="63">
        <f>D33-C33</f>
        <v>0</v>
      </c>
    </row>
  </sheetData>
  <mergeCells count="2">
    <mergeCell ref="A1:A2"/>
    <mergeCell ref="B1:E2"/>
  </mergeCells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2F742-B12B-A442-9402-F44F5CBE30E6}">
  <dimension ref="A1:M32"/>
  <sheetViews>
    <sheetView zoomScaleNormal="140" workbookViewId="0">
      <selection activeCell="D33" sqref="D33"/>
    </sheetView>
  </sheetViews>
  <sheetFormatPr baseColWidth="10" defaultRowHeight="16" x14ac:dyDescent="0.2"/>
  <cols>
    <col min="3" max="3" width="11" bestFit="1" customWidth="1"/>
    <col min="4" max="4" width="11.5" bestFit="1" customWidth="1"/>
    <col min="5" max="5" width="23.5" customWidth="1"/>
    <col min="6" max="6" width="12.33203125" customWidth="1"/>
    <col min="7" max="7" width="20.5" customWidth="1"/>
    <col min="9" max="9" width="26.33203125" bestFit="1" customWidth="1"/>
    <col min="10" max="10" width="12.5" bestFit="1" customWidth="1"/>
    <col min="12" max="12" width="17.33203125" bestFit="1" customWidth="1"/>
  </cols>
  <sheetData>
    <row r="1" spans="1:13" x14ac:dyDescent="0.2">
      <c r="A1" s="58" t="s">
        <v>36</v>
      </c>
      <c r="B1" s="58" t="s">
        <v>43</v>
      </c>
      <c r="C1" s="58"/>
      <c r="D1" s="58"/>
      <c r="E1" s="58"/>
    </row>
    <row r="2" spans="1:13" x14ac:dyDescent="0.2">
      <c r="A2" s="58"/>
      <c r="B2" s="59"/>
      <c r="C2" s="59"/>
      <c r="D2" s="59"/>
      <c r="E2" s="59"/>
      <c r="I2" t="s">
        <v>43</v>
      </c>
    </row>
    <row r="3" spans="1:13" x14ac:dyDescent="0.2">
      <c r="A3" s="24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  <c r="I3" s="9" t="s">
        <v>39</v>
      </c>
      <c r="J3" s="16" cm="1">
        <f t="array" ref="J3">AVERAGE(IF(Table12[Cumplimiento de Meta %]&gt;=100%,1,0))</f>
        <v>0.65517241379310343</v>
      </c>
      <c r="L3" t="s">
        <v>41</v>
      </c>
      <c r="M3" s="18">
        <f>(COUNT(Table12[[#All],[Semana]])*7)/30</f>
        <v>6.7666666666666666</v>
      </c>
    </row>
    <row r="4" spans="1:13" x14ac:dyDescent="0.2">
      <c r="A4">
        <v>1</v>
      </c>
      <c r="B4" s="20">
        <v>45537</v>
      </c>
      <c r="C4" s="4">
        <v>600</v>
      </c>
      <c r="D4" s="4">
        <v>600</v>
      </c>
      <c r="E4" s="21">
        <f>D4/C4</f>
        <v>1</v>
      </c>
      <c r="F4" s="22">
        <f>IF(SUM($C$4:C4)-SUM($D$4:D4)&gt;0, (SUM($C$4:C4)-SUM($D$4:D4))/SUM($C$4:C4), 0)</f>
        <v>0</v>
      </c>
      <c r="G4" s="23">
        <f t="shared" ref="G4:G25" si="0">D4-C4</f>
        <v>0</v>
      </c>
      <c r="I4" s="4"/>
      <c r="J4" s="4"/>
    </row>
    <row r="5" spans="1:13" x14ac:dyDescent="0.2">
      <c r="A5">
        <v>2</v>
      </c>
      <c r="B5" s="20">
        <v>45544</v>
      </c>
      <c r="C5" s="4">
        <v>2000</v>
      </c>
      <c r="D5" s="4">
        <v>2000</v>
      </c>
      <c r="E5" s="21">
        <f t="shared" ref="E5:E25" si="1">D5/C5</f>
        <v>1</v>
      </c>
      <c r="F5" s="22">
        <f>IF(SUM($C$4:C5)-SUM($D$4:D5)&gt;0, (SUM($C$4:C5)-SUM($D$4:D5))/SUM($C$4:C5), 0)</f>
        <v>0</v>
      </c>
      <c r="G5" s="23">
        <f t="shared" si="0"/>
        <v>0</v>
      </c>
      <c r="I5" s="4" t="s">
        <v>21</v>
      </c>
      <c r="J5" s="4">
        <f>SUM(Table12[[#All],[Meta]])</f>
        <v>194300</v>
      </c>
    </row>
    <row r="6" spans="1:13" x14ac:dyDescent="0.2">
      <c r="A6">
        <v>3</v>
      </c>
      <c r="B6" s="20">
        <v>45551</v>
      </c>
      <c r="C6" s="4">
        <v>2500</v>
      </c>
      <c r="D6" s="4">
        <v>2500</v>
      </c>
      <c r="E6" s="21">
        <f t="shared" si="1"/>
        <v>1</v>
      </c>
      <c r="F6" s="22">
        <f>IF(SUM($C$4:C6)-SUM($D$4:D6)&gt;0, (SUM($C$4:C6)-SUM($D$4:D6))/SUM($C$4:C6), 0)</f>
        <v>0</v>
      </c>
      <c r="G6" s="23">
        <f t="shared" si="0"/>
        <v>0</v>
      </c>
      <c r="I6" s="4" t="s">
        <v>22</v>
      </c>
      <c r="J6" s="4">
        <f>SUM(Table12[[#All],[Cobranza]])</f>
        <v>188450</v>
      </c>
    </row>
    <row r="7" spans="1:13" x14ac:dyDescent="0.2">
      <c r="A7">
        <v>4</v>
      </c>
      <c r="B7" s="20">
        <v>45558</v>
      </c>
      <c r="C7" s="4">
        <v>3150</v>
      </c>
      <c r="D7" s="4">
        <v>3150</v>
      </c>
      <c r="E7" s="21">
        <f t="shared" si="1"/>
        <v>1</v>
      </c>
      <c r="F7" s="22">
        <f>IF(SUM($C$4:C7)-SUM($D$4:D7)&gt;0, (SUM($C$4:C7)-SUM($D$4:D7))/SUM($C$4:C7), 0)</f>
        <v>0</v>
      </c>
      <c r="G7" s="23">
        <f t="shared" si="0"/>
        <v>0</v>
      </c>
      <c r="I7" s="4" t="s">
        <v>23</v>
      </c>
      <c r="J7" s="4">
        <f>SUM(Table12[[#All],[Didiferencia Absoluta]])</f>
        <v>-5850</v>
      </c>
    </row>
    <row r="8" spans="1:13" x14ac:dyDescent="0.2">
      <c r="A8">
        <v>5</v>
      </c>
      <c r="B8" s="20">
        <v>45565</v>
      </c>
      <c r="C8" s="4">
        <v>3150</v>
      </c>
      <c r="D8" s="4">
        <v>3150</v>
      </c>
      <c r="E8" s="21">
        <f t="shared" si="1"/>
        <v>1</v>
      </c>
      <c r="F8" s="22">
        <f>IF(SUM($C$4:C8)-SUM($D$4:D8)&gt;0, (SUM($C$4:C8)-SUM($D$4:D8))/SUM($C$4:C8), 0)</f>
        <v>0</v>
      </c>
      <c r="G8" s="23">
        <f t="shared" si="0"/>
        <v>0</v>
      </c>
      <c r="I8" t="s">
        <v>24</v>
      </c>
      <c r="J8" s="16">
        <f>(J7/J5)*-1</f>
        <v>3.0108080288214101E-2</v>
      </c>
    </row>
    <row r="9" spans="1:13" x14ac:dyDescent="0.2">
      <c r="A9">
        <v>6</v>
      </c>
      <c r="B9" s="20">
        <v>45572</v>
      </c>
      <c r="C9" s="4">
        <v>3450</v>
      </c>
      <c r="D9" s="4">
        <v>3450</v>
      </c>
      <c r="E9" s="21">
        <f t="shared" si="1"/>
        <v>1</v>
      </c>
      <c r="F9" s="22">
        <f>IF(SUM($C$4:C9)-SUM($D$4:D9)&gt;0, (SUM($C$4:C9)-SUM($D$4:D9))/SUM($C$4:C9), 0)</f>
        <v>0</v>
      </c>
      <c r="G9" s="23">
        <f t="shared" si="0"/>
        <v>0</v>
      </c>
    </row>
    <row r="10" spans="1:13" x14ac:dyDescent="0.2">
      <c r="A10">
        <v>7</v>
      </c>
      <c r="B10" s="20">
        <v>45579</v>
      </c>
      <c r="C10" s="4">
        <v>4350</v>
      </c>
      <c r="D10" s="4">
        <v>4350</v>
      </c>
      <c r="E10" s="21">
        <f t="shared" si="1"/>
        <v>1</v>
      </c>
      <c r="F10" s="22">
        <f>IF(SUM($C$4:C10)-SUM($D$4:D10)&gt;0, (SUM($C$4:C10)-SUM($D$4:D10))/SUM($C$4:C10), 0)</f>
        <v>0</v>
      </c>
      <c r="G10" s="23">
        <f t="shared" si="0"/>
        <v>0</v>
      </c>
    </row>
    <row r="11" spans="1:13" x14ac:dyDescent="0.2">
      <c r="A11">
        <v>8</v>
      </c>
      <c r="B11" s="20">
        <v>45586</v>
      </c>
      <c r="C11" s="4">
        <v>5850</v>
      </c>
      <c r="D11" s="4">
        <v>6100</v>
      </c>
      <c r="E11" s="21">
        <f t="shared" si="1"/>
        <v>1.0427350427350428</v>
      </c>
      <c r="F11" s="22">
        <f>IF(SUM($C$4:C11)-SUM($D$4:D11)&gt;0, (SUM($C$4:C11)-SUM($D$4:D11))/SUM($C$4:C11), 0)</f>
        <v>0</v>
      </c>
      <c r="G11" s="23">
        <f t="shared" si="0"/>
        <v>250</v>
      </c>
    </row>
    <row r="12" spans="1:13" x14ac:dyDescent="0.2">
      <c r="A12">
        <v>9</v>
      </c>
      <c r="B12" s="20">
        <v>45593</v>
      </c>
      <c r="C12" s="4">
        <v>7350</v>
      </c>
      <c r="D12" s="4">
        <v>7100</v>
      </c>
      <c r="E12" s="21">
        <f t="shared" si="1"/>
        <v>0.96598639455782309</v>
      </c>
      <c r="F12" s="22">
        <f>IF(SUM($C$4:C12)-SUM($D$4:D12)&gt;0, (SUM($C$4:C12)-SUM($D$4:D12))/SUM($C$4:C12), 0)</f>
        <v>0</v>
      </c>
      <c r="G12" s="23">
        <f t="shared" si="0"/>
        <v>-250</v>
      </c>
    </row>
    <row r="13" spans="1:13" x14ac:dyDescent="0.2">
      <c r="A13">
        <v>10</v>
      </c>
      <c r="B13" s="20">
        <v>45600</v>
      </c>
      <c r="C13" s="4">
        <v>8550</v>
      </c>
      <c r="D13" s="4">
        <v>8550</v>
      </c>
      <c r="E13" s="21">
        <f t="shared" si="1"/>
        <v>1</v>
      </c>
      <c r="F13" s="22">
        <f>IF(SUM($C$4:C13)-SUM($D$4:D13)&gt;0, (SUM($C$4:C13)-SUM($D$4:D13))/SUM($C$4:C13), 0)</f>
        <v>0</v>
      </c>
      <c r="G13" s="23">
        <f t="shared" si="0"/>
        <v>0</v>
      </c>
    </row>
    <row r="14" spans="1:13" x14ac:dyDescent="0.2">
      <c r="A14">
        <v>11</v>
      </c>
      <c r="B14" s="20">
        <v>45607</v>
      </c>
      <c r="C14" s="4">
        <v>8600</v>
      </c>
      <c r="D14" s="4">
        <v>8600</v>
      </c>
      <c r="E14" s="21">
        <f t="shared" si="1"/>
        <v>1</v>
      </c>
      <c r="F14" s="22">
        <f>IF(SUM($C$4:C14)-SUM($D$4:D14)&gt;0, (SUM($C$4:C14)-SUM($D$4:D14))/SUM($C$4:C14), 0)</f>
        <v>0</v>
      </c>
      <c r="G14" s="23">
        <f t="shared" si="0"/>
        <v>0</v>
      </c>
    </row>
    <row r="15" spans="1:13" x14ac:dyDescent="0.2">
      <c r="A15">
        <v>12</v>
      </c>
      <c r="B15" s="20">
        <v>45614</v>
      </c>
      <c r="C15" s="4">
        <v>8600</v>
      </c>
      <c r="D15" s="4">
        <v>6150</v>
      </c>
      <c r="E15" s="21">
        <f t="shared" si="1"/>
        <v>0.71511627906976749</v>
      </c>
      <c r="F15" s="22">
        <f>IF(SUM($C$4:C15)-SUM($D$4:D15)&gt;0, (SUM($C$4:C15)-SUM($D$4:D15))/SUM($C$4:C15), 0)</f>
        <v>4.2132416165090281E-2</v>
      </c>
      <c r="G15" s="23">
        <f t="shared" si="0"/>
        <v>-2450</v>
      </c>
    </row>
    <row r="16" spans="1:13" x14ac:dyDescent="0.2">
      <c r="A16">
        <v>13</v>
      </c>
      <c r="B16" s="20">
        <v>45621</v>
      </c>
      <c r="C16" s="4">
        <v>8750</v>
      </c>
      <c r="D16" s="4">
        <v>11200</v>
      </c>
      <c r="E16" s="21">
        <f t="shared" si="1"/>
        <v>1.28</v>
      </c>
      <c r="F16" s="22">
        <f>IF(SUM($C$4:C16)-SUM($D$4:D16)&gt;0, (SUM($C$4:C16)-SUM($D$4:D16))/SUM($C$4:C16), 0)</f>
        <v>0</v>
      </c>
      <c r="G16" s="23">
        <f t="shared" si="0"/>
        <v>2450</v>
      </c>
    </row>
    <row r="17" spans="1:7" x14ac:dyDescent="0.2">
      <c r="A17">
        <v>14</v>
      </c>
      <c r="B17" s="20">
        <v>45628</v>
      </c>
      <c r="C17" s="4">
        <v>8950</v>
      </c>
      <c r="D17" s="4">
        <v>8950</v>
      </c>
      <c r="E17" s="21">
        <f t="shared" si="1"/>
        <v>1</v>
      </c>
      <c r="F17" s="22">
        <f>IF(SUM($C$4:C17)-SUM($D$4:D17)&gt;0, (SUM($C$4:C17)-SUM($D$4:D17))/SUM($C$4:C17), 0)</f>
        <v>0</v>
      </c>
      <c r="G17" s="23">
        <f t="shared" si="0"/>
        <v>0</v>
      </c>
    </row>
    <row r="18" spans="1:7" x14ac:dyDescent="0.2">
      <c r="A18">
        <v>15</v>
      </c>
      <c r="B18" s="20">
        <v>45635</v>
      </c>
      <c r="C18" s="4">
        <v>8950</v>
      </c>
      <c r="D18" s="4">
        <v>8950</v>
      </c>
      <c r="E18" s="21">
        <f t="shared" si="1"/>
        <v>1</v>
      </c>
      <c r="F18" s="22">
        <f>IF(SUM($C$4:C18)-SUM($D$4:D18)&gt;0, (SUM($C$4:C18)-SUM($D$4:D18))/SUM($C$4:C18), 0)</f>
        <v>0</v>
      </c>
      <c r="G18" s="23">
        <f t="shared" si="0"/>
        <v>0</v>
      </c>
    </row>
    <row r="19" spans="1:7" x14ac:dyDescent="0.2">
      <c r="A19">
        <v>16</v>
      </c>
      <c r="B19" s="20">
        <v>45642</v>
      </c>
      <c r="C19" s="4">
        <v>8450</v>
      </c>
      <c r="D19" s="4">
        <v>8250</v>
      </c>
      <c r="E19" s="21">
        <f t="shared" si="1"/>
        <v>0.97633136094674555</v>
      </c>
      <c r="F19" s="22">
        <f>IF(SUM($C$4:C19)-SUM($D$4:D19)&gt;0, (SUM($C$4:C19)-SUM($D$4:D19))/SUM($C$4:C19), 0)</f>
        <v>2.1447721179624667E-3</v>
      </c>
      <c r="G19" s="23">
        <f t="shared" si="0"/>
        <v>-200</v>
      </c>
    </row>
    <row r="20" spans="1:7" x14ac:dyDescent="0.2">
      <c r="A20">
        <v>17</v>
      </c>
      <c r="B20" s="20">
        <v>45649</v>
      </c>
      <c r="C20" s="4">
        <v>7850</v>
      </c>
      <c r="D20" s="4">
        <v>8500</v>
      </c>
      <c r="E20" s="21">
        <f t="shared" si="1"/>
        <v>1.0828025477707006</v>
      </c>
      <c r="F20" s="22">
        <f>IF(SUM($C$4:C20)-SUM($D$4:D20)&gt;0, (SUM($C$4:C20)-SUM($D$4:D20))/SUM($C$4:C20), 0)</f>
        <v>0</v>
      </c>
      <c r="G20" s="23">
        <f t="shared" si="0"/>
        <v>650</v>
      </c>
    </row>
    <row r="21" spans="1:7" x14ac:dyDescent="0.2">
      <c r="A21">
        <v>18</v>
      </c>
      <c r="B21" s="20">
        <v>45656</v>
      </c>
      <c r="C21" s="4">
        <v>8900</v>
      </c>
      <c r="D21" s="4">
        <v>8950</v>
      </c>
      <c r="E21" s="21">
        <f t="shared" si="1"/>
        <v>1.0056179775280898</v>
      </c>
      <c r="F21" s="22">
        <f>IF(SUM($C$4:C21)-SUM($D$4:D21)&gt;0, (SUM($C$4:C21)-SUM($D$4:D21))/SUM($C$4:C21), 0)</f>
        <v>0</v>
      </c>
      <c r="G21" s="23">
        <f t="shared" si="0"/>
        <v>50</v>
      </c>
    </row>
    <row r="22" spans="1:7" x14ac:dyDescent="0.2">
      <c r="A22">
        <v>19</v>
      </c>
      <c r="B22" s="20">
        <v>45663</v>
      </c>
      <c r="C22" s="4">
        <v>9300</v>
      </c>
      <c r="D22" s="4">
        <v>11450</v>
      </c>
      <c r="E22" s="21">
        <f t="shared" si="1"/>
        <v>1.2311827956989247</v>
      </c>
      <c r="F22" s="22">
        <f>IF(SUM($C$4:C22)-SUM($D$4:D22)&gt;0, (SUM($C$4:C22)-SUM($D$4:D22))/SUM($C$4:C22), 0)</f>
        <v>0</v>
      </c>
      <c r="G22" s="23">
        <f t="shared" si="0"/>
        <v>2150</v>
      </c>
    </row>
    <row r="23" spans="1:7" x14ac:dyDescent="0.2">
      <c r="A23">
        <v>20</v>
      </c>
      <c r="B23" s="20">
        <v>45670</v>
      </c>
      <c r="C23" s="4">
        <v>9100</v>
      </c>
      <c r="D23" s="4">
        <v>6400</v>
      </c>
      <c r="E23" s="21">
        <f t="shared" si="1"/>
        <v>0.70329670329670335</v>
      </c>
      <c r="F23" s="22">
        <f>IF(SUM($C$4:C23)-SUM($D$4:D23)&gt;0, (SUM($C$4:C23)-SUM($D$4:D23))/SUM($C$4:C23), 0)</f>
        <v>3.8940809968847351E-4</v>
      </c>
      <c r="G23" s="23">
        <f t="shared" si="0"/>
        <v>-2700</v>
      </c>
    </row>
    <row r="24" spans="1:7" x14ac:dyDescent="0.2">
      <c r="A24">
        <v>21</v>
      </c>
      <c r="B24" s="20">
        <v>45677</v>
      </c>
      <c r="C24" s="4">
        <v>8850</v>
      </c>
      <c r="D24" s="4">
        <v>7900</v>
      </c>
      <c r="E24" s="21">
        <f t="shared" si="1"/>
        <v>0.89265536723163841</v>
      </c>
      <c r="F24" s="22">
        <f>IF(SUM($C$4:C24)-SUM($D$4:D24)&gt;0, (SUM($C$4:C24)-SUM($D$4:D24))/SUM($C$4:C24), 0)</f>
        <v>7.2859744990892532E-3</v>
      </c>
      <c r="G24" s="23">
        <f t="shared" si="0"/>
        <v>-950</v>
      </c>
    </row>
    <row r="25" spans="1:7" x14ac:dyDescent="0.2">
      <c r="A25">
        <v>22</v>
      </c>
      <c r="B25" s="20">
        <v>45684</v>
      </c>
      <c r="C25" s="4">
        <v>8350</v>
      </c>
      <c r="D25" s="4">
        <v>8400</v>
      </c>
      <c r="E25" s="21">
        <f t="shared" si="1"/>
        <v>1.0059880239520957</v>
      </c>
      <c r="F25" s="22">
        <f>IF(SUM($C$4:C25)-SUM($D$4:D25)&gt;0, (SUM($C$4:C25)-SUM($D$4:D25))/SUM($C$4:C25), 0)</f>
        <v>6.524725274725275E-3</v>
      </c>
      <c r="G25" s="23">
        <f t="shared" si="0"/>
        <v>50</v>
      </c>
    </row>
    <row r="26" spans="1:7" x14ac:dyDescent="0.2">
      <c r="A26">
        <v>23</v>
      </c>
      <c r="B26" s="20">
        <v>45691</v>
      </c>
      <c r="C26" s="4">
        <v>8050</v>
      </c>
      <c r="D26" s="4">
        <v>6300</v>
      </c>
      <c r="E26" s="21">
        <f t="shared" ref="E26:E31" si="2">D26/C26</f>
        <v>0.78260869565217395</v>
      </c>
      <c r="F26" s="22">
        <f>IF(SUM($C$4:C26)-SUM($D$4:D26)&gt;0, (SUM($C$4:C26)-SUM($D$4:D26))/SUM($C$4:C26), 0)</f>
        <v>1.7572404816140579E-2</v>
      </c>
      <c r="G26" s="23">
        <f t="shared" ref="G26:G31" si="3">D26-C26</f>
        <v>-1750</v>
      </c>
    </row>
    <row r="27" spans="1:7" x14ac:dyDescent="0.2">
      <c r="A27">
        <v>24</v>
      </c>
      <c r="B27" s="20">
        <v>45698</v>
      </c>
      <c r="C27" s="4">
        <v>7500</v>
      </c>
      <c r="D27" s="4">
        <v>5400</v>
      </c>
      <c r="E27" s="21">
        <f t="shared" si="2"/>
        <v>0.72</v>
      </c>
      <c r="F27" s="22">
        <f>IF(SUM($C$4:C27)-SUM($D$4:D27)&gt;0, (SUM($C$4:C27)-SUM($D$4:D27))/SUM($C$4:C27), 0)</f>
        <v>2.9785913744958113E-2</v>
      </c>
      <c r="G27" s="23">
        <f t="shared" si="3"/>
        <v>-2100</v>
      </c>
    </row>
    <row r="28" spans="1:7" x14ac:dyDescent="0.2">
      <c r="A28">
        <v>25</v>
      </c>
      <c r="B28" s="20">
        <v>45705</v>
      </c>
      <c r="C28" s="4">
        <v>7900</v>
      </c>
      <c r="D28" s="4">
        <v>6400</v>
      </c>
      <c r="E28" s="21">
        <f t="shared" si="2"/>
        <v>0.810126582278481</v>
      </c>
      <c r="F28" s="22">
        <f>IF(SUM($C$4:C28)-SUM($D$4:D28)&gt;0, (SUM($C$4:C28)-SUM($D$4:D28))/SUM($C$4:C28), 0)</f>
        <v>3.7267080745341616E-2</v>
      </c>
      <c r="G28" s="23">
        <f t="shared" si="3"/>
        <v>-1500</v>
      </c>
    </row>
    <row r="29" spans="1:7" x14ac:dyDescent="0.2">
      <c r="A29">
        <v>26</v>
      </c>
      <c r="B29" s="20">
        <v>45712</v>
      </c>
      <c r="C29" s="4">
        <v>7600</v>
      </c>
      <c r="D29" s="4">
        <v>14200</v>
      </c>
      <c r="E29" s="21">
        <f t="shared" si="2"/>
        <v>1.868421052631579</v>
      </c>
      <c r="F29" s="22">
        <f>IF(SUM($C$4:C32)-SUM($D$4:D32)&gt;0, (SUM($C$4:C32)-SUM($D$4:D32))/SUM($C$4:C32), 0)</f>
        <v>3.0108080288214101E-2</v>
      </c>
      <c r="G29" s="23">
        <f t="shared" si="3"/>
        <v>6600</v>
      </c>
    </row>
    <row r="30" spans="1:7" x14ac:dyDescent="0.2">
      <c r="A30">
        <v>27</v>
      </c>
      <c r="B30" s="20">
        <v>45719</v>
      </c>
      <c r="C30" s="4">
        <v>5850</v>
      </c>
      <c r="D30" s="4">
        <v>6000</v>
      </c>
      <c r="E30" s="21">
        <f t="shared" si="2"/>
        <v>1.0256410256410255</v>
      </c>
      <c r="F30" s="22">
        <f>IF(SUM($C$4:C32)-SUM($D$4:D32)&gt;0, (SUM($C$4:C32)-SUM($D$4:D32))/SUM($C$4:C32), 0)</f>
        <v>3.0108080288214101E-2</v>
      </c>
      <c r="G30" s="23">
        <f t="shared" si="3"/>
        <v>150</v>
      </c>
    </row>
    <row r="31" spans="1:7" x14ac:dyDescent="0.2">
      <c r="A31">
        <v>28</v>
      </c>
      <c r="B31" s="20">
        <v>45726</v>
      </c>
      <c r="C31" s="4">
        <v>5850</v>
      </c>
      <c r="D31" s="4">
        <v>5500</v>
      </c>
      <c r="E31" s="21">
        <f t="shared" si="2"/>
        <v>0.94017094017094016</v>
      </c>
      <c r="F31" s="22">
        <f>IF(SUM($C$4:C32)-SUM($D$4:D32)&gt;0, (SUM($C$4:C32)-SUM($D$4:D32))/SUM($C$4:C32), 0)</f>
        <v>3.0108080288214101E-2</v>
      </c>
      <c r="G31" s="23">
        <f t="shared" si="3"/>
        <v>-350</v>
      </c>
    </row>
    <row r="32" spans="1:7" x14ac:dyDescent="0.2">
      <c r="A32">
        <v>29</v>
      </c>
      <c r="B32" s="20">
        <v>45733</v>
      </c>
      <c r="C32" s="4">
        <v>5950</v>
      </c>
      <c r="D32" s="4"/>
      <c r="E32" s="64">
        <f>D32/C32</f>
        <v>0</v>
      </c>
      <c r="F32" s="22">
        <f>IF(SUM($C$4:C32)-SUM($D$4:D32)&gt;0, (SUM($C$4:C32)-SUM($D$4:D32))/SUM($C$4:C32), 0)</f>
        <v>3.0108080288214101E-2</v>
      </c>
      <c r="G32" s="65">
        <f>D32-C32</f>
        <v>-5950</v>
      </c>
    </row>
  </sheetData>
  <mergeCells count="2">
    <mergeCell ref="A1:A2"/>
    <mergeCell ref="B1:E2"/>
  </mergeCells>
  <pageMargins left="0.7" right="0.7" top="0.75" bottom="0.75" header="0.3" footer="0.3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57AD0-457D-EA4E-B7D3-7869E34B217C}">
  <dimension ref="A1:M31"/>
  <sheetViews>
    <sheetView workbookViewId="0">
      <selection activeCell="D32" sqref="D32"/>
    </sheetView>
  </sheetViews>
  <sheetFormatPr baseColWidth="10" defaultRowHeight="16" x14ac:dyDescent="0.2"/>
  <cols>
    <col min="4" max="4" width="11.33203125" customWidth="1"/>
    <col min="5" max="5" width="24" customWidth="1"/>
    <col min="6" max="6" width="13" customWidth="1"/>
    <col min="7" max="7" width="21.33203125" customWidth="1"/>
    <col min="9" max="9" width="26.1640625" bestFit="1" customWidth="1"/>
    <col min="10" max="10" width="12.5" bestFit="1" customWidth="1"/>
    <col min="12" max="12" width="17.33203125" bestFit="1" customWidth="1"/>
  </cols>
  <sheetData>
    <row r="1" spans="1:13" ht="16" customHeight="1" x14ac:dyDescent="0.2">
      <c r="A1" s="55" t="s">
        <v>44</v>
      </c>
      <c r="B1" s="58" t="s">
        <v>48</v>
      </c>
      <c r="C1" s="58"/>
      <c r="D1" s="58"/>
      <c r="E1" s="58"/>
    </row>
    <row r="2" spans="1:13" ht="16" customHeight="1" x14ac:dyDescent="0.2">
      <c r="A2" s="55"/>
      <c r="B2" s="59"/>
      <c r="C2" s="59"/>
      <c r="D2" s="59"/>
      <c r="E2" s="59"/>
      <c r="I2" t="s">
        <v>48</v>
      </c>
    </row>
    <row r="3" spans="1:13" x14ac:dyDescent="0.2">
      <c r="A3" s="24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  <c r="I3" s="9" t="s">
        <v>39</v>
      </c>
      <c r="J3" s="16" cm="1">
        <f t="array" ref="J3">AVERAGE(IF(Table13[Cumplimiento de Meta %]&gt;=100%,1,0))</f>
        <v>0.5357142857142857</v>
      </c>
      <c r="L3" t="s">
        <v>41</v>
      </c>
      <c r="M3" s="18">
        <f>(COUNT(Table13[[#All],[Semana]])*7)/30</f>
        <v>6.5333333333333332</v>
      </c>
    </row>
    <row r="4" spans="1:13" x14ac:dyDescent="0.2">
      <c r="A4">
        <v>1</v>
      </c>
      <c r="B4" s="20">
        <v>45544</v>
      </c>
      <c r="C4" s="4">
        <v>200</v>
      </c>
      <c r="D4" s="4">
        <v>200</v>
      </c>
      <c r="E4" s="21">
        <f>D4/C4</f>
        <v>1</v>
      </c>
      <c r="F4" s="22">
        <f>IF(SUM($C$4:C4)-SUM($D$4:D4)&gt;0, (SUM($C$4:C4)-SUM($D$4:D4))/SUM($C$4:C4), 0)</f>
        <v>0</v>
      </c>
      <c r="G4" s="23">
        <f t="shared" ref="G4" si="0">D4-C4</f>
        <v>0</v>
      </c>
      <c r="I4" s="4"/>
      <c r="J4" s="4"/>
    </row>
    <row r="5" spans="1:13" x14ac:dyDescent="0.2">
      <c r="A5">
        <v>2</v>
      </c>
      <c r="B5" s="20">
        <v>45551</v>
      </c>
      <c r="C5" s="4">
        <v>200</v>
      </c>
      <c r="D5" s="4">
        <v>200</v>
      </c>
      <c r="E5" s="21">
        <f t="shared" ref="E5:E24" si="1">D5/C5</f>
        <v>1</v>
      </c>
      <c r="F5" s="22">
        <f>IF(SUM($C$4:C5)-SUM($D$4:D5)&gt;0, (SUM($C$4:C5)-SUM($D$4:D5))/SUM($C$4:C5), 0)</f>
        <v>0</v>
      </c>
      <c r="G5" s="23">
        <f t="shared" ref="G5:G24" si="2">D5-C5</f>
        <v>0</v>
      </c>
      <c r="I5" s="4" t="s">
        <v>21</v>
      </c>
      <c r="J5" s="4">
        <f>SUM(Table13[[#All],[Meta]])</f>
        <v>28890</v>
      </c>
    </row>
    <row r="6" spans="1:13" x14ac:dyDescent="0.2">
      <c r="A6">
        <v>3</v>
      </c>
      <c r="B6" s="20">
        <v>45558</v>
      </c>
      <c r="C6" s="4">
        <v>700</v>
      </c>
      <c r="D6" s="4">
        <v>700</v>
      </c>
      <c r="E6" s="21">
        <f t="shared" si="1"/>
        <v>1</v>
      </c>
      <c r="F6" s="22">
        <f>IF(SUM($C$4:C6)-SUM($D$4:D6)&gt;0, (SUM($C$4:C6)-SUM($D$4:D6))/SUM($C$4:C6), 0)</f>
        <v>0</v>
      </c>
      <c r="G6" s="23">
        <f t="shared" si="2"/>
        <v>0</v>
      </c>
      <c r="I6" s="4" t="s">
        <v>22</v>
      </c>
      <c r="J6" s="4">
        <f>SUM(Table13[[#All],[Cobranza]])</f>
        <v>17150</v>
      </c>
    </row>
    <row r="7" spans="1:13" x14ac:dyDescent="0.2">
      <c r="A7">
        <v>4</v>
      </c>
      <c r="B7" s="20">
        <v>45565</v>
      </c>
      <c r="C7" s="4">
        <v>700</v>
      </c>
      <c r="D7" s="4">
        <v>700</v>
      </c>
      <c r="E7" s="21">
        <f t="shared" si="1"/>
        <v>1</v>
      </c>
      <c r="F7" s="22">
        <f>IF(SUM($C$4:C7)-SUM($D$4:D7)&gt;0, (SUM($C$4:C7)-SUM($D$4:D7))/SUM($C$4:C7), 0)</f>
        <v>0</v>
      </c>
      <c r="G7" s="23">
        <f t="shared" si="2"/>
        <v>0</v>
      </c>
      <c r="I7" s="4" t="s">
        <v>23</v>
      </c>
      <c r="J7" s="4">
        <f>SUM(Table13[[#All],[Didiferencia Absoluta]])</f>
        <v>-11740</v>
      </c>
    </row>
    <row r="8" spans="1:13" x14ac:dyDescent="0.2">
      <c r="A8">
        <v>5</v>
      </c>
      <c r="B8" s="20">
        <v>45572</v>
      </c>
      <c r="C8" s="4">
        <v>700</v>
      </c>
      <c r="D8" s="4">
        <v>700</v>
      </c>
      <c r="E8" s="21">
        <f t="shared" si="1"/>
        <v>1</v>
      </c>
      <c r="F8" s="22">
        <f>IF(SUM($C$4:C8)-SUM($D$4:D8)&gt;0, (SUM($C$4:C8)-SUM($D$4:D8))/SUM($C$4:C8), 0)</f>
        <v>0</v>
      </c>
      <c r="G8" s="23">
        <f t="shared" si="2"/>
        <v>0</v>
      </c>
      <c r="I8" t="s">
        <v>24</v>
      </c>
      <c r="J8" s="16">
        <f>(J7/J5)*-1</f>
        <v>0.40636898580823816</v>
      </c>
    </row>
    <row r="9" spans="1:13" x14ac:dyDescent="0.2">
      <c r="A9">
        <v>6</v>
      </c>
      <c r="B9" s="20">
        <v>45579</v>
      </c>
      <c r="C9" s="4">
        <v>700</v>
      </c>
      <c r="D9" s="4">
        <v>700</v>
      </c>
      <c r="E9" s="21">
        <f t="shared" si="1"/>
        <v>1</v>
      </c>
      <c r="F9" s="22">
        <f>IF(SUM($C$4:C9)-SUM($D$4:D9)&gt;0, (SUM($C$4:C9)-SUM($D$4:D9))/SUM($C$4:C9), 0)</f>
        <v>0</v>
      </c>
      <c r="G9" s="23">
        <f t="shared" si="2"/>
        <v>0</v>
      </c>
    </row>
    <row r="10" spans="1:13" x14ac:dyDescent="0.2">
      <c r="A10">
        <v>7</v>
      </c>
      <c r="B10" s="20">
        <v>45586</v>
      </c>
      <c r="C10" s="4">
        <v>1000</v>
      </c>
      <c r="D10" s="4">
        <v>1000</v>
      </c>
      <c r="E10" s="21">
        <f t="shared" si="1"/>
        <v>1</v>
      </c>
      <c r="F10" s="22">
        <f>IF(SUM($C$4:C10)-SUM($D$4:D10)&gt;0, (SUM($C$4:C10)-SUM($D$4:D10))/SUM($C$4:C10), 0)</f>
        <v>0</v>
      </c>
      <c r="G10" s="23">
        <f t="shared" si="2"/>
        <v>0</v>
      </c>
    </row>
    <row r="11" spans="1:13" x14ac:dyDescent="0.2">
      <c r="A11">
        <v>8</v>
      </c>
      <c r="B11" s="20">
        <v>45593</v>
      </c>
      <c r="C11" s="4">
        <v>1000</v>
      </c>
      <c r="D11" s="4">
        <v>1000</v>
      </c>
      <c r="E11" s="21">
        <f t="shared" si="1"/>
        <v>1</v>
      </c>
      <c r="F11" s="22">
        <f>IF(SUM($C$4:C11)-SUM($D$4:D11)&gt;0, (SUM($C$4:C11)-SUM($D$4:D11))/SUM($C$4:C11), 0)</f>
        <v>0</v>
      </c>
      <c r="G11" s="23">
        <f t="shared" si="2"/>
        <v>0</v>
      </c>
    </row>
    <row r="12" spans="1:13" x14ac:dyDescent="0.2">
      <c r="A12">
        <v>9</v>
      </c>
      <c r="B12" s="20">
        <v>45600</v>
      </c>
      <c r="C12" s="4">
        <v>1000</v>
      </c>
      <c r="D12" s="4">
        <v>1000</v>
      </c>
      <c r="E12" s="21">
        <f t="shared" si="1"/>
        <v>1</v>
      </c>
      <c r="F12" s="22">
        <f>IF(SUM($C$4:C12)-SUM($D$4:D12)&gt;0, (SUM($C$4:C12)-SUM($D$4:D12))/SUM($C$4:C12), 0)</f>
        <v>0</v>
      </c>
      <c r="G12" s="23">
        <f t="shared" si="2"/>
        <v>0</v>
      </c>
    </row>
    <row r="13" spans="1:13" x14ac:dyDescent="0.2">
      <c r="A13">
        <v>10</v>
      </c>
      <c r="B13" s="20">
        <v>45607</v>
      </c>
      <c r="C13" s="4">
        <v>1000</v>
      </c>
      <c r="D13" s="4">
        <v>1000</v>
      </c>
      <c r="E13" s="21">
        <f t="shared" si="1"/>
        <v>1</v>
      </c>
      <c r="F13" s="22">
        <f>IF(SUM($C$4:C13)-SUM($D$4:D13)&gt;0, (SUM($C$4:C13)-SUM($D$4:D13))/SUM($C$4:C13), 0)</f>
        <v>0</v>
      </c>
      <c r="G13" s="23">
        <f t="shared" si="2"/>
        <v>0</v>
      </c>
    </row>
    <row r="14" spans="1:13" x14ac:dyDescent="0.2">
      <c r="A14">
        <v>11</v>
      </c>
      <c r="B14" s="20">
        <v>45614</v>
      </c>
      <c r="C14" s="4">
        <v>1000</v>
      </c>
      <c r="D14" s="4">
        <v>1000</v>
      </c>
      <c r="E14" s="21">
        <f t="shared" si="1"/>
        <v>1</v>
      </c>
      <c r="F14" s="22">
        <f>IF(SUM($C$4:C14)-SUM($D$4:D14)&gt;0, (SUM($C$4:C14)-SUM($D$4:D14))/SUM($C$4:C14), 0)</f>
        <v>0</v>
      </c>
      <c r="G14" s="23">
        <f t="shared" si="2"/>
        <v>0</v>
      </c>
    </row>
    <row r="15" spans="1:13" x14ac:dyDescent="0.2">
      <c r="A15">
        <v>12</v>
      </c>
      <c r="B15" s="20">
        <v>45621</v>
      </c>
      <c r="C15" s="4">
        <v>1000</v>
      </c>
      <c r="D15" s="4">
        <v>1000</v>
      </c>
      <c r="E15" s="21">
        <f t="shared" si="1"/>
        <v>1</v>
      </c>
      <c r="F15" s="22">
        <f>IF(SUM($C$4:C15)-SUM($D$4:D15)&gt;0, (SUM($C$4:C15)-SUM($D$4:D15))/SUM($C$4:C15), 0)</f>
        <v>0</v>
      </c>
      <c r="G15" s="23">
        <f t="shared" si="2"/>
        <v>0</v>
      </c>
    </row>
    <row r="16" spans="1:13" x14ac:dyDescent="0.2">
      <c r="A16">
        <v>13</v>
      </c>
      <c r="B16" s="20">
        <v>45628</v>
      </c>
      <c r="C16" s="4">
        <v>1100</v>
      </c>
      <c r="D16" s="4">
        <v>1100</v>
      </c>
      <c r="E16" s="21">
        <f t="shared" si="1"/>
        <v>1</v>
      </c>
      <c r="F16" s="22">
        <f>IF(SUM($C$4:C16)-SUM($D$4:D16)&gt;0, (SUM($C$4:C16)-SUM($D$4:D16))/SUM($C$4:C16), 0)</f>
        <v>0</v>
      </c>
      <c r="G16" s="23">
        <f t="shared" si="2"/>
        <v>0</v>
      </c>
    </row>
    <row r="17" spans="1:7" x14ac:dyDescent="0.2">
      <c r="A17">
        <v>14</v>
      </c>
      <c r="B17" s="20">
        <v>45635</v>
      </c>
      <c r="C17" s="4">
        <v>900</v>
      </c>
      <c r="D17" s="4">
        <v>1400</v>
      </c>
      <c r="E17" s="21">
        <f t="shared" si="1"/>
        <v>1.5555555555555556</v>
      </c>
      <c r="F17" s="22">
        <f>IF(SUM($C$4:C17)-SUM($D$4:D17)&gt;0, (SUM($C$4:C17)-SUM($D$4:D17))/SUM($C$4:C17), 0)</f>
        <v>0</v>
      </c>
      <c r="G17" s="23">
        <f t="shared" si="2"/>
        <v>500</v>
      </c>
    </row>
    <row r="18" spans="1:7" x14ac:dyDescent="0.2">
      <c r="A18">
        <v>15</v>
      </c>
      <c r="B18" s="20">
        <v>45642</v>
      </c>
      <c r="C18" s="4">
        <v>1350</v>
      </c>
      <c r="D18" s="4">
        <v>950</v>
      </c>
      <c r="E18" s="21">
        <f t="shared" si="1"/>
        <v>0.70370370370370372</v>
      </c>
      <c r="F18" s="22">
        <f>IF(SUM($C$4:C18)-SUM($D$4:D18)&gt;0, (SUM($C$4:C18)-SUM($D$4:D18))/SUM($C$4:C18), 0)</f>
        <v>0</v>
      </c>
      <c r="G18" s="23">
        <f t="shared" si="2"/>
        <v>-400</v>
      </c>
    </row>
    <row r="19" spans="1:7" x14ac:dyDescent="0.2">
      <c r="A19">
        <v>16</v>
      </c>
      <c r="B19" s="20">
        <v>45649</v>
      </c>
      <c r="C19" s="4">
        <v>1450</v>
      </c>
      <c r="D19" s="4">
        <v>1750</v>
      </c>
      <c r="E19" s="21">
        <f t="shared" si="1"/>
        <v>1.2068965517241379</v>
      </c>
      <c r="F19" s="22">
        <f>IF(SUM($C$4:C19)-SUM($D$4:D19)&gt;0, (SUM($C$4:C19)-SUM($D$4:D19))/SUM($C$4:C19), 0)</f>
        <v>0</v>
      </c>
      <c r="G19" s="23">
        <f t="shared" si="2"/>
        <v>300</v>
      </c>
    </row>
    <row r="20" spans="1:7" x14ac:dyDescent="0.2">
      <c r="A20">
        <v>17</v>
      </c>
      <c r="B20" s="20">
        <v>45656</v>
      </c>
      <c r="C20" s="4">
        <v>1450</v>
      </c>
      <c r="D20" s="4">
        <v>300</v>
      </c>
      <c r="E20" s="21">
        <f t="shared" si="1"/>
        <v>0.20689655172413793</v>
      </c>
      <c r="F20" s="22">
        <f>IF(SUM($C$4:C20)-SUM($D$4:D20)&gt;0, (SUM($C$4:C20)-SUM($D$4:D20))/SUM($C$4:C20), 0)</f>
        <v>4.8543689320388349E-2</v>
      </c>
      <c r="G20" s="23">
        <f t="shared" si="2"/>
        <v>-1150</v>
      </c>
    </row>
    <row r="21" spans="1:7" x14ac:dyDescent="0.2">
      <c r="A21">
        <v>18</v>
      </c>
      <c r="B21" s="20">
        <v>45663</v>
      </c>
      <c r="C21" s="4">
        <v>1450</v>
      </c>
      <c r="D21" s="4">
        <v>200</v>
      </c>
      <c r="E21" s="21">
        <f t="shared" si="1"/>
        <v>0.13793103448275862</v>
      </c>
      <c r="F21" s="22">
        <f>IF(SUM($C$4:C21)-SUM($D$4:D21)&gt;0, (SUM($C$4:C21)-SUM($D$4:D21))/SUM($C$4:C21), 0)</f>
        <v>0.11834319526627218</v>
      </c>
      <c r="G21" s="23">
        <f t="shared" si="2"/>
        <v>-1250</v>
      </c>
    </row>
    <row r="22" spans="1:7" x14ac:dyDescent="0.2">
      <c r="A22">
        <v>19</v>
      </c>
      <c r="B22" s="20">
        <v>45670</v>
      </c>
      <c r="C22" s="4">
        <v>1450</v>
      </c>
      <c r="D22" s="4">
        <v>600</v>
      </c>
      <c r="E22" s="21">
        <f t="shared" si="1"/>
        <v>0.41379310344827586</v>
      </c>
      <c r="F22" s="22">
        <f>IF(SUM($C$4:C22)-SUM($D$4:D22)&gt;0, (SUM($C$4:C22)-SUM($D$4:D22))/SUM($C$4:C22), 0)</f>
        <v>0.15531335149863759</v>
      </c>
      <c r="G22" s="23">
        <f t="shared" si="2"/>
        <v>-850</v>
      </c>
    </row>
    <row r="23" spans="1:7" x14ac:dyDescent="0.2">
      <c r="A23">
        <v>20</v>
      </c>
      <c r="B23" s="20">
        <v>45677</v>
      </c>
      <c r="C23" s="4">
        <v>1540</v>
      </c>
      <c r="D23" s="4">
        <v>900</v>
      </c>
      <c r="E23" s="21">
        <f t="shared" si="1"/>
        <v>0.58441558441558439</v>
      </c>
      <c r="F23" s="22">
        <f>IF(SUM($C$4:C23)-SUM($D$4:D23)&gt;0, (SUM($C$4:C23)-SUM($D$4:D23))/SUM($C$4:C23), 0)</f>
        <v>0.17546505781799898</v>
      </c>
      <c r="G23" s="23">
        <f t="shared" si="2"/>
        <v>-640</v>
      </c>
    </row>
    <row r="24" spans="1:7" x14ac:dyDescent="0.2">
      <c r="A24">
        <v>21</v>
      </c>
      <c r="B24" s="20">
        <v>45684</v>
      </c>
      <c r="C24" s="4">
        <v>1150</v>
      </c>
      <c r="D24" s="4">
        <v>550</v>
      </c>
      <c r="E24" s="21">
        <f t="shared" si="1"/>
        <v>0.47826086956521741</v>
      </c>
      <c r="F24" s="22">
        <f>IF(SUM($C$4:C24)-SUM($D$4:D24)&gt;0, (SUM($C$4:C24)-SUM($D$4:D24))/SUM($C$4:C24), 0)</f>
        <v>0.1943916349809886</v>
      </c>
      <c r="G24" s="23">
        <f t="shared" si="2"/>
        <v>-600</v>
      </c>
    </row>
    <row r="25" spans="1:7" x14ac:dyDescent="0.2">
      <c r="A25">
        <v>22</v>
      </c>
      <c r="B25" s="20">
        <v>45691</v>
      </c>
      <c r="C25" s="4">
        <v>1150</v>
      </c>
      <c r="D25" s="4">
        <v>200</v>
      </c>
      <c r="E25" s="21">
        <f t="shared" ref="E25:E30" si="3">D25/C25</f>
        <v>0.17391304347826086</v>
      </c>
      <c r="F25" s="22">
        <f>IF(SUM($C$4:C25)-SUM($D$4:D25)&gt;0, (SUM($C$4:C25)-SUM($D$4:D25))/SUM($C$4:C25), 0)</f>
        <v>0.22712933753943218</v>
      </c>
      <c r="G25" s="23">
        <f t="shared" ref="G25:G30" si="4">D25-C25</f>
        <v>-950</v>
      </c>
    </row>
    <row r="26" spans="1:7" x14ac:dyDescent="0.2">
      <c r="A26">
        <v>23</v>
      </c>
      <c r="B26" s="20">
        <v>45698</v>
      </c>
      <c r="C26" s="4">
        <v>1150</v>
      </c>
      <c r="D26" s="4">
        <v>0</v>
      </c>
      <c r="E26" s="21">
        <f t="shared" si="3"/>
        <v>0</v>
      </c>
      <c r="F26" s="22">
        <f>IF(SUM($C$4:C26)-SUM($D$4:D26)&gt;0, (SUM($C$4:C26)-SUM($D$4:D26))/SUM($C$4:C26), 0)</f>
        <v>0.26520994001713794</v>
      </c>
      <c r="G26" s="23">
        <f t="shared" si="4"/>
        <v>-1150</v>
      </c>
    </row>
    <row r="27" spans="1:7" x14ac:dyDescent="0.2">
      <c r="A27">
        <v>24</v>
      </c>
      <c r="B27" s="20">
        <v>45705</v>
      </c>
      <c r="C27" s="4">
        <v>1150</v>
      </c>
      <c r="D27" s="4">
        <v>0</v>
      </c>
      <c r="E27" s="21">
        <f t="shared" si="3"/>
        <v>0</v>
      </c>
      <c r="F27" s="22">
        <f>IF(SUM($C$4:C27)-SUM($D$4:D27)&gt;0, (SUM($C$4:C27)-SUM($D$4:D27))/SUM($C$4:C27), 0)</f>
        <v>0.29971416904859127</v>
      </c>
      <c r="G27" s="23">
        <f t="shared" si="4"/>
        <v>-1150</v>
      </c>
    </row>
    <row r="28" spans="1:7" x14ac:dyDescent="0.2">
      <c r="A28">
        <v>25</v>
      </c>
      <c r="B28" s="20">
        <v>45712</v>
      </c>
      <c r="C28" s="4">
        <v>1150</v>
      </c>
      <c r="D28" s="4">
        <v>0</v>
      </c>
      <c r="E28" s="21">
        <f t="shared" si="3"/>
        <v>0</v>
      </c>
      <c r="F28" s="22">
        <f>IF(SUM($C$4:C31)-SUM($D$4:D31)&gt;0, (SUM($C$4:C31)-SUM($D$4:D31))/SUM($C$4:C31), 0)</f>
        <v>0.40636898580823816</v>
      </c>
      <c r="G28" s="23">
        <f t="shared" si="4"/>
        <v>-1150</v>
      </c>
    </row>
    <row r="29" spans="1:7" x14ac:dyDescent="0.2">
      <c r="A29">
        <v>26</v>
      </c>
      <c r="B29" s="20">
        <v>45719</v>
      </c>
      <c r="C29" s="4">
        <v>1150</v>
      </c>
      <c r="D29" s="4">
        <v>0</v>
      </c>
      <c r="E29" s="21">
        <f t="shared" si="3"/>
        <v>0</v>
      </c>
      <c r="F29" s="22">
        <f>IF(SUM($C$4:C31)-SUM($D$4:D31)&gt;0, (SUM($C$4:C31)-SUM($D$4:D31))/SUM($C$4:C31), 0)</f>
        <v>0.40636898580823816</v>
      </c>
      <c r="G29" s="23">
        <f t="shared" si="4"/>
        <v>-1150</v>
      </c>
    </row>
    <row r="30" spans="1:7" x14ac:dyDescent="0.2">
      <c r="A30">
        <v>27</v>
      </c>
      <c r="B30" s="20">
        <v>45726</v>
      </c>
      <c r="C30" s="4">
        <v>1050</v>
      </c>
      <c r="D30" s="4">
        <v>0</v>
      </c>
      <c r="E30" s="21">
        <f t="shared" si="3"/>
        <v>0</v>
      </c>
      <c r="F30" s="22">
        <f>IF(SUM($C$4:C31)-SUM($D$4:D31)&gt;0, (SUM($C$4:C31)-SUM($D$4:D31))/SUM($C$4:C31), 0)</f>
        <v>0.40636898580823816</v>
      </c>
      <c r="G30" s="23">
        <f t="shared" si="4"/>
        <v>-1050</v>
      </c>
    </row>
    <row r="31" spans="1:7" x14ac:dyDescent="0.2">
      <c r="A31">
        <v>28</v>
      </c>
      <c r="B31" s="20">
        <v>45733</v>
      </c>
      <c r="C31" s="4">
        <v>1050</v>
      </c>
      <c r="D31" s="4"/>
      <c r="E31" s="64">
        <f>D31/C31</f>
        <v>0</v>
      </c>
      <c r="F31" s="22">
        <f>IF(SUM($C$4:C31)-SUM($D$4:D31)&gt;0, (SUM($C$4:C31)-SUM($D$4:D31))/SUM($C$4:C31), 0)</f>
        <v>0.40636898580823816</v>
      </c>
      <c r="G31" s="66">
        <f>D31-C31</f>
        <v>-1050</v>
      </c>
    </row>
  </sheetData>
  <mergeCells count="2">
    <mergeCell ref="A1:A2"/>
    <mergeCell ref="B1:E2"/>
  </mergeCells>
  <pageMargins left="0.7" right="0.7" top="0.75" bottom="0.75" header="0.3" footer="0.3"/>
  <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EA07F-8221-6E41-B026-BC536FB4ACD7}">
  <dimension ref="A1:M30"/>
  <sheetViews>
    <sheetView workbookViewId="0">
      <selection activeCell="D31" sqref="D31"/>
    </sheetView>
  </sheetViews>
  <sheetFormatPr baseColWidth="10" defaultRowHeight="16" x14ac:dyDescent="0.2"/>
  <cols>
    <col min="4" max="4" width="11.33203125" customWidth="1"/>
    <col min="5" max="5" width="24" customWidth="1"/>
    <col min="6" max="6" width="13" customWidth="1"/>
    <col min="7" max="7" width="21.33203125" customWidth="1"/>
    <col min="9" max="9" width="26.1640625" bestFit="1" customWidth="1"/>
    <col min="10" max="10" width="12.5" bestFit="1" customWidth="1"/>
    <col min="12" max="12" width="17.33203125" bestFit="1" customWidth="1"/>
  </cols>
  <sheetData>
    <row r="1" spans="1:13" x14ac:dyDescent="0.2">
      <c r="A1" s="55" t="s">
        <v>45</v>
      </c>
      <c r="B1" s="58" t="s">
        <v>49</v>
      </c>
      <c r="C1" s="58"/>
      <c r="D1" s="58"/>
      <c r="E1" s="58"/>
    </row>
    <row r="2" spans="1:13" x14ac:dyDescent="0.2">
      <c r="A2" s="55"/>
      <c r="B2" s="59"/>
      <c r="C2" s="59"/>
      <c r="D2" s="59"/>
      <c r="E2" s="59"/>
      <c r="I2" t="s">
        <v>49</v>
      </c>
    </row>
    <row r="3" spans="1:13" x14ac:dyDescent="0.2">
      <c r="A3" s="24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  <c r="I3" s="9" t="s">
        <v>39</v>
      </c>
      <c r="J3" s="16" cm="1">
        <f t="array" ref="J3">AVERAGE(IF(Table14[Cumplimiento de Meta %]&gt;=100%,1,0))</f>
        <v>0.7407407407407407</v>
      </c>
      <c r="L3" t="s">
        <v>41</v>
      </c>
      <c r="M3" s="18">
        <f>(COUNT(Table14[[#All],[Semana]])*7)/30</f>
        <v>6.3</v>
      </c>
    </row>
    <row r="4" spans="1:13" x14ac:dyDescent="0.2">
      <c r="A4">
        <v>1</v>
      </c>
      <c r="B4" s="20">
        <v>45551</v>
      </c>
      <c r="C4" s="4">
        <v>500</v>
      </c>
      <c r="D4" s="4">
        <v>500</v>
      </c>
      <c r="E4" s="21">
        <f>D4/C4</f>
        <v>1</v>
      </c>
      <c r="F4" s="22">
        <f>IF(SUM($C$4:C4)-SUM($D$4:D4)&gt;0, (SUM($C$4:C4)-SUM($D$4:D4))/SUM($C$4:C4), 0)</f>
        <v>0</v>
      </c>
      <c r="G4" s="23">
        <f t="shared" ref="G4" si="0">D4-C4</f>
        <v>0</v>
      </c>
      <c r="I4" s="4"/>
      <c r="J4" s="4"/>
    </row>
    <row r="5" spans="1:13" x14ac:dyDescent="0.2">
      <c r="A5">
        <v>2</v>
      </c>
      <c r="B5" s="20">
        <v>45558</v>
      </c>
      <c r="C5" s="4">
        <v>1550</v>
      </c>
      <c r="D5" s="4">
        <v>1550</v>
      </c>
      <c r="E5" s="21">
        <f t="shared" ref="E5:E23" si="1">D5/C5</f>
        <v>1</v>
      </c>
      <c r="F5" s="22">
        <f>IF(SUM($C$4:C5)-SUM($D$4:D5)&gt;0, (SUM($C$4:C5)-SUM($D$4:D5))/SUM($C$4:C5), 0)</f>
        <v>0</v>
      </c>
      <c r="G5" s="23">
        <f t="shared" ref="G5:G23" si="2">D5-C5</f>
        <v>0</v>
      </c>
      <c r="I5" s="4" t="s">
        <v>21</v>
      </c>
      <c r="J5" s="4">
        <f>SUM(Table14[[#All],[Meta]])</f>
        <v>159950</v>
      </c>
    </row>
    <row r="6" spans="1:13" x14ac:dyDescent="0.2">
      <c r="A6">
        <v>3</v>
      </c>
      <c r="B6" s="20">
        <v>45565</v>
      </c>
      <c r="C6" s="4">
        <v>3050</v>
      </c>
      <c r="D6" s="4">
        <v>3050</v>
      </c>
      <c r="E6" s="21">
        <f t="shared" si="1"/>
        <v>1</v>
      </c>
      <c r="F6" s="22">
        <f>IF(SUM($C$4:C6)-SUM($D$4:D6)&gt;0, (SUM($C$4:C6)-SUM($D$4:D6))/SUM($C$4:C6), 0)</f>
        <v>0</v>
      </c>
      <c r="G6" s="23">
        <f t="shared" si="2"/>
        <v>0</v>
      </c>
      <c r="I6" s="4" t="s">
        <v>22</v>
      </c>
      <c r="J6" s="4">
        <f>SUM(Table14[[#All],[Cobranza]])</f>
        <v>156100</v>
      </c>
    </row>
    <row r="7" spans="1:13" x14ac:dyDescent="0.2">
      <c r="A7">
        <v>4</v>
      </c>
      <c r="B7" s="20">
        <v>45572</v>
      </c>
      <c r="C7" s="4">
        <v>4250</v>
      </c>
      <c r="D7" s="4">
        <v>4250</v>
      </c>
      <c r="E7" s="21">
        <f t="shared" si="1"/>
        <v>1</v>
      </c>
      <c r="F7" s="22">
        <f>IF(SUM($C$4:C7)-SUM($D$4:D7)&gt;0, (SUM($C$4:C7)-SUM($D$4:D7))/SUM($C$4:C7), 0)</f>
        <v>0</v>
      </c>
      <c r="G7" s="23">
        <f t="shared" si="2"/>
        <v>0</v>
      </c>
      <c r="I7" s="4" t="s">
        <v>23</v>
      </c>
      <c r="J7" s="4">
        <f>SUM(Table14[[#All],[Didiferencia Absoluta]])</f>
        <v>-3850</v>
      </c>
    </row>
    <row r="8" spans="1:13" x14ac:dyDescent="0.2">
      <c r="A8">
        <v>5</v>
      </c>
      <c r="B8" s="20">
        <v>45579</v>
      </c>
      <c r="C8" s="4">
        <v>4500</v>
      </c>
      <c r="D8" s="4">
        <v>4800</v>
      </c>
      <c r="E8" s="21">
        <f t="shared" si="1"/>
        <v>1.0666666666666667</v>
      </c>
      <c r="F8" s="22">
        <f>IF(SUM($C$4:C8)-SUM($D$4:D8)&gt;0, (SUM($C$4:C8)-SUM($D$4:D8))/SUM($C$4:C8), 0)</f>
        <v>0</v>
      </c>
      <c r="G8" s="23">
        <f t="shared" si="2"/>
        <v>300</v>
      </c>
      <c r="I8" t="s">
        <v>24</v>
      </c>
      <c r="J8" s="16">
        <f>(J7/J5)*-1</f>
        <v>2.4070021881838075E-2</v>
      </c>
    </row>
    <row r="9" spans="1:13" x14ac:dyDescent="0.2">
      <c r="A9">
        <v>6</v>
      </c>
      <c r="B9" s="20">
        <v>45586</v>
      </c>
      <c r="C9" s="4">
        <v>4500</v>
      </c>
      <c r="D9" s="4">
        <v>4200</v>
      </c>
      <c r="E9" s="21">
        <f t="shared" si="1"/>
        <v>0.93333333333333335</v>
      </c>
      <c r="F9" s="22">
        <f>IF(SUM($C$4:C9)-SUM($D$4:D9)&gt;0, (SUM($C$4:C9)-SUM($D$4:D9))/SUM($C$4:C9), 0)</f>
        <v>0</v>
      </c>
      <c r="G9" s="23">
        <f t="shared" si="2"/>
        <v>-300</v>
      </c>
    </row>
    <row r="10" spans="1:13" x14ac:dyDescent="0.2">
      <c r="A10">
        <v>7</v>
      </c>
      <c r="B10" s="20">
        <v>45593</v>
      </c>
      <c r="C10" s="4">
        <v>4800</v>
      </c>
      <c r="D10" s="4">
        <v>4800</v>
      </c>
      <c r="E10" s="21">
        <f t="shared" si="1"/>
        <v>1</v>
      </c>
      <c r="F10" s="22">
        <f>IF(SUM($C$4:C10)-SUM($D$4:D10)&gt;0, (SUM($C$4:C10)-SUM($D$4:D10))/SUM($C$4:C10), 0)</f>
        <v>0</v>
      </c>
      <c r="G10" s="23">
        <f t="shared" si="2"/>
        <v>0</v>
      </c>
    </row>
    <row r="11" spans="1:13" x14ac:dyDescent="0.2">
      <c r="A11">
        <v>8</v>
      </c>
      <c r="B11" s="20">
        <v>45600</v>
      </c>
      <c r="C11" s="4">
        <v>5700</v>
      </c>
      <c r="D11" s="4">
        <v>5700</v>
      </c>
      <c r="E11" s="21">
        <f t="shared" si="1"/>
        <v>1</v>
      </c>
      <c r="F11" s="22">
        <f>IF(SUM($C$4:C11)-SUM($D$4:D11)&gt;0, (SUM($C$4:C11)-SUM($D$4:D11))/SUM($C$4:C11), 0)</f>
        <v>0</v>
      </c>
      <c r="G11" s="23">
        <f t="shared" si="2"/>
        <v>0</v>
      </c>
    </row>
    <row r="12" spans="1:13" x14ac:dyDescent="0.2">
      <c r="A12">
        <v>9</v>
      </c>
      <c r="B12" s="20">
        <v>45607</v>
      </c>
      <c r="C12" s="4">
        <v>5700</v>
      </c>
      <c r="D12" s="4">
        <v>4800</v>
      </c>
      <c r="E12" s="21">
        <f t="shared" si="1"/>
        <v>0.84210526315789469</v>
      </c>
      <c r="F12" s="22">
        <f>IF(SUM($C$4:C12)-SUM($D$4:D12)&gt;0, (SUM($C$4:C12)-SUM($D$4:D12))/SUM($C$4:C12), 0)</f>
        <v>2.6049204052098408E-2</v>
      </c>
      <c r="G12" s="23">
        <f t="shared" si="2"/>
        <v>-900</v>
      </c>
    </row>
    <row r="13" spans="1:13" x14ac:dyDescent="0.2">
      <c r="A13">
        <v>10</v>
      </c>
      <c r="B13" s="20">
        <v>45614</v>
      </c>
      <c r="C13" s="4">
        <v>5700</v>
      </c>
      <c r="D13" s="4">
        <v>6600</v>
      </c>
      <c r="E13" s="21">
        <f t="shared" si="1"/>
        <v>1.1578947368421053</v>
      </c>
      <c r="F13" s="22">
        <f>IF(SUM($C$4:C13)-SUM($D$4:D13)&gt;0, (SUM($C$4:C13)-SUM($D$4:D13))/SUM($C$4:C13), 0)</f>
        <v>0</v>
      </c>
      <c r="G13" s="23">
        <f t="shared" si="2"/>
        <v>900</v>
      </c>
    </row>
    <row r="14" spans="1:13" x14ac:dyDescent="0.2">
      <c r="A14">
        <v>11</v>
      </c>
      <c r="B14" s="20">
        <v>45621</v>
      </c>
      <c r="C14" s="4">
        <v>5850</v>
      </c>
      <c r="D14" s="4">
        <v>5850</v>
      </c>
      <c r="E14" s="21">
        <f t="shared" si="1"/>
        <v>1</v>
      </c>
      <c r="F14" s="22">
        <f>IF(SUM($C$4:C14)-SUM($D$4:D14)&gt;0, (SUM($C$4:C14)-SUM($D$4:D14))/SUM($C$4:C14), 0)</f>
        <v>0</v>
      </c>
      <c r="G14" s="23">
        <f t="shared" si="2"/>
        <v>0</v>
      </c>
    </row>
    <row r="15" spans="1:13" x14ac:dyDescent="0.2">
      <c r="A15">
        <v>12</v>
      </c>
      <c r="B15" s="20">
        <v>45628</v>
      </c>
      <c r="C15" s="4">
        <v>6600</v>
      </c>
      <c r="D15" s="4">
        <v>5700</v>
      </c>
      <c r="E15" s="21">
        <f t="shared" si="1"/>
        <v>0.86363636363636365</v>
      </c>
      <c r="F15" s="22">
        <f>IF(SUM($C$4:C15)-SUM($D$4:D15)&gt;0, (SUM($C$4:C15)-SUM($D$4:D15))/SUM($C$4:C15), 0)</f>
        <v>1.7077798861480076E-2</v>
      </c>
      <c r="G15" s="23">
        <f t="shared" si="2"/>
        <v>-900</v>
      </c>
    </row>
    <row r="16" spans="1:13" x14ac:dyDescent="0.2">
      <c r="A16">
        <v>13</v>
      </c>
      <c r="B16" s="20">
        <v>45635</v>
      </c>
      <c r="C16" s="4">
        <v>6950</v>
      </c>
      <c r="D16" s="4">
        <v>10000</v>
      </c>
      <c r="E16" s="21">
        <f t="shared" si="1"/>
        <v>1.4388489208633093</v>
      </c>
      <c r="F16" s="22">
        <f>IF(SUM($C$4:C16)-SUM($D$4:D16)&gt;0, (SUM($C$4:C16)-SUM($D$4:D16))/SUM($C$4:C16), 0)</f>
        <v>0</v>
      </c>
      <c r="G16" s="23">
        <f t="shared" si="2"/>
        <v>3050</v>
      </c>
    </row>
    <row r="17" spans="1:7" x14ac:dyDescent="0.2">
      <c r="A17">
        <v>14</v>
      </c>
      <c r="B17" s="20">
        <v>45642</v>
      </c>
      <c r="C17" s="4">
        <v>6450</v>
      </c>
      <c r="D17" s="4">
        <v>6100</v>
      </c>
      <c r="E17" s="21">
        <f t="shared" si="1"/>
        <v>0.94573643410852715</v>
      </c>
      <c r="F17" s="22">
        <f>IF(SUM($C$4:C17)-SUM($D$4:D17)&gt;0, (SUM($C$4:C17)-SUM($D$4:D17))/SUM($C$4:C17), 0)</f>
        <v>0</v>
      </c>
      <c r="G17" s="23">
        <f t="shared" si="2"/>
        <v>-350</v>
      </c>
    </row>
    <row r="18" spans="1:7" x14ac:dyDescent="0.2">
      <c r="A18">
        <v>15</v>
      </c>
      <c r="B18" s="20">
        <v>45649</v>
      </c>
      <c r="C18" s="4">
        <v>6250</v>
      </c>
      <c r="D18" s="4">
        <v>6250</v>
      </c>
      <c r="E18" s="21">
        <f t="shared" si="1"/>
        <v>1</v>
      </c>
      <c r="F18" s="22">
        <f>IF(SUM($C$4:C18)-SUM($D$4:D18)&gt;0, (SUM($C$4:C18)-SUM($D$4:D18))/SUM($C$4:C18), 0)</f>
        <v>0</v>
      </c>
      <c r="G18" s="23">
        <f t="shared" si="2"/>
        <v>0</v>
      </c>
    </row>
    <row r="19" spans="1:7" x14ac:dyDescent="0.2">
      <c r="A19">
        <v>16</v>
      </c>
      <c r="B19" s="20">
        <v>45656</v>
      </c>
      <c r="C19" s="4">
        <v>6650</v>
      </c>
      <c r="D19" s="4">
        <v>7250</v>
      </c>
      <c r="E19" s="21">
        <f t="shared" si="1"/>
        <v>1.0902255639097744</v>
      </c>
      <c r="F19" s="22">
        <f>IF(SUM($C$4:C19)-SUM($D$4:D19)&gt;0, (SUM($C$4:C19)-SUM($D$4:D19))/SUM($C$4:C19), 0)</f>
        <v>0</v>
      </c>
      <c r="G19" s="23">
        <f t="shared" si="2"/>
        <v>600</v>
      </c>
    </row>
    <row r="20" spans="1:7" x14ac:dyDescent="0.2">
      <c r="A20">
        <v>17</v>
      </c>
      <c r="B20" s="20">
        <v>45663</v>
      </c>
      <c r="C20" s="4">
        <v>6700</v>
      </c>
      <c r="D20" s="4">
        <v>6400</v>
      </c>
      <c r="E20" s="21">
        <f t="shared" si="1"/>
        <v>0.95522388059701491</v>
      </c>
      <c r="F20" s="22">
        <f>IF(SUM($C$4:C20)-SUM($D$4:D20)&gt;0, (SUM($C$4:C20)-SUM($D$4:D20))/SUM($C$4:C20), 0)</f>
        <v>0</v>
      </c>
      <c r="G20" s="23">
        <f t="shared" si="2"/>
        <v>-300</v>
      </c>
    </row>
    <row r="21" spans="1:7" x14ac:dyDescent="0.2">
      <c r="A21">
        <v>18</v>
      </c>
      <c r="B21" s="20">
        <v>45670</v>
      </c>
      <c r="C21" s="4">
        <v>6800</v>
      </c>
      <c r="D21" s="4">
        <v>6800</v>
      </c>
      <c r="E21" s="21">
        <f t="shared" si="1"/>
        <v>1</v>
      </c>
      <c r="F21" s="22">
        <f>IF(SUM($C$4:C21)-SUM($D$4:D21)&gt;0, (SUM($C$4:C21)-SUM($D$4:D21))/SUM($C$4:C21), 0)</f>
        <v>0</v>
      </c>
      <c r="G21" s="23">
        <f t="shared" si="2"/>
        <v>0</v>
      </c>
    </row>
    <row r="22" spans="1:7" x14ac:dyDescent="0.2">
      <c r="A22">
        <v>19</v>
      </c>
      <c r="B22" s="20">
        <v>45677</v>
      </c>
      <c r="C22" s="4">
        <v>7100</v>
      </c>
      <c r="D22" s="4">
        <v>7100</v>
      </c>
      <c r="E22" s="21">
        <f t="shared" si="1"/>
        <v>1</v>
      </c>
      <c r="F22" s="22">
        <f>IF(SUM($C$4:C22)-SUM($D$4:D22)&gt;0, (SUM($C$4:C22)-SUM($D$4:D22))/SUM($C$4:C22), 0)</f>
        <v>0</v>
      </c>
      <c r="G22" s="23">
        <f t="shared" si="2"/>
        <v>0</v>
      </c>
    </row>
    <row r="23" spans="1:7" x14ac:dyDescent="0.2">
      <c r="A23">
        <v>20</v>
      </c>
      <c r="B23" s="20">
        <v>45684</v>
      </c>
      <c r="C23" s="4">
        <v>7100</v>
      </c>
      <c r="D23" s="4">
        <v>7400</v>
      </c>
      <c r="E23" s="21">
        <f t="shared" si="1"/>
        <v>1.0422535211267605</v>
      </c>
      <c r="F23" s="22">
        <f>IF(SUM($C$4:C23)-SUM($D$4:D23)&gt;0, (SUM($C$4:C23)-SUM($D$4:D23))/SUM($C$4:C23), 0)</f>
        <v>0</v>
      </c>
      <c r="G23" s="23">
        <f t="shared" si="2"/>
        <v>300</v>
      </c>
    </row>
    <row r="24" spans="1:7" x14ac:dyDescent="0.2">
      <c r="A24">
        <v>21</v>
      </c>
      <c r="B24" s="20">
        <v>45691</v>
      </c>
      <c r="C24" s="4">
        <v>7750</v>
      </c>
      <c r="D24" s="4">
        <v>8050</v>
      </c>
      <c r="E24" s="21">
        <f t="shared" ref="E24:E29" si="3">D24/C24</f>
        <v>1.0387096774193549</v>
      </c>
      <c r="F24" s="22">
        <f>IF(SUM($C$4:C24)-SUM($D$4:D24)&gt;0, (SUM($C$4:C24)-SUM($D$4:D24))/SUM($C$4:C24), 0)</f>
        <v>0</v>
      </c>
      <c r="G24" s="23">
        <f t="shared" ref="G24:G29" si="4">D24-C24</f>
        <v>300</v>
      </c>
    </row>
    <row r="25" spans="1:7" x14ac:dyDescent="0.2">
      <c r="A25">
        <v>22</v>
      </c>
      <c r="B25" s="20">
        <v>45698</v>
      </c>
      <c r="C25" s="4">
        <v>7600</v>
      </c>
      <c r="D25" s="4">
        <v>7600</v>
      </c>
      <c r="E25" s="21">
        <f t="shared" si="3"/>
        <v>1</v>
      </c>
      <c r="F25" s="22">
        <f>IF(SUM($C$4:C25)-SUM($D$4:D25)&gt;0, (SUM($C$4:C25)-SUM($D$4:D25))/SUM($C$4:C25), 0)</f>
        <v>0</v>
      </c>
      <c r="G25" s="23">
        <f t="shared" si="4"/>
        <v>0</v>
      </c>
    </row>
    <row r="26" spans="1:7" x14ac:dyDescent="0.2">
      <c r="A26">
        <v>23</v>
      </c>
      <c r="B26" s="20">
        <v>45705</v>
      </c>
      <c r="C26" s="4">
        <v>7900</v>
      </c>
      <c r="D26" s="4">
        <v>8200</v>
      </c>
      <c r="E26" s="21">
        <f t="shared" si="3"/>
        <v>1.0379746835443038</v>
      </c>
      <c r="F26" s="22">
        <f>IF(SUM($C$4:C26)-SUM($D$4:D26)&gt;0, (SUM($C$4:C26)-SUM($D$4:D26))/SUM($C$4:C26), 0)</f>
        <v>0</v>
      </c>
      <c r="G26" s="23">
        <f t="shared" si="4"/>
        <v>300</v>
      </c>
    </row>
    <row r="27" spans="1:7" x14ac:dyDescent="0.2">
      <c r="A27">
        <v>24</v>
      </c>
      <c r="B27" s="20">
        <v>45712</v>
      </c>
      <c r="C27" s="4">
        <v>8000</v>
      </c>
      <c r="D27" s="4">
        <v>7700</v>
      </c>
      <c r="E27" s="21">
        <f t="shared" si="3"/>
        <v>0.96250000000000002</v>
      </c>
      <c r="F27" s="22">
        <f>IF(SUM($C$4:C30)-SUM($D$4:D30)&gt;0, (SUM($C$4:C30)-SUM($D$4:D30))/SUM($C$4:C30), 0)</f>
        <v>2.4070021881838075E-2</v>
      </c>
      <c r="G27" s="23">
        <f t="shared" si="4"/>
        <v>-300</v>
      </c>
    </row>
    <row r="28" spans="1:7" x14ac:dyDescent="0.2">
      <c r="A28">
        <v>25</v>
      </c>
      <c r="B28" s="20">
        <v>45719</v>
      </c>
      <c r="C28" s="4">
        <v>8250</v>
      </c>
      <c r="D28" s="4">
        <v>8250</v>
      </c>
      <c r="E28" s="21">
        <f t="shared" si="3"/>
        <v>1</v>
      </c>
      <c r="F28" s="22">
        <f>IF(SUM($C$4:C30)-SUM($D$4:D30)&gt;0, (SUM($C$4:C30)-SUM($D$4:D30))/SUM($C$4:C30), 0)</f>
        <v>2.4070021881838075E-2</v>
      </c>
      <c r="G28" s="23">
        <f t="shared" si="4"/>
        <v>0</v>
      </c>
    </row>
    <row r="29" spans="1:7" x14ac:dyDescent="0.2">
      <c r="A29">
        <v>26</v>
      </c>
      <c r="B29" s="20">
        <v>45726</v>
      </c>
      <c r="C29" s="4">
        <v>7200</v>
      </c>
      <c r="D29" s="4">
        <v>7200</v>
      </c>
      <c r="E29" s="21">
        <f t="shared" si="3"/>
        <v>1</v>
      </c>
      <c r="F29" s="22">
        <f>IF(SUM($C$4:C30)-SUM($D$4:D30)&gt;0, (SUM($C$4:C30)-SUM($D$4:D30))/SUM($C$4:C30), 0)</f>
        <v>2.4070021881838075E-2</v>
      </c>
      <c r="G29" s="23">
        <f t="shared" si="4"/>
        <v>0</v>
      </c>
    </row>
    <row r="30" spans="1:7" x14ac:dyDescent="0.2">
      <c r="A30">
        <v>27</v>
      </c>
      <c r="B30" s="20">
        <v>45733</v>
      </c>
      <c r="C30" s="4">
        <v>6550</v>
      </c>
      <c r="D30" s="4"/>
      <c r="E30" s="64">
        <f>D30/C30</f>
        <v>0</v>
      </c>
      <c r="F30" s="22">
        <f>IF(SUM($C$4:C30)-SUM($D$4:D30)&gt;0, (SUM($C$4:C30)-SUM($D$4:D30))/SUM($C$4:C30), 0)</f>
        <v>2.4070021881838075E-2</v>
      </c>
      <c r="G30" s="66">
        <f>D30-C30</f>
        <v>-6550</v>
      </c>
    </row>
  </sheetData>
  <mergeCells count="2">
    <mergeCell ref="A1:A2"/>
    <mergeCell ref="B1:E2"/>
  </mergeCells>
  <pageMargins left="0.7" right="0.7" top="0.75" bottom="0.75" header="0.3" footer="0.3"/>
  <drawing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F95BE-4464-824A-87FC-6A0A5203E1CD}">
  <dimension ref="A1:M30"/>
  <sheetViews>
    <sheetView workbookViewId="0">
      <selection activeCell="D31" sqref="D31"/>
    </sheetView>
  </sheetViews>
  <sheetFormatPr baseColWidth="10" defaultRowHeight="16" x14ac:dyDescent="0.2"/>
  <cols>
    <col min="4" max="4" width="11.33203125" customWidth="1"/>
    <col min="5" max="5" width="24" customWidth="1"/>
    <col min="6" max="6" width="13" customWidth="1"/>
    <col min="7" max="7" width="21.33203125" customWidth="1"/>
    <col min="9" max="9" width="26.1640625" bestFit="1" customWidth="1"/>
    <col min="10" max="10" width="12.5" bestFit="1" customWidth="1"/>
    <col min="12" max="12" width="17.33203125" bestFit="1" customWidth="1"/>
  </cols>
  <sheetData>
    <row r="1" spans="1:13" x14ac:dyDescent="0.2">
      <c r="A1" s="55" t="s">
        <v>46</v>
      </c>
      <c r="B1" s="58" t="s">
        <v>50</v>
      </c>
      <c r="C1" s="58"/>
      <c r="D1" s="58"/>
      <c r="E1" s="58"/>
    </row>
    <row r="2" spans="1:13" x14ac:dyDescent="0.2">
      <c r="A2" s="55"/>
      <c r="B2" s="59"/>
      <c r="C2" s="59"/>
      <c r="D2" s="59"/>
      <c r="E2" s="59"/>
      <c r="I2" t="s">
        <v>50</v>
      </c>
    </row>
    <row r="3" spans="1:13" x14ac:dyDescent="0.2">
      <c r="A3" s="24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  <c r="I3" s="9" t="s">
        <v>39</v>
      </c>
      <c r="J3" s="16" t="e" cm="1">
        <f t="array" ref="J3">AVERAGE(IF(Table15[Cumplimiento de Meta %]&gt;=100%,1,0))</f>
        <v>#DIV/0!</v>
      </c>
      <c r="L3" t="s">
        <v>41</v>
      </c>
      <c r="M3" s="18">
        <f>(COUNT(Table15[[#All],[Semana]])*7)/30</f>
        <v>6.3</v>
      </c>
    </row>
    <row r="4" spans="1:13" x14ac:dyDescent="0.2">
      <c r="A4">
        <v>1</v>
      </c>
      <c r="B4" s="20">
        <v>45551</v>
      </c>
      <c r="C4" s="4">
        <v>600</v>
      </c>
      <c r="D4" s="4">
        <v>600</v>
      </c>
      <c r="E4" s="21">
        <f>D4/C4</f>
        <v>1</v>
      </c>
      <c r="F4" s="22">
        <f>IF(SUM($C$4:C4)-SUM($D$4:D4)&gt;0, (SUM($C$4:C4)-SUM($D$4:D4))/SUM($C$4:C4), 0)</f>
        <v>0</v>
      </c>
      <c r="G4" s="23">
        <f t="shared" ref="G4" si="0">D4-C4</f>
        <v>0</v>
      </c>
      <c r="I4" s="4"/>
      <c r="J4" s="4"/>
    </row>
    <row r="5" spans="1:13" x14ac:dyDescent="0.2">
      <c r="A5">
        <v>2</v>
      </c>
      <c r="B5" s="20">
        <v>45558</v>
      </c>
      <c r="C5" s="4">
        <v>600</v>
      </c>
      <c r="D5" s="4">
        <v>600</v>
      </c>
      <c r="E5" s="21">
        <f t="shared" ref="E5:E23" si="1">D5/C5</f>
        <v>1</v>
      </c>
      <c r="F5" s="22">
        <f>IF(SUM($C$4:C5)-SUM($D$4:D5)&gt;0, (SUM($C$4:C5)-SUM($D$4:D5))/SUM($C$4:C5), 0)</f>
        <v>0</v>
      </c>
      <c r="G5" s="23">
        <f t="shared" ref="G5:G23" si="2">D5-C5</f>
        <v>0</v>
      </c>
      <c r="I5" s="4" t="s">
        <v>21</v>
      </c>
      <c r="J5" s="4">
        <f>SUM(Table15[[#All],[Meta]])</f>
        <v>74600</v>
      </c>
    </row>
    <row r="6" spans="1:13" x14ac:dyDescent="0.2">
      <c r="A6">
        <v>3</v>
      </c>
      <c r="B6" s="20">
        <v>45565</v>
      </c>
      <c r="C6" s="4">
        <v>900</v>
      </c>
      <c r="D6" s="4">
        <v>900</v>
      </c>
      <c r="E6" s="21">
        <f t="shared" si="1"/>
        <v>1</v>
      </c>
      <c r="F6" s="22">
        <f>IF(SUM($C$4:C6)-SUM($D$4:D6)&gt;0, (SUM($C$4:C6)-SUM($D$4:D6))/SUM($C$4:C6), 0)</f>
        <v>0</v>
      </c>
      <c r="G6" s="23">
        <f t="shared" si="2"/>
        <v>0</v>
      </c>
      <c r="I6" s="4" t="s">
        <v>22</v>
      </c>
      <c r="J6" s="4">
        <f>SUM(Table15[[#All],[Cobranza]])</f>
        <v>27300</v>
      </c>
    </row>
    <row r="7" spans="1:13" x14ac:dyDescent="0.2">
      <c r="A7">
        <v>4</v>
      </c>
      <c r="B7" s="20">
        <v>45572</v>
      </c>
      <c r="C7" s="4">
        <v>1500</v>
      </c>
      <c r="D7" s="4">
        <v>1500</v>
      </c>
      <c r="E7" s="21">
        <f t="shared" si="1"/>
        <v>1</v>
      </c>
      <c r="F7" s="22">
        <f>IF(SUM($C$4:C7)-SUM($D$4:D7)&gt;0, (SUM($C$4:C7)-SUM($D$4:D7))/SUM($C$4:C7), 0)</f>
        <v>0</v>
      </c>
      <c r="G7" s="23">
        <f t="shared" si="2"/>
        <v>0</v>
      </c>
      <c r="I7" s="4" t="s">
        <v>23</v>
      </c>
      <c r="J7" s="4">
        <f>SUM(Table15[[#All],[Didiferencia Absoluta]])</f>
        <v>-47300</v>
      </c>
    </row>
    <row r="8" spans="1:13" x14ac:dyDescent="0.2">
      <c r="A8">
        <v>5</v>
      </c>
      <c r="B8" s="20">
        <v>45579</v>
      </c>
      <c r="C8" s="4">
        <v>1500</v>
      </c>
      <c r="D8" s="4">
        <v>1500</v>
      </c>
      <c r="E8" s="21">
        <f t="shared" si="1"/>
        <v>1</v>
      </c>
      <c r="F8" s="22">
        <f>IF(SUM($C$4:C8)-SUM($D$4:D8)&gt;0, (SUM($C$4:C8)-SUM($D$4:D8))/SUM($C$4:C8), 0)</f>
        <v>0</v>
      </c>
      <c r="G8" s="23">
        <f t="shared" si="2"/>
        <v>0</v>
      </c>
      <c r="I8" t="s">
        <v>24</v>
      </c>
      <c r="J8" s="16">
        <f>(J7/J5)*-1</f>
        <v>0.63404825737265413</v>
      </c>
    </row>
    <row r="9" spans="1:13" x14ac:dyDescent="0.2">
      <c r="A9">
        <v>6</v>
      </c>
      <c r="B9" s="20">
        <v>45586</v>
      </c>
      <c r="C9" s="4">
        <v>2700</v>
      </c>
      <c r="D9" s="4">
        <v>2700</v>
      </c>
      <c r="E9" s="21">
        <f t="shared" si="1"/>
        <v>1</v>
      </c>
      <c r="F9" s="22">
        <f>IF(SUM($C$4:C9)-SUM($D$4:D9)&gt;0, (SUM($C$4:C9)-SUM($D$4:D9))/SUM($C$4:C9), 0)</f>
        <v>0</v>
      </c>
      <c r="G9" s="23">
        <f t="shared" si="2"/>
        <v>0</v>
      </c>
    </row>
    <row r="10" spans="1:13" x14ac:dyDescent="0.2">
      <c r="A10">
        <v>7</v>
      </c>
      <c r="B10" s="20">
        <v>45593</v>
      </c>
      <c r="C10" s="4">
        <v>3600</v>
      </c>
      <c r="D10" s="4">
        <v>3600</v>
      </c>
      <c r="E10" s="21">
        <f t="shared" si="1"/>
        <v>1</v>
      </c>
      <c r="F10" s="22">
        <f>IF(SUM($C$4:C10)-SUM($D$4:D10)&gt;0, (SUM($C$4:C10)-SUM($D$4:D10))/SUM($C$4:C10), 0)</f>
        <v>0</v>
      </c>
      <c r="G10" s="23">
        <f t="shared" si="2"/>
        <v>0</v>
      </c>
    </row>
    <row r="11" spans="1:13" x14ac:dyDescent="0.2">
      <c r="A11">
        <v>8</v>
      </c>
      <c r="B11" s="20">
        <v>45600</v>
      </c>
      <c r="C11" s="4">
        <v>3600</v>
      </c>
      <c r="D11" s="4">
        <v>3600</v>
      </c>
      <c r="E11" s="21">
        <f t="shared" si="1"/>
        <v>1</v>
      </c>
      <c r="F11" s="22">
        <f>IF(SUM($C$4:C11)-SUM($D$4:D11)&gt;0, (SUM($C$4:C11)-SUM($D$4:D11))/SUM($C$4:C11), 0)</f>
        <v>0</v>
      </c>
      <c r="G11" s="23">
        <f t="shared" si="2"/>
        <v>0</v>
      </c>
    </row>
    <row r="12" spans="1:13" x14ac:dyDescent="0.2">
      <c r="A12">
        <v>9</v>
      </c>
      <c r="B12" s="20">
        <v>45607</v>
      </c>
      <c r="C12" s="4">
        <v>3600</v>
      </c>
      <c r="D12" s="4">
        <v>3600</v>
      </c>
      <c r="E12" s="21">
        <f t="shared" si="1"/>
        <v>1</v>
      </c>
      <c r="F12" s="22">
        <f>IF(SUM($C$4:C12)-SUM($D$4:D12)&gt;0, (SUM($C$4:C12)-SUM($D$4:D12))/SUM($C$4:C12), 0)</f>
        <v>0</v>
      </c>
      <c r="G12" s="23">
        <f t="shared" si="2"/>
        <v>0</v>
      </c>
    </row>
    <row r="13" spans="1:13" x14ac:dyDescent="0.2">
      <c r="A13">
        <v>10</v>
      </c>
      <c r="B13" s="20">
        <v>45614</v>
      </c>
      <c r="C13" s="4">
        <v>4200</v>
      </c>
      <c r="D13" s="4">
        <v>4200</v>
      </c>
      <c r="E13" s="21">
        <f t="shared" si="1"/>
        <v>1</v>
      </c>
      <c r="F13" s="22">
        <f>IF(SUM($C$4:C13)-SUM($D$4:D13)&gt;0, (SUM($C$4:C13)-SUM($D$4:D13))/SUM($C$4:C13), 0)</f>
        <v>0</v>
      </c>
      <c r="G13" s="23">
        <f t="shared" si="2"/>
        <v>0</v>
      </c>
    </row>
    <row r="14" spans="1:13" x14ac:dyDescent="0.2">
      <c r="A14">
        <v>11</v>
      </c>
      <c r="B14" s="20">
        <v>45621</v>
      </c>
      <c r="C14" s="4">
        <v>4600</v>
      </c>
      <c r="D14" s="4">
        <v>0</v>
      </c>
      <c r="E14" s="21">
        <f t="shared" si="1"/>
        <v>0</v>
      </c>
      <c r="F14" s="22">
        <f>IF(SUM($C$4:C14)-SUM($D$4:D14)&gt;0, (SUM($C$4:C14)-SUM($D$4:D14))/SUM($C$4:C14), 0)</f>
        <v>0.16788321167883211</v>
      </c>
      <c r="G14" s="23">
        <f t="shared" si="2"/>
        <v>-4600</v>
      </c>
    </row>
    <row r="15" spans="1:13" x14ac:dyDescent="0.2">
      <c r="A15">
        <v>12</v>
      </c>
      <c r="B15" s="20">
        <v>45628</v>
      </c>
      <c r="C15" s="4">
        <v>4900</v>
      </c>
      <c r="D15" s="4">
        <v>4500</v>
      </c>
      <c r="E15" s="21">
        <f t="shared" si="1"/>
        <v>0.91836734693877553</v>
      </c>
      <c r="F15" s="22">
        <f>IF(SUM($C$4:C15)-SUM($D$4:D15)&gt;0, (SUM($C$4:C15)-SUM($D$4:D15))/SUM($C$4:C15), 0)</f>
        <v>0.15479876160990713</v>
      </c>
      <c r="G15" s="23">
        <f t="shared" si="2"/>
        <v>-400</v>
      </c>
    </row>
    <row r="16" spans="1:13" x14ac:dyDescent="0.2">
      <c r="A16">
        <v>13</v>
      </c>
      <c r="B16" s="20">
        <v>45635</v>
      </c>
      <c r="C16" s="4">
        <v>4900</v>
      </c>
      <c r="D16" s="4">
        <v>0</v>
      </c>
      <c r="E16" s="21">
        <f t="shared" si="1"/>
        <v>0</v>
      </c>
      <c r="F16" s="22">
        <f>IF(SUM($C$4:C16)-SUM($D$4:D16)&gt;0, (SUM($C$4:C16)-SUM($D$4:D16))/SUM($C$4:C16), 0)</f>
        <v>0.2661290322580645</v>
      </c>
      <c r="G16" s="23">
        <f t="shared" si="2"/>
        <v>-4900</v>
      </c>
    </row>
    <row r="17" spans="1:7" x14ac:dyDescent="0.2">
      <c r="A17">
        <v>14</v>
      </c>
      <c r="B17" s="20">
        <v>45642</v>
      </c>
      <c r="C17" s="4">
        <v>4900</v>
      </c>
      <c r="D17" s="4">
        <v>0</v>
      </c>
      <c r="E17" s="21">
        <f t="shared" si="1"/>
        <v>0</v>
      </c>
      <c r="F17" s="22">
        <f>IF(SUM($C$4:C17)-SUM($D$4:D17)&gt;0, (SUM($C$4:C17)-SUM($D$4:D17))/SUM($C$4:C17), 0)</f>
        <v>0.35154394299287411</v>
      </c>
      <c r="G17" s="23">
        <f t="shared" si="2"/>
        <v>-4900</v>
      </c>
    </row>
    <row r="18" spans="1:7" x14ac:dyDescent="0.2">
      <c r="A18">
        <v>15</v>
      </c>
      <c r="B18" s="20">
        <v>45649</v>
      </c>
      <c r="C18" s="4">
        <v>4900</v>
      </c>
      <c r="D18" s="4">
        <v>0</v>
      </c>
      <c r="E18" s="21">
        <f t="shared" si="1"/>
        <v>0</v>
      </c>
      <c r="F18" s="22">
        <f>IF(SUM($C$4:C18)-SUM($D$4:D18)&gt;0, (SUM($C$4:C18)-SUM($D$4:D18))/SUM($C$4:C18), 0)</f>
        <v>0.41914893617021276</v>
      </c>
      <c r="G18" s="23">
        <f t="shared" si="2"/>
        <v>-4900</v>
      </c>
    </row>
    <row r="19" spans="1:7" x14ac:dyDescent="0.2">
      <c r="A19">
        <v>16</v>
      </c>
      <c r="B19" s="20">
        <v>45656</v>
      </c>
      <c r="C19" s="4">
        <v>4900</v>
      </c>
      <c r="D19" s="4">
        <v>0</v>
      </c>
      <c r="E19" s="21">
        <f t="shared" si="1"/>
        <v>0</v>
      </c>
      <c r="F19" s="22">
        <f>IF(SUM($C$4:C19)-SUM($D$4:D19)&gt;0, (SUM($C$4:C19)-SUM($D$4:D19))/SUM($C$4:C19), 0)</f>
        <v>0.47398843930635837</v>
      </c>
      <c r="G19" s="23">
        <f t="shared" si="2"/>
        <v>-4900</v>
      </c>
    </row>
    <row r="20" spans="1:7" x14ac:dyDescent="0.2">
      <c r="A20">
        <v>17</v>
      </c>
      <c r="B20" s="20">
        <v>45663</v>
      </c>
      <c r="C20" s="4">
        <v>4600</v>
      </c>
      <c r="D20" s="4">
        <v>0</v>
      </c>
      <c r="E20" s="21">
        <f t="shared" si="1"/>
        <v>0</v>
      </c>
      <c r="F20" s="22">
        <f>IF(SUM($C$4:C20)-SUM($D$4:D20)&gt;0, (SUM($C$4:C20)-SUM($D$4:D20))/SUM($C$4:C20), 0)</f>
        <v>0.51681415929203545</v>
      </c>
      <c r="G20" s="23">
        <f t="shared" si="2"/>
        <v>-4600</v>
      </c>
    </row>
    <row r="21" spans="1:7" x14ac:dyDescent="0.2">
      <c r="A21">
        <v>18</v>
      </c>
      <c r="B21" s="20">
        <v>45670</v>
      </c>
      <c r="C21" s="4">
        <v>4000</v>
      </c>
      <c r="D21" s="4">
        <v>0</v>
      </c>
      <c r="E21" s="21">
        <f t="shared" si="1"/>
        <v>0</v>
      </c>
      <c r="F21" s="22">
        <f>IF(SUM($C$4:C21)-SUM($D$4:D21)&gt;0, (SUM($C$4:C21)-SUM($D$4:D21))/SUM($C$4:C21), 0)</f>
        <v>0.54876033057851237</v>
      </c>
      <c r="G21" s="23">
        <f t="shared" si="2"/>
        <v>-4000</v>
      </c>
    </row>
    <row r="22" spans="1:7" x14ac:dyDescent="0.2">
      <c r="A22">
        <v>19</v>
      </c>
      <c r="B22" s="20">
        <v>45677</v>
      </c>
      <c r="C22" s="4">
        <v>4000</v>
      </c>
      <c r="D22" s="4">
        <v>0</v>
      </c>
      <c r="E22" s="21">
        <f t="shared" si="1"/>
        <v>0</v>
      </c>
      <c r="F22" s="22">
        <f>IF(SUM($C$4:C22)-SUM($D$4:D22)&gt;0, (SUM($C$4:C22)-SUM($D$4:D22))/SUM($C$4:C22), 0)</f>
        <v>0.57674418604651168</v>
      </c>
      <c r="G22" s="23">
        <f t="shared" si="2"/>
        <v>-4000</v>
      </c>
    </row>
    <row r="23" spans="1:7" x14ac:dyDescent="0.2">
      <c r="A23">
        <v>20</v>
      </c>
      <c r="B23" s="20">
        <v>45684</v>
      </c>
      <c r="C23" s="4">
        <v>2800</v>
      </c>
      <c r="D23" s="4">
        <v>0</v>
      </c>
      <c r="E23" s="21">
        <f t="shared" si="1"/>
        <v>0</v>
      </c>
      <c r="F23" s="22">
        <f>IF(SUM($C$4:C30)-SUM($D$4:D30)&gt;0, (SUM($C$4:C30)-SUM($D$4:D30))/SUM($C$4:C30), 0)</f>
        <v>0.63404825737265413</v>
      </c>
      <c r="G23" s="23">
        <f t="shared" si="2"/>
        <v>-2800</v>
      </c>
    </row>
    <row r="24" spans="1:7" x14ac:dyDescent="0.2">
      <c r="A24">
        <v>21</v>
      </c>
      <c r="B24" s="20">
        <v>45691</v>
      </c>
      <c r="C24" s="4">
        <v>1900</v>
      </c>
      <c r="D24" s="4">
        <v>0</v>
      </c>
      <c r="E24" s="21">
        <f t="shared" ref="E24:E29" si="3">D24/C24</f>
        <v>0</v>
      </c>
      <c r="F24" s="22">
        <f>IF(SUM($C$4:C30)-SUM($D$4:D30)&gt;0, (SUM($C$4:C30)-SUM($D$4:D30))/SUM($C$4:C30), 0)</f>
        <v>0.63404825737265413</v>
      </c>
      <c r="G24" s="23">
        <f t="shared" ref="G24:G29" si="4">D24-C24</f>
        <v>-1900</v>
      </c>
    </row>
    <row r="25" spans="1:7" x14ac:dyDescent="0.2">
      <c r="A25">
        <v>22</v>
      </c>
      <c r="B25" s="20">
        <v>45698</v>
      </c>
      <c r="C25" s="4">
        <v>1900</v>
      </c>
      <c r="D25" s="4">
        <v>0</v>
      </c>
      <c r="E25" s="21">
        <f t="shared" si="3"/>
        <v>0</v>
      </c>
      <c r="F25" s="22">
        <f>IF(SUM($C$4:C30)-SUM($D$4:D30)&gt;0, (SUM($C$4:C30)-SUM($D$4:D30))/SUM($C$4:C30), 0)</f>
        <v>0.63404825737265413</v>
      </c>
      <c r="G25" s="23">
        <f t="shared" si="4"/>
        <v>-1900</v>
      </c>
    </row>
    <row r="26" spans="1:7" x14ac:dyDescent="0.2">
      <c r="A26">
        <v>23</v>
      </c>
      <c r="B26" s="20">
        <v>45705</v>
      </c>
      <c r="C26" s="4">
        <v>1900</v>
      </c>
      <c r="D26" s="4">
        <v>0</v>
      </c>
      <c r="E26" s="21">
        <f t="shared" si="3"/>
        <v>0</v>
      </c>
      <c r="F26" s="22">
        <f>IF(SUM($C$4:C30)-SUM($D$4:D30)&gt;0, (SUM($C$4:C30)-SUM($D$4:D30))/SUM($C$4:C30), 0)</f>
        <v>0.63404825737265413</v>
      </c>
      <c r="G26" s="23">
        <f t="shared" si="4"/>
        <v>-1900</v>
      </c>
    </row>
    <row r="27" spans="1:7" x14ac:dyDescent="0.2">
      <c r="A27">
        <v>24</v>
      </c>
      <c r="B27" s="20">
        <v>45712</v>
      </c>
      <c r="C27" s="4">
        <v>1300</v>
      </c>
      <c r="D27" s="4">
        <v>0</v>
      </c>
      <c r="E27" s="21">
        <f t="shared" si="3"/>
        <v>0</v>
      </c>
      <c r="F27" s="22">
        <f>IF(SUM($C$4:C30)-SUM($D$4:D30)&gt;0, (SUM($C$4:C30)-SUM($D$4:D30))/SUM($C$4:C30), 0)</f>
        <v>0.63404825737265413</v>
      </c>
      <c r="G27" s="23">
        <f t="shared" si="4"/>
        <v>-1300</v>
      </c>
    </row>
    <row r="28" spans="1:7" x14ac:dyDescent="0.2">
      <c r="A28">
        <v>25</v>
      </c>
      <c r="B28" s="20">
        <v>45719</v>
      </c>
      <c r="C28" s="4">
        <v>300</v>
      </c>
      <c r="D28" s="4">
        <v>0</v>
      </c>
      <c r="E28" s="21">
        <f t="shared" si="3"/>
        <v>0</v>
      </c>
      <c r="F28" s="22">
        <f>IF(SUM($C$4:C30)-SUM($D$4:D30)&gt;0, (SUM($C$4:C30)-SUM($D$4:D30))/SUM($C$4:C30), 0)</f>
        <v>0.63404825737265413</v>
      </c>
      <c r="G28" s="23">
        <f t="shared" si="4"/>
        <v>-300</v>
      </c>
    </row>
    <row r="29" spans="1:7" x14ac:dyDescent="0.2">
      <c r="A29">
        <v>26</v>
      </c>
      <c r="B29" s="20">
        <v>45726</v>
      </c>
      <c r="C29" s="4">
        <v>0</v>
      </c>
      <c r="D29" s="4">
        <v>0</v>
      </c>
      <c r="E29" s="21" t="e">
        <f t="shared" si="3"/>
        <v>#DIV/0!</v>
      </c>
      <c r="F29" s="22">
        <f>IF(SUM($C$4:C30)-SUM($D$4:D30)&gt;0, (SUM($C$4:C30)-SUM($D$4:D30))/SUM($C$4:C30), 0)</f>
        <v>0.63404825737265413</v>
      </c>
      <c r="G29" s="23">
        <f t="shared" si="4"/>
        <v>0</v>
      </c>
    </row>
    <row r="30" spans="1:7" x14ac:dyDescent="0.2">
      <c r="A30">
        <v>27</v>
      </c>
      <c r="B30" s="20">
        <v>45733</v>
      </c>
      <c r="C30" s="4">
        <v>0</v>
      </c>
      <c r="D30" s="4"/>
      <c r="E30" s="21" t="e">
        <f>D30/C30</f>
        <v>#DIV/0!</v>
      </c>
      <c r="F30" s="22">
        <f>IF(SUM($C$4:C30)-SUM($D$4:D30)&gt;0, (SUM($C$4:C30)-SUM($D$4:D30))/SUM($C$4:C30), 0)</f>
        <v>0.63404825737265413</v>
      </c>
      <c r="G30" s="23">
        <f>D30-C30</f>
        <v>0</v>
      </c>
    </row>
  </sheetData>
  <mergeCells count="2">
    <mergeCell ref="A1:A2"/>
    <mergeCell ref="B1:E2"/>
  </mergeCells>
  <pageMargins left="0.7" right="0.7" top="0.75" bottom="0.75" header="0.3" footer="0.3"/>
  <drawing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83AA6-DA1B-A549-BA43-618E57727628}">
  <dimension ref="A1:I4"/>
  <sheetViews>
    <sheetView workbookViewId="0">
      <selection activeCell="A3" sqref="A3"/>
    </sheetView>
  </sheetViews>
  <sheetFormatPr baseColWidth="10" defaultRowHeight="16" x14ac:dyDescent="0.2"/>
  <cols>
    <col min="4" max="4" width="14.33203125" customWidth="1"/>
    <col min="5" max="5" width="24" customWidth="1"/>
    <col min="6" max="6" width="13" customWidth="1"/>
    <col min="7" max="7" width="21.33203125" customWidth="1"/>
  </cols>
  <sheetData>
    <row r="1" spans="1:9" x14ac:dyDescent="0.2">
      <c r="A1" s="55" t="s">
        <v>51</v>
      </c>
      <c r="B1" s="58" t="s">
        <v>53</v>
      </c>
      <c r="C1" s="58"/>
      <c r="D1" s="58"/>
      <c r="E1" s="58"/>
      <c r="F1" s="58" t="s">
        <v>6</v>
      </c>
    </row>
    <row r="2" spans="1:9" x14ac:dyDescent="0.2">
      <c r="A2" s="55"/>
      <c r="B2" s="59"/>
      <c r="C2" s="59"/>
      <c r="D2" s="59"/>
      <c r="E2" s="59"/>
      <c r="F2" s="59"/>
      <c r="I2" t="s">
        <v>53</v>
      </c>
    </row>
    <row r="3" spans="1:9" x14ac:dyDescent="0.2">
      <c r="A3" s="24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31" t="s">
        <v>8</v>
      </c>
    </row>
    <row r="4" spans="1:9" x14ac:dyDescent="0.2">
      <c r="A4">
        <v>1</v>
      </c>
    </row>
  </sheetData>
  <mergeCells count="3">
    <mergeCell ref="A1:A2"/>
    <mergeCell ref="B1:E2"/>
    <mergeCell ref="F1:F2"/>
  </mergeCells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C809-0478-DD4C-B4FB-0D550E95FAA2}">
  <dimension ref="A1:M28"/>
  <sheetViews>
    <sheetView workbookViewId="0">
      <selection activeCell="D29" sqref="D29"/>
    </sheetView>
  </sheetViews>
  <sheetFormatPr baseColWidth="10" defaultRowHeight="16" x14ac:dyDescent="0.2"/>
  <cols>
    <col min="4" max="4" width="11.5" bestFit="1" customWidth="1"/>
    <col min="5" max="5" width="24" customWidth="1"/>
    <col min="6" max="6" width="13" customWidth="1"/>
    <col min="7" max="7" width="21.33203125" customWidth="1"/>
    <col min="9" max="9" width="26.1640625" bestFit="1" customWidth="1"/>
    <col min="10" max="10" width="12.1640625" bestFit="1" customWidth="1"/>
    <col min="12" max="12" width="17.33203125" bestFit="1" customWidth="1"/>
  </cols>
  <sheetData>
    <row r="1" spans="1:13" x14ac:dyDescent="0.2">
      <c r="A1" s="55" t="s">
        <v>47</v>
      </c>
      <c r="B1" s="58" t="s">
        <v>54</v>
      </c>
      <c r="C1" s="58"/>
      <c r="D1" s="58"/>
      <c r="E1" s="58"/>
    </row>
    <row r="2" spans="1:13" x14ac:dyDescent="0.2">
      <c r="A2" s="60"/>
      <c r="B2" s="59"/>
      <c r="C2" s="59"/>
      <c r="D2" s="59"/>
      <c r="E2" s="59"/>
      <c r="I2" t="s">
        <v>54</v>
      </c>
    </row>
    <row r="3" spans="1:13" x14ac:dyDescent="0.2">
      <c r="A3" s="24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  <c r="I3" s="9" t="s">
        <v>39</v>
      </c>
      <c r="J3" s="16" cm="1">
        <f t="array" ref="J3">AVERAGE(IF(Table17[Cumplimiento de Meta %]&gt;=100%,1,0))</f>
        <v>0.32</v>
      </c>
      <c r="L3" t="s">
        <v>41</v>
      </c>
      <c r="M3" s="18">
        <f>(COUNT(Table17[[#All],[Semana]])*7)/30</f>
        <v>5.833333333333333</v>
      </c>
    </row>
    <row r="4" spans="1:13" x14ac:dyDescent="0.2">
      <c r="A4">
        <v>1</v>
      </c>
      <c r="B4" s="20">
        <v>45565</v>
      </c>
      <c r="C4" s="4">
        <v>500</v>
      </c>
      <c r="D4" s="4">
        <v>500</v>
      </c>
      <c r="E4" s="21">
        <f>D4/C4</f>
        <v>1</v>
      </c>
      <c r="F4" s="22">
        <f>IF(SUM($C$4:C4)-SUM($D$4:D4)&gt;0, (SUM($C$4:C4)-SUM($D$4:D4))/SUM($C$4:C4), 0)</f>
        <v>0</v>
      </c>
      <c r="G4" s="23">
        <f>D4-C4</f>
        <v>0</v>
      </c>
      <c r="I4" s="4"/>
      <c r="J4" s="4"/>
    </row>
    <row r="5" spans="1:13" x14ac:dyDescent="0.2">
      <c r="A5">
        <v>2</v>
      </c>
      <c r="B5" s="20">
        <v>45572</v>
      </c>
      <c r="C5" s="4">
        <v>1100</v>
      </c>
      <c r="D5" s="4">
        <v>1100</v>
      </c>
      <c r="E5" s="21">
        <f t="shared" ref="E5:E21" si="0">D5/C5</f>
        <v>1</v>
      </c>
      <c r="F5" s="22">
        <f>IF(SUM($C$4:C5)-SUM($D$4:D5)&gt;0, (SUM($C$4:C5)-SUM($D$4:D5))/SUM($C$4:C5), 0)</f>
        <v>0</v>
      </c>
      <c r="G5" s="23">
        <f t="shared" ref="G5:G21" si="1">D5-C5</f>
        <v>0</v>
      </c>
      <c r="I5" s="4" t="s">
        <v>21</v>
      </c>
      <c r="J5" s="4">
        <f>SUM(Table17[[#All],[Meta]])</f>
        <v>89550</v>
      </c>
    </row>
    <row r="6" spans="1:13" x14ac:dyDescent="0.2">
      <c r="A6">
        <v>3</v>
      </c>
      <c r="B6" s="20">
        <v>45579</v>
      </c>
      <c r="C6" s="4">
        <v>2300</v>
      </c>
      <c r="D6" s="4">
        <v>2300</v>
      </c>
      <c r="E6" s="21">
        <f t="shared" si="0"/>
        <v>1</v>
      </c>
      <c r="F6" s="22">
        <f>IF(SUM($C$4:C6)-SUM($D$4:D6)&gt;0, (SUM($C$4:C6)-SUM($D$4:D6))/SUM($C$4:C6), 0)</f>
        <v>0</v>
      </c>
      <c r="G6" s="23">
        <f t="shared" si="1"/>
        <v>0</v>
      </c>
      <c r="I6" s="4" t="s">
        <v>22</v>
      </c>
      <c r="J6" s="4">
        <f>SUM(Table17[[#All],[Cobranza]])</f>
        <v>62650</v>
      </c>
    </row>
    <row r="7" spans="1:13" x14ac:dyDescent="0.2">
      <c r="A7">
        <v>4</v>
      </c>
      <c r="B7" s="20">
        <v>45586</v>
      </c>
      <c r="C7" s="4">
        <v>2600</v>
      </c>
      <c r="D7" s="4">
        <v>2600</v>
      </c>
      <c r="E7" s="21">
        <f t="shared" si="0"/>
        <v>1</v>
      </c>
      <c r="F7" s="22">
        <f>IF(SUM($C$4:C7)-SUM($D$4:D7)&gt;0, (SUM($C$4:C7)-SUM($D$4:D7))/SUM($C$4:C7), 0)</f>
        <v>0</v>
      </c>
      <c r="G7" s="23">
        <f t="shared" si="1"/>
        <v>0</v>
      </c>
      <c r="I7" s="4" t="s">
        <v>23</v>
      </c>
      <c r="J7" s="4">
        <f>SUM(Table17[[#All],[Didiferencia Absoluta]])</f>
        <v>-26900</v>
      </c>
    </row>
    <row r="8" spans="1:13" x14ac:dyDescent="0.2">
      <c r="A8">
        <v>5</v>
      </c>
      <c r="B8" s="20">
        <v>45593</v>
      </c>
      <c r="C8" s="4">
        <v>2900</v>
      </c>
      <c r="D8" s="4">
        <v>2900</v>
      </c>
      <c r="E8" s="21">
        <f t="shared" si="0"/>
        <v>1</v>
      </c>
      <c r="F8" s="22">
        <f>IF(SUM($C$4:C8)-SUM($D$4:D8)&gt;0, (SUM($C$4:C8)-SUM($D$4:D8))/SUM($C$4:C8), 0)</f>
        <v>0</v>
      </c>
      <c r="G8" s="23">
        <f t="shared" si="1"/>
        <v>0</v>
      </c>
      <c r="I8" t="s">
        <v>24</v>
      </c>
      <c r="J8" s="16">
        <f>(J7/J5)*-1</f>
        <v>0.30039084310441094</v>
      </c>
    </row>
    <row r="9" spans="1:13" x14ac:dyDescent="0.2">
      <c r="A9">
        <v>6</v>
      </c>
      <c r="B9" s="20">
        <v>45600</v>
      </c>
      <c r="C9" s="4">
        <v>3200</v>
      </c>
      <c r="D9" s="4">
        <v>3200</v>
      </c>
      <c r="E9" s="21">
        <f t="shared" si="0"/>
        <v>1</v>
      </c>
      <c r="F9" s="22">
        <f>IF(SUM($C$4:C9)-SUM($D$4:D9)&gt;0, (SUM($C$4:C9)-SUM($D$4:D9))/SUM($C$4:C9), 0)</f>
        <v>0</v>
      </c>
      <c r="G9" s="23">
        <f t="shared" si="1"/>
        <v>0</v>
      </c>
    </row>
    <row r="10" spans="1:13" x14ac:dyDescent="0.2">
      <c r="A10">
        <v>7</v>
      </c>
      <c r="B10" s="20">
        <v>45607</v>
      </c>
      <c r="C10" s="4">
        <v>3200</v>
      </c>
      <c r="D10" s="4">
        <v>2600</v>
      </c>
      <c r="E10" s="21">
        <f t="shared" si="0"/>
        <v>0.8125</v>
      </c>
      <c r="F10" s="22">
        <f>IF(SUM($C$4:C10)-SUM($D$4:D10)&gt;0, (SUM($C$4:C10)-SUM($D$4:D10))/SUM($C$4:C10), 0)</f>
        <v>3.7974683544303799E-2</v>
      </c>
      <c r="G10" s="23">
        <f t="shared" si="1"/>
        <v>-600</v>
      </c>
    </row>
    <row r="11" spans="1:13" x14ac:dyDescent="0.2">
      <c r="A11">
        <v>8</v>
      </c>
      <c r="B11" s="20">
        <v>45614</v>
      </c>
      <c r="C11" s="4">
        <v>3500</v>
      </c>
      <c r="D11" s="4">
        <v>2600</v>
      </c>
      <c r="E11" s="21">
        <f t="shared" si="0"/>
        <v>0.74285714285714288</v>
      </c>
      <c r="F11" s="22">
        <f>IF(SUM($C$4:C11)-SUM($D$4:D11)&gt;0, (SUM($C$4:C11)-SUM($D$4:D11))/SUM($C$4:C11), 0)</f>
        <v>7.7720207253886009E-2</v>
      </c>
      <c r="G11" s="23">
        <f t="shared" si="1"/>
        <v>-900</v>
      </c>
    </row>
    <row r="12" spans="1:13" x14ac:dyDescent="0.2">
      <c r="A12">
        <v>9</v>
      </c>
      <c r="B12" s="20">
        <v>45621</v>
      </c>
      <c r="C12" s="4">
        <v>3800</v>
      </c>
      <c r="D12" s="4">
        <v>2900</v>
      </c>
      <c r="E12" s="21">
        <f t="shared" si="0"/>
        <v>0.76315789473684215</v>
      </c>
      <c r="F12" s="22">
        <f>IF(SUM($C$4:C12)-SUM($D$4:D12)&gt;0, (SUM($C$4:C12)-SUM($D$4:D12))/SUM($C$4:C12), 0)</f>
        <v>0.1038961038961039</v>
      </c>
      <c r="G12" s="23">
        <f t="shared" si="1"/>
        <v>-900</v>
      </c>
    </row>
    <row r="13" spans="1:13" x14ac:dyDescent="0.2">
      <c r="A13">
        <v>10</v>
      </c>
      <c r="B13" s="20">
        <v>45628</v>
      </c>
      <c r="C13" s="4">
        <v>3800</v>
      </c>
      <c r="D13" s="4">
        <v>0</v>
      </c>
      <c r="E13" s="21">
        <f t="shared" si="0"/>
        <v>0</v>
      </c>
      <c r="F13" s="22">
        <f>IF(SUM($C$4:C13)-SUM($D$4:D13)&gt;0, (SUM($C$4:C13)-SUM($D$4:D13))/SUM($C$4:C13), 0)</f>
        <v>0.23048327137546468</v>
      </c>
      <c r="G13" s="23">
        <f t="shared" si="1"/>
        <v>-3800</v>
      </c>
    </row>
    <row r="14" spans="1:13" x14ac:dyDescent="0.2">
      <c r="A14">
        <v>11</v>
      </c>
      <c r="B14" s="20">
        <v>45635</v>
      </c>
      <c r="C14" s="4">
        <v>3800</v>
      </c>
      <c r="D14" s="4">
        <v>0</v>
      </c>
      <c r="E14" s="21">
        <f t="shared" si="0"/>
        <v>0</v>
      </c>
      <c r="F14" s="22">
        <f>IF(SUM($C$4:C14)-SUM($D$4:D14)&gt;0, (SUM($C$4:C14)-SUM($D$4:D14))/SUM($C$4:C14), 0)</f>
        <v>0.32573289902280128</v>
      </c>
      <c r="G14" s="23">
        <f t="shared" si="1"/>
        <v>-3800</v>
      </c>
    </row>
    <row r="15" spans="1:13" x14ac:dyDescent="0.2">
      <c r="A15">
        <v>12</v>
      </c>
      <c r="B15" s="20">
        <v>45642</v>
      </c>
      <c r="C15" s="4">
        <v>3800</v>
      </c>
      <c r="D15" s="4">
        <v>11000</v>
      </c>
      <c r="E15" s="21">
        <f t="shared" si="0"/>
        <v>2.8947368421052633</v>
      </c>
      <c r="F15" s="22">
        <f>IF(SUM($C$4:C15)-SUM($D$4:D15)&gt;0, (SUM($C$4:C15)-SUM($D$4:D15))/SUM($C$4:C15), 0)</f>
        <v>8.1159420289855067E-2</v>
      </c>
      <c r="G15" s="23">
        <f t="shared" si="1"/>
        <v>7200</v>
      </c>
    </row>
    <row r="16" spans="1:13" x14ac:dyDescent="0.2">
      <c r="A16">
        <v>13</v>
      </c>
      <c r="B16" s="20">
        <v>45649</v>
      </c>
      <c r="C16" s="4">
        <v>3350</v>
      </c>
      <c r="D16" s="4">
        <v>2350</v>
      </c>
      <c r="E16" s="21">
        <f t="shared" si="0"/>
        <v>0.70149253731343286</v>
      </c>
      <c r="F16" s="22">
        <f>IF(SUM($C$4:C16)-SUM($D$4:D16)&gt;0, (SUM($C$4:C16)-SUM($D$4:D16))/SUM($C$4:C16), 0)</f>
        <v>0.10039630118890357</v>
      </c>
      <c r="G16" s="23">
        <f t="shared" si="1"/>
        <v>-1000</v>
      </c>
    </row>
    <row r="17" spans="1:7" x14ac:dyDescent="0.2">
      <c r="A17">
        <v>14</v>
      </c>
      <c r="B17" s="20">
        <v>45656</v>
      </c>
      <c r="C17" s="4">
        <v>4600</v>
      </c>
      <c r="D17" s="4">
        <v>2450</v>
      </c>
      <c r="E17" s="21">
        <f t="shared" si="0"/>
        <v>0.53260869565217395</v>
      </c>
      <c r="F17" s="22">
        <f>IF(SUM($C$4:C17)-SUM($D$4:D17)&gt;0, (SUM($C$4:C17)-SUM($D$4:D17))/SUM($C$4:C17), 0)</f>
        <v>0.14016489988221437</v>
      </c>
      <c r="G17" s="23">
        <f t="shared" si="1"/>
        <v>-2150</v>
      </c>
    </row>
    <row r="18" spans="1:7" x14ac:dyDescent="0.2">
      <c r="A18">
        <v>15</v>
      </c>
      <c r="B18" s="20">
        <v>45663</v>
      </c>
      <c r="C18" s="4">
        <v>4300</v>
      </c>
      <c r="D18" s="4">
        <v>3350</v>
      </c>
      <c r="E18" s="21">
        <f t="shared" si="0"/>
        <v>0.77906976744186052</v>
      </c>
      <c r="F18" s="22">
        <f>IF(SUM($C$4:C18)-SUM($D$4:D18)&gt;0, (SUM($C$4:C18)-SUM($D$4:D18))/SUM($C$4:C18), 0)</f>
        <v>0.14759358288770053</v>
      </c>
      <c r="G18" s="23">
        <f t="shared" si="1"/>
        <v>-950</v>
      </c>
    </row>
    <row r="19" spans="1:7" x14ac:dyDescent="0.2">
      <c r="A19">
        <v>16</v>
      </c>
      <c r="B19" s="20">
        <v>45670</v>
      </c>
      <c r="C19" s="4">
        <v>4000</v>
      </c>
      <c r="D19" s="4">
        <v>4000</v>
      </c>
      <c r="E19" s="21">
        <f t="shared" si="0"/>
        <v>1</v>
      </c>
      <c r="F19" s="22">
        <f>IF(SUM($C$4:C19)-SUM($D$4:D19)&gt;0, (SUM($C$4:C19)-SUM($D$4:D19))/SUM($C$4:C19), 0)</f>
        <v>0.13596059113300493</v>
      </c>
      <c r="G19" s="23">
        <f t="shared" si="1"/>
        <v>0</v>
      </c>
    </row>
    <row r="20" spans="1:7" x14ac:dyDescent="0.2">
      <c r="A20">
        <v>17</v>
      </c>
      <c r="B20" s="20">
        <v>45677</v>
      </c>
      <c r="C20" s="4">
        <v>3550</v>
      </c>
      <c r="D20" s="4">
        <v>2900</v>
      </c>
      <c r="E20" s="21">
        <f t="shared" si="0"/>
        <v>0.81690140845070425</v>
      </c>
      <c r="F20" s="22">
        <f>IF(SUM($C$4:C20)-SUM($D$4:D20)&gt;0, (SUM($C$4:C20)-SUM($D$4:D20))/SUM($C$4:C20), 0)</f>
        <v>0.13904235727440148</v>
      </c>
      <c r="G20" s="23">
        <f t="shared" si="1"/>
        <v>-650</v>
      </c>
    </row>
    <row r="21" spans="1:7" x14ac:dyDescent="0.2">
      <c r="A21">
        <v>18</v>
      </c>
      <c r="B21" s="20">
        <v>45684</v>
      </c>
      <c r="C21" s="4">
        <v>3950</v>
      </c>
      <c r="D21" s="4">
        <v>3900</v>
      </c>
      <c r="E21" s="21">
        <f t="shared" si="0"/>
        <v>0.98734177215189878</v>
      </c>
      <c r="F21" s="22">
        <f>IF(SUM($C$4:C28)-SUM($D$4:D28)&gt;0, (SUM($C$4:C28)-SUM($D$4:D28))/SUM($C$4:C28), 0)</f>
        <v>0.30039084310441094</v>
      </c>
      <c r="G21" s="23">
        <f t="shared" si="1"/>
        <v>-50</v>
      </c>
    </row>
    <row r="22" spans="1:7" x14ac:dyDescent="0.2">
      <c r="A22">
        <v>19</v>
      </c>
      <c r="B22" s="20">
        <v>45691</v>
      </c>
      <c r="C22" s="4">
        <v>4600</v>
      </c>
      <c r="D22" s="4">
        <v>3350</v>
      </c>
      <c r="E22" s="21">
        <f t="shared" ref="E22:E27" si="2">D22/C22</f>
        <v>0.72826086956521741</v>
      </c>
      <c r="F22" s="22">
        <f>IF(SUM($C$4:C28)-SUM($D$4:D28)&gt;0, (SUM($C$4:C28)-SUM($D$4:D28))/SUM($C$4:C28), 0)</f>
        <v>0.30039084310441094</v>
      </c>
      <c r="G22" s="23">
        <f t="shared" ref="G22:G27" si="3">D22-C22</f>
        <v>-1250</v>
      </c>
    </row>
    <row r="23" spans="1:7" x14ac:dyDescent="0.2">
      <c r="A23">
        <v>20</v>
      </c>
      <c r="B23" s="20">
        <v>45698</v>
      </c>
      <c r="C23" s="4">
        <v>4600</v>
      </c>
      <c r="D23" s="4">
        <v>2000</v>
      </c>
      <c r="E23" s="21">
        <f t="shared" si="2"/>
        <v>0.43478260869565216</v>
      </c>
      <c r="F23" s="22">
        <f>IF(SUM($C$4:C28)-SUM($D$4:D28)&gt;0, (SUM($C$4:C28)-SUM($D$4:D28))/SUM($C$4:C28), 0)</f>
        <v>0.30039084310441094</v>
      </c>
      <c r="G23" s="23">
        <f t="shared" si="3"/>
        <v>-2600</v>
      </c>
    </row>
    <row r="24" spans="1:7" x14ac:dyDescent="0.2">
      <c r="A24">
        <v>21</v>
      </c>
      <c r="B24" s="20">
        <v>45705</v>
      </c>
      <c r="C24" s="4">
        <v>4600</v>
      </c>
      <c r="D24" s="4">
        <v>1700</v>
      </c>
      <c r="E24" s="21">
        <f t="shared" si="2"/>
        <v>0.36956521739130432</v>
      </c>
      <c r="F24" s="22">
        <f>IF(SUM($C$4:C28)-SUM($D$4:D28)&gt;0, (SUM($C$4:C28)-SUM($D$4:D28))/SUM($C$4:C28), 0)</f>
        <v>0.30039084310441094</v>
      </c>
      <c r="G24" s="23">
        <f t="shared" si="3"/>
        <v>-2900</v>
      </c>
    </row>
    <row r="25" spans="1:7" x14ac:dyDescent="0.2">
      <c r="A25">
        <v>22</v>
      </c>
      <c r="B25" s="20">
        <v>45712</v>
      </c>
      <c r="C25" s="4">
        <v>4600</v>
      </c>
      <c r="D25" s="4">
        <v>2000</v>
      </c>
      <c r="E25" s="21">
        <f t="shared" si="2"/>
        <v>0.43478260869565216</v>
      </c>
      <c r="F25" s="22">
        <f>IF(SUM($C$4:C28)-SUM($D$4:D28)&gt;0, (SUM($C$4:C28)-SUM($D$4:D28))/SUM($C$4:C28), 0)</f>
        <v>0.30039084310441094</v>
      </c>
      <c r="G25" s="23">
        <f t="shared" si="3"/>
        <v>-2600</v>
      </c>
    </row>
    <row r="26" spans="1:7" x14ac:dyDescent="0.2">
      <c r="A26">
        <v>23</v>
      </c>
      <c r="B26" s="20">
        <v>45719</v>
      </c>
      <c r="C26" s="4">
        <v>4300</v>
      </c>
      <c r="D26" s="4">
        <v>1950</v>
      </c>
      <c r="E26" s="21">
        <f t="shared" si="2"/>
        <v>0.45348837209302323</v>
      </c>
      <c r="F26" s="22">
        <f>IF(SUM($C$4:C28)-SUM($D$4:D28)&gt;0, (SUM($C$4:C28)-SUM($D$4:D28))/SUM($C$4:C28), 0)</f>
        <v>0.30039084310441094</v>
      </c>
      <c r="G26" s="23">
        <f t="shared" si="3"/>
        <v>-2350</v>
      </c>
    </row>
    <row r="27" spans="1:7" x14ac:dyDescent="0.2">
      <c r="A27">
        <v>24</v>
      </c>
      <c r="B27" s="20">
        <v>45726</v>
      </c>
      <c r="C27" s="4">
        <v>4300</v>
      </c>
      <c r="D27" s="4">
        <v>1000</v>
      </c>
      <c r="E27" s="21">
        <f t="shared" si="2"/>
        <v>0.23255813953488372</v>
      </c>
      <c r="F27" s="22">
        <f>IF(SUM($C$4:C28)-SUM($D$4:D28)&gt;0, (SUM($C$4:C28)-SUM($D$4:D28))/SUM($C$4:C28), 0)</f>
        <v>0.30039084310441094</v>
      </c>
      <c r="G27" s="23">
        <f t="shared" si="3"/>
        <v>-3300</v>
      </c>
    </row>
    <row r="28" spans="1:7" x14ac:dyDescent="0.2">
      <c r="A28">
        <v>25</v>
      </c>
      <c r="B28" s="20">
        <v>45733</v>
      </c>
      <c r="C28" s="4">
        <v>4300</v>
      </c>
      <c r="D28" s="4"/>
      <c r="E28" s="21">
        <f>D28/C28</f>
        <v>0</v>
      </c>
      <c r="F28" s="22">
        <f>IF(SUM($C$4:C28)-SUM($D$4:D28)&gt;0, (SUM($C$4:C28)-SUM($D$4:D28))/SUM($C$4:C28), 0)</f>
        <v>0.30039084310441094</v>
      </c>
      <c r="G28" s="23">
        <f>D28-C28</f>
        <v>-4300</v>
      </c>
    </row>
  </sheetData>
  <mergeCells count="2">
    <mergeCell ref="A1:A2"/>
    <mergeCell ref="B1:E2"/>
  </mergeCells>
  <pageMargins left="0.7" right="0.7" top="0.75" bottom="0.75" header="0.3" footer="0.3"/>
  <drawing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1B219-E2AB-A043-89F6-394FD04733B0}">
  <dimension ref="A1:M28"/>
  <sheetViews>
    <sheetView workbookViewId="0">
      <selection activeCell="D29" sqref="D29"/>
    </sheetView>
  </sheetViews>
  <sheetFormatPr baseColWidth="10" defaultRowHeight="16" x14ac:dyDescent="0.2"/>
  <cols>
    <col min="4" max="4" width="11.33203125" customWidth="1"/>
    <col min="5" max="5" width="24" customWidth="1"/>
    <col min="6" max="6" width="13" customWidth="1"/>
    <col min="7" max="7" width="21.33203125" customWidth="1"/>
    <col min="9" max="9" width="26.1640625" bestFit="1" customWidth="1"/>
    <col min="10" max="10" width="12.1640625" bestFit="1" customWidth="1"/>
    <col min="12" max="12" width="17.33203125" bestFit="1" customWidth="1"/>
  </cols>
  <sheetData>
    <row r="1" spans="1:13" x14ac:dyDescent="0.2">
      <c r="A1" s="58" t="s">
        <v>55</v>
      </c>
      <c r="B1" s="55" t="s">
        <v>59</v>
      </c>
      <c r="C1" s="55"/>
      <c r="D1" s="55"/>
      <c r="E1" s="55"/>
    </row>
    <row r="2" spans="1:13" x14ac:dyDescent="0.2">
      <c r="A2" s="58"/>
      <c r="B2" s="60"/>
      <c r="C2" s="60"/>
      <c r="D2" s="60"/>
      <c r="E2" s="60"/>
      <c r="I2" t="s">
        <v>59</v>
      </c>
    </row>
    <row r="3" spans="1:13" x14ac:dyDescent="0.2">
      <c r="A3" s="24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  <c r="I3" s="9" t="s">
        <v>39</v>
      </c>
      <c r="J3" s="16" cm="1">
        <f t="array" ref="J3">AVERAGE(IF(Table18[Cumplimiento de Meta %]&gt;=100%,1,0))</f>
        <v>0.24</v>
      </c>
      <c r="L3" t="s">
        <v>41</v>
      </c>
      <c r="M3" s="18">
        <f>(COUNT(Table18[[#All],[Semana]])*7)/30</f>
        <v>5.833333333333333</v>
      </c>
    </row>
    <row r="4" spans="1:13" x14ac:dyDescent="0.2">
      <c r="A4">
        <v>1</v>
      </c>
      <c r="B4" s="20">
        <v>45565</v>
      </c>
      <c r="C4" s="4">
        <v>0</v>
      </c>
      <c r="D4" s="4">
        <v>0</v>
      </c>
      <c r="E4" s="21">
        <v>1</v>
      </c>
      <c r="F4" s="22">
        <f>IF(SUM($C$4:C4)-SUM($D$4:D4)&gt;0, (SUM($C$4:C4)-SUM($D$4:D4))/SUM($C$4:C4), 0)</f>
        <v>0</v>
      </c>
      <c r="G4" s="23">
        <f>D4-C4</f>
        <v>0</v>
      </c>
      <c r="I4" s="4"/>
      <c r="J4" s="4"/>
    </row>
    <row r="5" spans="1:13" x14ac:dyDescent="0.2">
      <c r="A5">
        <v>2</v>
      </c>
      <c r="B5" s="20">
        <v>45572</v>
      </c>
      <c r="C5" s="4">
        <v>1350</v>
      </c>
      <c r="D5" s="4">
        <v>1350</v>
      </c>
      <c r="E5" s="21">
        <f t="shared" ref="E5:E21" si="0">D5/C5</f>
        <v>1</v>
      </c>
      <c r="F5" s="22">
        <f>IF(SUM($C$4:C5)-SUM($D$4:D5)&gt;0, (SUM($C$4:C5)-SUM($D$4:D5))/SUM($C$4:C5), 0)</f>
        <v>0</v>
      </c>
      <c r="G5" s="23">
        <f t="shared" ref="G5:G21" si="1">D5-C5</f>
        <v>0</v>
      </c>
      <c r="I5" s="4" t="s">
        <v>21</v>
      </c>
      <c r="J5" s="4">
        <f>SUM(Table18[[#All],[Meta]])</f>
        <v>99650</v>
      </c>
    </row>
    <row r="6" spans="1:13" x14ac:dyDescent="0.2">
      <c r="A6">
        <v>3</v>
      </c>
      <c r="B6" s="20">
        <v>45579</v>
      </c>
      <c r="C6" s="4">
        <v>1650</v>
      </c>
      <c r="D6" s="4">
        <v>1650</v>
      </c>
      <c r="E6" s="21">
        <f t="shared" si="0"/>
        <v>1</v>
      </c>
      <c r="F6" s="22">
        <f>IF(SUM($C$4:C6)-SUM($D$4:D6)&gt;0, (SUM($C$4:C6)-SUM($D$4:D6))/SUM($C$4:C6), 0)</f>
        <v>0</v>
      </c>
      <c r="G6" s="23">
        <f t="shared" si="1"/>
        <v>0</v>
      </c>
      <c r="I6" s="4" t="s">
        <v>22</v>
      </c>
      <c r="J6" s="4">
        <f>SUM(Table18[[#All],[Cobranza]])</f>
        <v>59400</v>
      </c>
    </row>
    <row r="7" spans="1:13" x14ac:dyDescent="0.2">
      <c r="A7">
        <v>4</v>
      </c>
      <c r="B7" s="20">
        <v>45586</v>
      </c>
      <c r="C7" s="4">
        <v>2550</v>
      </c>
      <c r="D7" s="4">
        <v>2550</v>
      </c>
      <c r="E7" s="21">
        <f t="shared" si="0"/>
        <v>1</v>
      </c>
      <c r="F7" s="22">
        <f>IF(SUM($C$4:C7)-SUM($D$4:D7)&gt;0, (SUM($C$4:C7)-SUM($D$4:D7))/SUM($C$4:C7), 0)</f>
        <v>0</v>
      </c>
      <c r="G7" s="23">
        <f t="shared" si="1"/>
        <v>0</v>
      </c>
      <c r="I7" s="4" t="s">
        <v>23</v>
      </c>
      <c r="J7" s="4">
        <f>SUM(Table18[[#All],[Didiferencia Absoluta]])</f>
        <v>-40250</v>
      </c>
    </row>
    <row r="8" spans="1:13" x14ac:dyDescent="0.2">
      <c r="A8">
        <v>5</v>
      </c>
      <c r="B8" s="20">
        <v>45593</v>
      </c>
      <c r="C8" s="4">
        <v>3800</v>
      </c>
      <c r="D8" s="4">
        <v>4300</v>
      </c>
      <c r="E8" s="21">
        <f t="shared" si="0"/>
        <v>1.131578947368421</v>
      </c>
      <c r="F8" s="22">
        <f>IF(SUM($C$4:C8)-SUM($D$4:D8)&gt;0, (SUM($C$4:C8)-SUM($D$4:D8))/SUM($C$4:C8), 0)</f>
        <v>0</v>
      </c>
      <c r="G8" s="23">
        <f t="shared" si="1"/>
        <v>500</v>
      </c>
      <c r="I8" t="s">
        <v>24</v>
      </c>
      <c r="J8" s="16">
        <f>(J7/J5)*-1</f>
        <v>0.4039136979427998</v>
      </c>
    </row>
    <row r="9" spans="1:13" x14ac:dyDescent="0.2">
      <c r="A9">
        <v>6</v>
      </c>
      <c r="B9" s="20">
        <v>45600</v>
      </c>
      <c r="C9" s="4">
        <v>3950</v>
      </c>
      <c r="D9" s="4">
        <v>4650</v>
      </c>
      <c r="E9" s="21">
        <f t="shared" si="0"/>
        <v>1.1772151898734178</v>
      </c>
      <c r="F9" s="22">
        <f>IF(SUM($C$4:C9)-SUM($D$4:D9)&gt;0, (SUM($C$4:C9)-SUM($D$4:D9))/SUM($C$4:C9), 0)</f>
        <v>0</v>
      </c>
      <c r="G9" s="23">
        <f t="shared" si="1"/>
        <v>700</v>
      </c>
    </row>
    <row r="10" spans="1:13" x14ac:dyDescent="0.2">
      <c r="A10">
        <v>7</v>
      </c>
      <c r="B10" s="20">
        <v>45607</v>
      </c>
      <c r="C10" s="4">
        <v>4550</v>
      </c>
      <c r="D10" s="4">
        <v>3550</v>
      </c>
      <c r="E10" s="21">
        <f t="shared" si="0"/>
        <v>0.78021978021978022</v>
      </c>
      <c r="F10" s="22">
        <f>IF(SUM($C$4:C10)-SUM($D$4:D10)&gt;0, (SUM($C$4:C10)-SUM($D$4:D10))/SUM($C$4:C10), 0)</f>
        <v>0</v>
      </c>
      <c r="G10" s="23">
        <f t="shared" si="1"/>
        <v>-1000</v>
      </c>
    </row>
    <row r="11" spans="1:13" x14ac:dyDescent="0.2">
      <c r="A11">
        <v>8</v>
      </c>
      <c r="B11" s="20">
        <v>45614</v>
      </c>
      <c r="C11" s="4">
        <v>5450</v>
      </c>
      <c r="D11" s="4">
        <v>5150</v>
      </c>
      <c r="E11" s="21">
        <f t="shared" si="0"/>
        <v>0.94495412844036697</v>
      </c>
      <c r="F11" s="22">
        <f>IF(SUM($C$4:C11)-SUM($D$4:D11)&gt;0, (SUM($C$4:C11)-SUM($D$4:D11))/SUM($C$4:C11), 0)</f>
        <v>4.2918454935622317E-3</v>
      </c>
      <c r="G11" s="23">
        <f t="shared" si="1"/>
        <v>-300</v>
      </c>
    </row>
    <row r="12" spans="1:13" x14ac:dyDescent="0.2">
      <c r="A12">
        <v>9</v>
      </c>
      <c r="B12" s="20">
        <v>45621</v>
      </c>
      <c r="C12" s="4">
        <v>6050</v>
      </c>
      <c r="D12" s="4">
        <v>4950</v>
      </c>
      <c r="E12" s="21">
        <f t="shared" si="0"/>
        <v>0.81818181818181823</v>
      </c>
      <c r="F12" s="22">
        <f>IF(SUM($C$4:C12)-SUM($D$4:D12)&gt;0, (SUM($C$4:C12)-SUM($D$4:D12))/SUM($C$4:C12), 0)</f>
        <v>4.0885860306643949E-2</v>
      </c>
      <c r="G12" s="23">
        <f t="shared" si="1"/>
        <v>-1100</v>
      </c>
    </row>
    <row r="13" spans="1:13" x14ac:dyDescent="0.2">
      <c r="A13">
        <v>10</v>
      </c>
      <c r="B13" s="20">
        <v>45628</v>
      </c>
      <c r="C13" s="4">
        <v>6350</v>
      </c>
      <c r="D13" s="4">
        <v>4450</v>
      </c>
      <c r="E13" s="21">
        <f t="shared" si="0"/>
        <v>0.70078740157480313</v>
      </c>
      <c r="F13" s="22">
        <f>IF(SUM($C$4:C13)-SUM($D$4:D13)&gt;0, (SUM($C$4:C13)-SUM($D$4:D13))/SUM($C$4:C13), 0)</f>
        <v>8.683473389355742E-2</v>
      </c>
      <c r="G13" s="23">
        <f t="shared" si="1"/>
        <v>-1900</v>
      </c>
    </row>
    <row r="14" spans="1:13" x14ac:dyDescent="0.2">
      <c r="A14">
        <v>11</v>
      </c>
      <c r="B14" s="20">
        <v>45635</v>
      </c>
      <c r="C14" s="4">
        <v>6350</v>
      </c>
      <c r="D14" s="4">
        <v>5450</v>
      </c>
      <c r="E14" s="21">
        <f t="shared" si="0"/>
        <v>0.8582677165354331</v>
      </c>
      <c r="F14" s="22">
        <f>IF(SUM($C$4:C14)-SUM($D$4:D14)&gt;0, (SUM($C$4:C14)-SUM($D$4:D14))/SUM($C$4:C14), 0)</f>
        <v>9.5124851367419744E-2</v>
      </c>
      <c r="G14" s="23">
        <f t="shared" si="1"/>
        <v>-900</v>
      </c>
    </row>
    <row r="15" spans="1:13" x14ac:dyDescent="0.2">
      <c r="A15">
        <v>12</v>
      </c>
      <c r="B15" s="20">
        <v>45642</v>
      </c>
      <c r="C15" s="4">
        <v>6350</v>
      </c>
      <c r="D15" s="4">
        <v>5450</v>
      </c>
      <c r="E15" s="21">
        <f t="shared" si="0"/>
        <v>0.8582677165354331</v>
      </c>
      <c r="F15" s="22">
        <f>IF(SUM($C$4:C15)-SUM($D$4:D15)&gt;0, (SUM($C$4:C15)-SUM($D$4:D15))/SUM($C$4:C15), 0)</f>
        <v>0.1012396694214876</v>
      </c>
      <c r="G15" s="23">
        <f t="shared" si="1"/>
        <v>-900</v>
      </c>
    </row>
    <row r="16" spans="1:13" x14ac:dyDescent="0.2">
      <c r="A16">
        <v>13</v>
      </c>
      <c r="B16" s="20">
        <v>45649</v>
      </c>
      <c r="C16" s="4">
        <v>6650</v>
      </c>
      <c r="D16" s="4">
        <v>3250</v>
      </c>
      <c r="E16" s="21">
        <f t="shared" si="0"/>
        <v>0.48872180451127817</v>
      </c>
      <c r="F16" s="22">
        <f>IF(SUM($C$4:C16)-SUM($D$4:D16)&gt;0, (SUM($C$4:C16)-SUM($D$4:D16))/SUM($C$4:C16), 0)</f>
        <v>0.15077202543142598</v>
      </c>
      <c r="G16" s="23">
        <f t="shared" si="1"/>
        <v>-3400</v>
      </c>
    </row>
    <row r="17" spans="1:7" x14ac:dyDescent="0.2">
      <c r="A17">
        <v>14</v>
      </c>
      <c r="B17" s="20">
        <v>45656</v>
      </c>
      <c r="C17" s="4">
        <v>6350</v>
      </c>
      <c r="D17" s="4">
        <v>5200</v>
      </c>
      <c r="E17" s="21">
        <f t="shared" si="0"/>
        <v>0.81889763779527558</v>
      </c>
      <c r="F17" s="22">
        <f>IF(SUM($C$4:C17)-SUM($D$4:D17)&gt;0, (SUM($C$4:C17)-SUM($D$4:D17))/SUM($C$4:C17), 0)</f>
        <v>0.15390879478827363</v>
      </c>
      <c r="G17" s="23">
        <f t="shared" si="1"/>
        <v>-1150</v>
      </c>
    </row>
    <row r="18" spans="1:7" x14ac:dyDescent="0.2">
      <c r="A18">
        <v>15</v>
      </c>
      <c r="B18" s="20">
        <v>45663</v>
      </c>
      <c r="C18" s="4">
        <v>6350</v>
      </c>
      <c r="D18" s="4">
        <v>0</v>
      </c>
      <c r="E18" s="21">
        <f t="shared" si="0"/>
        <v>0</v>
      </c>
      <c r="F18" s="22">
        <f>IF(SUM($C$4:C18)-SUM($D$4:D18)&gt;0, (SUM($C$4:C18)-SUM($D$4:D18))/SUM($C$4:C18), 0)</f>
        <v>0.23321033210332104</v>
      </c>
      <c r="G18" s="23">
        <f t="shared" si="1"/>
        <v>-6350</v>
      </c>
    </row>
    <row r="19" spans="1:7" x14ac:dyDescent="0.2">
      <c r="A19">
        <v>16</v>
      </c>
      <c r="B19" s="20">
        <v>45670</v>
      </c>
      <c r="C19" s="4">
        <v>6050</v>
      </c>
      <c r="D19" s="4">
        <v>2650</v>
      </c>
      <c r="E19" s="21">
        <f t="shared" si="0"/>
        <v>0.43801652892561982</v>
      </c>
      <c r="F19" s="22">
        <f>IF(SUM($C$4:C19)-SUM($D$4:D19)&gt;0, (SUM($C$4:C19)-SUM($D$4:D19))/SUM($C$4:C19), 0)</f>
        <v>0.26016260162601629</v>
      </c>
      <c r="G19" s="23">
        <f t="shared" si="1"/>
        <v>-3400</v>
      </c>
    </row>
    <row r="20" spans="1:7" x14ac:dyDescent="0.2">
      <c r="A20">
        <v>17</v>
      </c>
      <c r="B20" s="20">
        <v>45677</v>
      </c>
      <c r="C20" s="4">
        <v>5750</v>
      </c>
      <c r="D20" s="4">
        <v>2000</v>
      </c>
      <c r="E20" s="21">
        <f t="shared" si="0"/>
        <v>0.34782608695652173</v>
      </c>
      <c r="F20" s="22">
        <f>IF(SUM($C$4:C20)-SUM($D$4:D20)&gt;0, (SUM($C$4:C20)-SUM($D$4:D20))/SUM($C$4:C20), 0)</f>
        <v>0.28849780012570708</v>
      </c>
      <c r="G20" s="23">
        <f t="shared" si="1"/>
        <v>-3750</v>
      </c>
    </row>
    <row r="21" spans="1:7" x14ac:dyDescent="0.2">
      <c r="A21">
        <v>18</v>
      </c>
      <c r="B21" s="20">
        <v>45684</v>
      </c>
      <c r="C21" s="4">
        <v>4650</v>
      </c>
      <c r="D21" s="4">
        <v>1100</v>
      </c>
      <c r="E21" s="21">
        <f t="shared" si="0"/>
        <v>0.23655913978494625</v>
      </c>
      <c r="F21" s="22">
        <f>IF(SUM($C$4:C21)-SUM($D$4:D21)&gt;0, (SUM($C$4:C21)-SUM($D$4:D21))/SUM($C$4:C21), 0)</f>
        <v>0.31472684085510688</v>
      </c>
      <c r="G21" s="23">
        <f t="shared" si="1"/>
        <v>-3550</v>
      </c>
    </row>
    <row r="22" spans="1:7" x14ac:dyDescent="0.2">
      <c r="A22">
        <v>19</v>
      </c>
      <c r="B22" s="20">
        <v>45691</v>
      </c>
      <c r="C22" s="4">
        <v>3750</v>
      </c>
      <c r="D22" s="4">
        <v>600</v>
      </c>
      <c r="E22" s="21">
        <f t="shared" ref="E22:E27" si="2">D22/C22</f>
        <v>0.16</v>
      </c>
      <c r="F22" s="22">
        <f>IF(SUM($C$4:C22)-SUM($D$4:D22)&gt;0, (SUM($C$4:C22)-SUM($D$4:D22))/SUM($C$4:C22), 0)</f>
        <v>0.33712336554860717</v>
      </c>
      <c r="G22" s="23">
        <f t="shared" ref="G22:G27" si="3">D22-C22</f>
        <v>-3150</v>
      </c>
    </row>
    <row r="23" spans="1:7" x14ac:dyDescent="0.2">
      <c r="A23">
        <v>20</v>
      </c>
      <c r="B23" s="20">
        <v>45698</v>
      </c>
      <c r="C23" s="4">
        <v>3450</v>
      </c>
      <c r="D23" s="4">
        <v>0</v>
      </c>
      <c r="E23" s="21">
        <f t="shared" si="2"/>
        <v>0</v>
      </c>
      <c r="F23" s="22">
        <f>IF(SUM($C$4:C23)-SUM($D$4:D23)&gt;0, (SUM($C$4:C23)-SUM($D$4:D23))/SUM($C$4:C23), 0)</f>
        <v>0.36214442013129106</v>
      </c>
      <c r="G23" s="23">
        <f t="shared" si="3"/>
        <v>-3450</v>
      </c>
    </row>
    <row r="24" spans="1:7" x14ac:dyDescent="0.2">
      <c r="A24">
        <v>21</v>
      </c>
      <c r="B24" s="20">
        <v>45705</v>
      </c>
      <c r="C24" s="4">
        <v>2850</v>
      </c>
      <c r="D24" s="4">
        <v>1100</v>
      </c>
      <c r="E24" s="21">
        <f t="shared" si="2"/>
        <v>0.38596491228070173</v>
      </c>
      <c r="F24" s="22">
        <f>IF(SUM($C$4:C24)-SUM($D$4:D24)&gt;0, (SUM($C$4:C24)-SUM($D$4:D24))/SUM($C$4:C24), 0)</f>
        <v>0.36976127320954905</v>
      </c>
      <c r="G24" s="23">
        <f t="shared" si="3"/>
        <v>-1750</v>
      </c>
    </row>
    <row r="25" spans="1:7" x14ac:dyDescent="0.2">
      <c r="A25">
        <v>22</v>
      </c>
      <c r="B25" s="20">
        <v>45712</v>
      </c>
      <c r="C25" s="4">
        <v>1950</v>
      </c>
      <c r="D25" s="4">
        <v>0</v>
      </c>
      <c r="E25" s="21">
        <f t="shared" si="2"/>
        <v>0</v>
      </c>
      <c r="F25" s="22">
        <f>IF(SUM($C$4:C28)-SUM($D$4:D28)&gt;0, (SUM($C$4:C28)-SUM($D$4:D28))/SUM($C$4:C28), 0)</f>
        <v>0.4039136979427998</v>
      </c>
      <c r="G25" s="23">
        <f t="shared" si="3"/>
        <v>-1950</v>
      </c>
    </row>
    <row r="26" spans="1:7" x14ac:dyDescent="0.2">
      <c r="A26">
        <v>23</v>
      </c>
      <c r="B26" s="20">
        <v>45719</v>
      </c>
      <c r="C26" s="4">
        <v>1350</v>
      </c>
      <c r="D26" s="4">
        <v>0</v>
      </c>
      <c r="E26" s="21">
        <f t="shared" si="2"/>
        <v>0</v>
      </c>
      <c r="F26" s="22">
        <f>IF(SUM($C$4:C28)-SUM($D$4:D28)&gt;0, (SUM($C$4:C28)-SUM($D$4:D28))/SUM($C$4:C28), 0)</f>
        <v>0.4039136979427998</v>
      </c>
      <c r="G26" s="23">
        <f t="shared" si="3"/>
        <v>-1350</v>
      </c>
    </row>
    <row r="27" spans="1:7" x14ac:dyDescent="0.2">
      <c r="A27">
        <v>24</v>
      </c>
      <c r="B27" s="20">
        <v>45726</v>
      </c>
      <c r="C27" s="4">
        <v>1050</v>
      </c>
      <c r="D27" s="4">
        <v>0</v>
      </c>
      <c r="E27" s="21">
        <f t="shared" si="2"/>
        <v>0</v>
      </c>
      <c r="F27" s="22">
        <f>IF(SUM($C$4:C28)-SUM($D$4:D28)&gt;0, (SUM($C$4:C28)-SUM($D$4:D28))/SUM($C$4:C28), 0)</f>
        <v>0.4039136979427998</v>
      </c>
      <c r="G27" s="23">
        <f t="shared" si="3"/>
        <v>-1050</v>
      </c>
    </row>
    <row r="28" spans="1:7" x14ac:dyDescent="0.2">
      <c r="A28">
        <v>25</v>
      </c>
      <c r="B28" s="20">
        <v>45733</v>
      </c>
      <c r="C28" s="4">
        <v>1050</v>
      </c>
      <c r="D28" s="4"/>
      <c r="E28" s="21">
        <f>D28/C28</f>
        <v>0</v>
      </c>
      <c r="F28" s="22">
        <f>IF(SUM($C$4:C28)-SUM($D$4:D28)&gt;0, (SUM($C$4:C28)-SUM($D$4:D28))/SUM($C$4:C28), 0)</f>
        <v>0.4039136979427998</v>
      </c>
      <c r="G28" s="23">
        <f>D28-C28</f>
        <v>-1050</v>
      </c>
    </row>
  </sheetData>
  <mergeCells count="2">
    <mergeCell ref="A1:A2"/>
    <mergeCell ref="B1:E2"/>
  </mergeCells>
  <pageMargins left="0.7" right="0.7" top="0.75" bottom="0.75" header="0.3" footer="0.3"/>
  <drawing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CA8C6-DA56-1A4F-A3D1-CA22D1B18880}">
  <dimension ref="A1:M28"/>
  <sheetViews>
    <sheetView topLeftCell="B7" workbookViewId="0">
      <selection activeCell="F36" sqref="F36"/>
    </sheetView>
  </sheetViews>
  <sheetFormatPr baseColWidth="10" defaultRowHeight="16" x14ac:dyDescent="0.2"/>
  <cols>
    <col min="4" max="4" width="11.5" bestFit="1" customWidth="1"/>
    <col min="5" max="5" width="24" customWidth="1"/>
    <col min="6" max="6" width="13" customWidth="1"/>
    <col min="7" max="7" width="21.33203125" customWidth="1"/>
    <col min="9" max="9" width="26.1640625" bestFit="1" customWidth="1"/>
    <col min="10" max="10" width="12.5" bestFit="1" customWidth="1"/>
    <col min="12" max="12" width="17.33203125" bestFit="1" customWidth="1"/>
  </cols>
  <sheetData>
    <row r="1" spans="1:13" ht="16" customHeight="1" x14ac:dyDescent="0.2">
      <c r="A1" s="58" t="s">
        <v>56</v>
      </c>
      <c r="B1" s="55" t="s">
        <v>60</v>
      </c>
      <c r="C1" s="55"/>
      <c r="D1" s="55"/>
      <c r="E1" s="55"/>
    </row>
    <row r="2" spans="1:13" ht="16" customHeight="1" x14ac:dyDescent="0.2">
      <c r="A2" s="58"/>
      <c r="B2" s="60"/>
      <c r="C2" s="60"/>
      <c r="D2" s="60"/>
      <c r="E2" s="60"/>
      <c r="I2" t="s">
        <v>60</v>
      </c>
    </row>
    <row r="3" spans="1:13" x14ac:dyDescent="0.2">
      <c r="A3" s="24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  <c r="I3" s="9" t="s">
        <v>39</v>
      </c>
      <c r="J3" s="16" t="e" cm="1">
        <f t="array" ref="J3">AVERAGE(IF(Table19[Cumplimiento de Meta %]&gt;=100%,1,0))</f>
        <v>#DIV/0!</v>
      </c>
      <c r="L3" t="s">
        <v>41</v>
      </c>
      <c r="M3" s="18">
        <f>(COUNT(Table19[[#All],[Semana]])*7)/30</f>
        <v>5.833333333333333</v>
      </c>
    </row>
    <row r="4" spans="1:13" x14ac:dyDescent="0.2">
      <c r="A4">
        <v>1</v>
      </c>
      <c r="B4" s="20">
        <v>45565</v>
      </c>
      <c r="C4" s="4">
        <v>300</v>
      </c>
      <c r="D4" s="4">
        <v>900</v>
      </c>
      <c r="E4" s="21">
        <f>D4/C4</f>
        <v>3</v>
      </c>
      <c r="F4" s="22">
        <f>IF(SUM($C$4:C4)-SUM($D$4:D4)&gt;0, (SUM($C$4:C4)-SUM($D$4:D4))/SUM($C$4:C4), 0)</f>
        <v>0</v>
      </c>
      <c r="G4" s="23">
        <f>D4-C4</f>
        <v>600</v>
      </c>
      <c r="I4" s="4"/>
      <c r="J4" s="4"/>
    </row>
    <row r="5" spans="1:13" x14ac:dyDescent="0.2">
      <c r="A5">
        <v>2</v>
      </c>
      <c r="B5" s="20">
        <v>45572</v>
      </c>
      <c r="C5" s="4">
        <v>1500</v>
      </c>
      <c r="D5" s="4">
        <v>1500</v>
      </c>
      <c r="E5" s="21">
        <f t="shared" ref="E5:E21" si="0">D5/C5</f>
        <v>1</v>
      </c>
      <c r="F5" s="22">
        <f>IF(SUM($C$4:C5)-SUM($D$4:D5)&gt;0, (SUM($C$4:C5)-SUM($D$4:D5))/SUM($C$4:C5), 0)</f>
        <v>0</v>
      </c>
      <c r="G5" s="23">
        <f t="shared" ref="G5:G21" si="1">D5-C5</f>
        <v>0</v>
      </c>
      <c r="I5" s="4" t="s">
        <v>21</v>
      </c>
      <c r="J5" s="4">
        <f>SUM(Table19[[#All],[Meta]])</f>
        <v>104400</v>
      </c>
    </row>
    <row r="6" spans="1:13" x14ac:dyDescent="0.2">
      <c r="A6">
        <v>3</v>
      </c>
      <c r="B6" s="20">
        <v>45579</v>
      </c>
      <c r="C6" s="4">
        <v>3000</v>
      </c>
      <c r="D6" s="4">
        <v>2700</v>
      </c>
      <c r="E6" s="21">
        <f t="shared" si="0"/>
        <v>0.9</v>
      </c>
      <c r="F6" s="22">
        <f>IF(SUM($C$4:C6)-SUM($D$4:D6)&gt;0, (SUM($C$4:C6)-SUM($D$4:D6))/SUM($C$4:C6), 0)</f>
        <v>0</v>
      </c>
      <c r="G6" s="23">
        <f t="shared" si="1"/>
        <v>-300</v>
      </c>
      <c r="I6" s="4" t="s">
        <v>22</v>
      </c>
      <c r="J6" s="4">
        <f>SUM(Table19[[#All],[Cobranza]])</f>
        <v>47400</v>
      </c>
    </row>
    <row r="7" spans="1:13" x14ac:dyDescent="0.2">
      <c r="A7">
        <v>4</v>
      </c>
      <c r="B7" s="20">
        <v>45586</v>
      </c>
      <c r="C7" s="4">
        <v>4500</v>
      </c>
      <c r="D7" s="4">
        <v>4200</v>
      </c>
      <c r="E7" s="21">
        <f t="shared" si="0"/>
        <v>0.93333333333333335</v>
      </c>
      <c r="F7" s="22">
        <f>IF(SUM($C$4:C7)-SUM($D$4:D7)&gt;0, (SUM($C$4:C7)-SUM($D$4:D7))/SUM($C$4:C7), 0)</f>
        <v>0</v>
      </c>
      <c r="G7" s="23">
        <f t="shared" si="1"/>
        <v>-300</v>
      </c>
      <c r="I7" s="4" t="s">
        <v>23</v>
      </c>
      <c r="J7" s="4">
        <f>SUM(Table19[[#All],[Didiferencia Absoluta]])</f>
        <v>-57000</v>
      </c>
    </row>
    <row r="8" spans="1:13" x14ac:dyDescent="0.2">
      <c r="A8">
        <v>5</v>
      </c>
      <c r="B8" s="20">
        <v>45593</v>
      </c>
      <c r="C8" s="4">
        <v>6000</v>
      </c>
      <c r="D8" s="4">
        <v>6000</v>
      </c>
      <c r="E8" s="21">
        <f t="shared" si="0"/>
        <v>1</v>
      </c>
      <c r="F8" s="22">
        <f>IF(SUM($C$4:C8)-SUM($D$4:D8)&gt;0, (SUM($C$4:C8)-SUM($D$4:D8))/SUM($C$4:C8), 0)</f>
        <v>0</v>
      </c>
      <c r="G8" s="23">
        <f t="shared" si="1"/>
        <v>0</v>
      </c>
      <c r="I8" t="s">
        <v>24</v>
      </c>
      <c r="J8" s="16">
        <f>(J7/J5)*-1</f>
        <v>0.54597701149425293</v>
      </c>
    </row>
    <row r="9" spans="1:13" x14ac:dyDescent="0.2">
      <c r="A9">
        <v>6</v>
      </c>
      <c r="B9" s="20">
        <v>45600</v>
      </c>
      <c r="C9" s="4">
        <v>7500</v>
      </c>
      <c r="D9" s="4">
        <v>7500</v>
      </c>
      <c r="E9" s="21">
        <f t="shared" si="0"/>
        <v>1</v>
      </c>
      <c r="F9" s="22">
        <f>IF(SUM($C$4:C9)-SUM($D$4:D9)&gt;0, (SUM($C$4:C9)-SUM($D$4:D9))/SUM($C$4:C9), 0)</f>
        <v>0</v>
      </c>
      <c r="G9" s="23">
        <f t="shared" si="1"/>
        <v>0</v>
      </c>
    </row>
    <row r="10" spans="1:13" x14ac:dyDescent="0.2">
      <c r="A10">
        <v>7</v>
      </c>
      <c r="B10" s="20">
        <v>45607</v>
      </c>
      <c r="C10" s="4">
        <v>7500</v>
      </c>
      <c r="D10" s="4">
        <v>0</v>
      </c>
      <c r="E10" s="21">
        <f t="shared" si="0"/>
        <v>0</v>
      </c>
      <c r="F10" s="22">
        <f>IF(SUM($C$4:C10)-SUM($D$4:D10)&gt;0, (SUM($C$4:C10)-SUM($D$4:D10))/SUM($C$4:C10), 0)</f>
        <v>0.24752475247524752</v>
      </c>
      <c r="G10" s="23">
        <f t="shared" si="1"/>
        <v>-7500</v>
      </c>
    </row>
    <row r="11" spans="1:13" x14ac:dyDescent="0.2">
      <c r="A11">
        <v>8</v>
      </c>
      <c r="B11" s="20">
        <v>45614</v>
      </c>
      <c r="C11" s="4">
        <v>7500</v>
      </c>
      <c r="D11" s="4">
        <v>11400</v>
      </c>
      <c r="E11" s="21">
        <f t="shared" si="0"/>
        <v>1.52</v>
      </c>
      <c r="F11" s="22">
        <f>IF(SUM($C$4:C11)-SUM($D$4:D11)&gt;0, (SUM($C$4:C11)-SUM($D$4:D11))/SUM($C$4:C11), 0)</f>
        <v>9.5238095238095233E-2</v>
      </c>
      <c r="G11" s="23">
        <f t="shared" si="1"/>
        <v>3900</v>
      </c>
    </row>
    <row r="12" spans="1:13" x14ac:dyDescent="0.2">
      <c r="A12">
        <v>9</v>
      </c>
      <c r="B12" s="20">
        <v>45621</v>
      </c>
      <c r="C12" s="4">
        <v>7500</v>
      </c>
      <c r="D12" s="4">
        <v>1500</v>
      </c>
      <c r="E12" s="21">
        <f t="shared" si="0"/>
        <v>0.2</v>
      </c>
      <c r="F12" s="22">
        <f>IF(SUM($C$4:C12)-SUM($D$4:D12)&gt;0, (SUM($C$4:C12)-SUM($D$4:D12))/SUM($C$4:C12), 0)</f>
        <v>0.2119205298013245</v>
      </c>
      <c r="G12" s="23">
        <f t="shared" si="1"/>
        <v>-6000</v>
      </c>
    </row>
    <row r="13" spans="1:13" x14ac:dyDescent="0.2">
      <c r="A13">
        <v>10</v>
      </c>
      <c r="B13" s="20">
        <v>45628</v>
      </c>
      <c r="C13" s="4">
        <v>7500</v>
      </c>
      <c r="D13" s="4">
        <v>2700</v>
      </c>
      <c r="E13" s="21">
        <f t="shared" si="0"/>
        <v>0.36</v>
      </c>
      <c r="F13" s="22">
        <f>IF(SUM($C$4:C13)-SUM($D$4:D13)&gt;0, (SUM($C$4:C13)-SUM($D$4:D13))/SUM($C$4:C13), 0)</f>
        <v>0.27272727272727271</v>
      </c>
      <c r="G13" s="23">
        <f t="shared" si="1"/>
        <v>-4800</v>
      </c>
    </row>
    <row r="14" spans="1:13" x14ac:dyDescent="0.2">
      <c r="A14">
        <v>11</v>
      </c>
      <c r="B14" s="20">
        <v>45635</v>
      </c>
      <c r="C14" s="4">
        <v>7500</v>
      </c>
      <c r="D14" s="4">
        <v>900</v>
      </c>
      <c r="E14" s="21">
        <f t="shared" si="0"/>
        <v>0.12</v>
      </c>
      <c r="F14" s="22">
        <f>IF(SUM($C$4:C14)-SUM($D$4:D14)&gt;0, (SUM($C$4:C14)-SUM($D$4:D14))/SUM($C$4:C14), 0)</f>
        <v>0.34825870646766172</v>
      </c>
      <c r="G14" s="23">
        <f t="shared" si="1"/>
        <v>-6600</v>
      </c>
    </row>
    <row r="15" spans="1:13" x14ac:dyDescent="0.2">
      <c r="A15">
        <v>12</v>
      </c>
      <c r="B15" s="20">
        <v>45642</v>
      </c>
      <c r="C15" s="4">
        <v>7500</v>
      </c>
      <c r="D15" s="4">
        <v>900</v>
      </c>
      <c r="E15" s="21">
        <f t="shared" si="0"/>
        <v>0.12</v>
      </c>
      <c r="F15" s="22">
        <f>IF(SUM($C$4:C15)-SUM($D$4:D15)&gt;0, (SUM($C$4:C15)-SUM($D$4:D15))/SUM($C$4:C15), 0)</f>
        <v>0.40707964601769914</v>
      </c>
      <c r="G15" s="23">
        <f t="shared" si="1"/>
        <v>-6600</v>
      </c>
    </row>
    <row r="16" spans="1:13" x14ac:dyDescent="0.2">
      <c r="A16">
        <v>13</v>
      </c>
      <c r="B16" s="20">
        <v>45649</v>
      </c>
      <c r="C16" s="4">
        <v>7500</v>
      </c>
      <c r="D16" s="4">
        <v>3000</v>
      </c>
      <c r="E16" s="21">
        <f t="shared" si="0"/>
        <v>0.4</v>
      </c>
      <c r="F16" s="22">
        <f>IF(SUM($C$4:C16)-SUM($D$4:D16)&gt;0, (SUM($C$4:C16)-SUM($D$4:D16))/SUM($C$4:C16), 0)</f>
        <v>0.42629482071713148</v>
      </c>
      <c r="G16" s="23">
        <f t="shared" si="1"/>
        <v>-4500</v>
      </c>
    </row>
    <row r="17" spans="1:7" x14ac:dyDescent="0.2">
      <c r="A17">
        <v>14</v>
      </c>
      <c r="B17" s="20">
        <v>45656</v>
      </c>
      <c r="C17" s="4">
        <v>7500</v>
      </c>
      <c r="D17" s="4">
        <v>600</v>
      </c>
      <c r="E17" s="21">
        <f t="shared" si="0"/>
        <v>0.08</v>
      </c>
      <c r="F17" s="22">
        <f>IF(SUM($C$4:C17)-SUM($D$4:D17)&gt;0, (SUM($C$4:C17)-SUM($D$4:D17))/SUM($C$4:C17), 0)</f>
        <v>0.47101449275362317</v>
      </c>
      <c r="G17" s="23">
        <f t="shared" si="1"/>
        <v>-6900</v>
      </c>
    </row>
    <row r="18" spans="1:7" x14ac:dyDescent="0.2">
      <c r="A18">
        <v>15</v>
      </c>
      <c r="B18" s="20">
        <v>45663</v>
      </c>
      <c r="C18" s="4">
        <v>7200</v>
      </c>
      <c r="D18" s="4">
        <v>900</v>
      </c>
      <c r="E18" s="21">
        <f t="shared" si="0"/>
        <v>0.125</v>
      </c>
      <c r="F18" s="22">
        <f>IF(SUM($C$4:C18)-SUM($D$4:D18)&gt;0, (SUM($C$4:C18)-SUM($D$4:D18))/SUM($C$4:C18), 0)</f>
        <v>0.5033333333333333</v>
      </c>
      <c r="G18" s="23">
        <f t="shared" si="1"/>
        <v>-6300</v>
      </c>
    </row>
    <row r="19" spans="1:7" x14ac:dyDescent="0.2">
      <c r="A19">
        <v>16</v>
      </c>
      <c r="B19" s="20">
        <v>45670</v>
      </c>
      <c r="C19" s="4">
        <v>5700</v>
      </c>
      <c r="D19" s="4">
        <v>300</v>
      </c>
      <c r="E19" s="21">
        <f t="shared" si="0"/>
        <v>5.2631578947368418E-2</v>
      </c>
      <c r="F19" s="22">
        <f>IF(SUM($C$4:C19)-SUM($D$4:D19)&gt;0, (SUM($C$4:C19)-SUM($D$4:D19))/SUM($C$4:C19), 0)</f>
        <v>0.52978056426332287</v>
      </c>
      <c r="G19" s="23">
        <f t="shared" si="1"/>
        <v>-5400</v>
      </c>
    </row>
    <row r="20" spans="1:7" x14ac:dyDescent="0.2">
      <c r="A20">
        <v>17</v>
      </c>
      <c r="B20" s="20">
        <v>45677</v>
      </c>
      <c r="C20" s="4">
        <v>4500</v>
      </c>
      <c r="D20" s="4">
        <v>300</v>
      </c>
      <c r="E20" s="21">
        <f t="shared" si="0"/>
        <v>6.6666666666666666E-2</v>
      </c>
      <c r="F20" s="22">
        <f>IF(SUM($C$4:C20)-SUM($D$4:D20)&gt;0, (SUM($C$4:C20)-SUM($D$4:D20))/SUM($C$4:C20), 0)</f>
        <v>0.54790419161676651</v>
      </c>
      <c r="G20" s="23">
        <f t="shared" si="1"/>
        <v>-4200</v>
      </c>
    </row>
    <row r="21" spans="1:7" x14ac:dyDescent="0.2">
      <c r="A21">
        <v>18</v>
      </c>
      <c r="B21" s="20">
        <v>45684</v>
      </c>
      <c r="C21" s="4">
        <v>3000</v>
      </c>
      <c r="D21" s="4">
        <v>600</v>
      </c>
      <c r="E21" s="21">
        <f t="shared" si="0"/>
        <v>0.2</v>
      </c>
      <c r="F21" s="22">
        <f>IF(SUM($C$4:C21)-SUM($D$4:D21)&gt;0, (SUM($C$4:C21)-SUM($D$4:D21))/SUM($C$4:C21), 0)</f>
        <v>0.55523255813953487</v>
      </c>
      <c r="G21" s="23">
        <f t="shared" si="1"/>
        <v>-2400</v>
      </c>
    </row>
    <row r="22" spans="1:7" x14ac:dyDescent="0.2">
      <c r="A22">
        <v>19</v>
      </c>
      <c r="B22" s="20">
        <v>45691</v>
      </c>
      <c r="C22" s="4">
        <v>1200</v>
      </c>
      <c r="D22" s="4">
        <v>0</v>
      </c>
      <c r="E22" s="21">
        <f>D22/C22</f>
        <v>0</v>
      </c>
      <c r="F22" s="22">
        <f>IF(SUM($C$4:C22)-SUM($D$4:D22)&gt;0, (SUM($C$4:C22)-SUM($D$4:D22))/SUM($C$4:C22), 0)</f>
        <v>0.56034482758620685</v>
      </c>
      <c r="G22" s="23">
        <f t="shared" ref="G22:G27" si="2">D22-C22</f>
        <v>-1200</v>
      </c>
    </row>
    <row r="23" spans="1:7" x14ac:dyDescent="0.2">
      <c r="A23">
        <v>20</v>
      </c>
      <c r="B23" s="20">
        <v>45698</v>
      </c>
      <c r="C23" s="4">
        <v>0</v>
      </c>
      <c r="D23" s="4">
        <v>1500</v>
      </c>
      <c r="E23" s="21">
        <v>1</v>
      </c>
      <c r="F23" s="22">
        <f>IF(SUM($C$4:C23)-SUM($D$4:D23)&gt;0, (SUM($C$4:C23)-SUM($D$4:D23))/SUM($C$4:C23), 0)</f>
        <v>0.54597701149425293</v>
      </c>
      <c r="G23" s="23">
        <f t="shared" si="2"/>
        <v>1500</v>
      </c>
    </row>
    <row r="24" spans="1:7" x14ac:dyDescent="0.2">
      <c r="A24">
        <v>21</v>
      </c>
      <c r="B24" s="20">
        <v>45705</v>
      </c>
      <c r="C24" s="4">
        <v>0</v>
      </c>
      <c r="D24" s="4">
        <v>0</v>
      </c>
      <c r="E24" s="21" t="e">
        <f>D24/C24</f>
        <v>#DIV/0!</v>
      </c>
      <c r="F24" s="22">
        <f>IF(SUM($C$4:C24)-SUM($D$4:D24)&gt;0, (SUM($C$4:C24)-SUM($D$4:D24))/SUM($C$4:C24), 0)</f>
        <v>0.54597701149425293</v>
      </c>
      <c r="G24" s="23">
        <f t="shared" si="2"/>
        <v>0</v>
      </c>
    </row>
    <row r="25" spans="1:7" x14ac:dyDescent="0.2">
      <c r="A25">
        <v>22</v>
      </c>
      <c r="B25" s="20">
        <v>45712</v>
      </c>
      <c r="C25" s="4">
        <v>0</v>
      </c>
      <c r="D25" s="4">
        <v>0</v>
      </c>
      <c r="E25" s="21" t="e">
        <f>D25/C25</f>
        <v>#DIV/0!</v>
      </c>
      <c r="F25" s="22">
        <f>IF(SUM($C$4:C25)-SUM($D$4:D25)&gt;0, (SUM($C$4:C25)-SUM($D$4:D25))/SUM($C$4:C25), 0)</f>
        <v>0.54597701149425293</v>
      </c>
      <c r="G25" s="23">
        <f t="shared" si="2"/>
        <v>0</v>
      </c>
    </row>
    <row r="26" spans="1:7" x14ac:dyDescent="0.2">
      <c r="A26">
        <v>23</v>
      </c>
      <c r="B26" s="20">
        <v>45719</v>
      </c>
      <c r="C26" s="4">
        <v>0</v>
      </c>
      <c r="D26" s="4">
        <v>0</v>
      </c>
      <c r="E26" s="21" t="e">
        <f>D26/C26</f>
        <v>#DIV/0!</v>
      </c>
      <c r="F26" s="22">
        <f>IF(SUM($C$4:C26)-SUM($D$4:D26)&gt;0, (SUM($C$4:C26)-SUM($D$4:D26))/SUM($C$4:C26), 0)</f>
        <v>0.54597701149425293</v>
      </c>
      <c r="G26" s="23">
        <f t="shared" si="2"/>
        <v>0</v>
      </c>
    </row>
    <row r="27" spans="1:7" x14ac:dyDescent="0.2">
      <c r="A27">
        <v>24</v>
      </c>
      <c r="B27" s="20">
        <v>45726</v>
      </c>
      <c r="C27" s="4">
        <v>0</v>
      </c>
      <c r="D27" s="4">
        <v>0</v>
      </c>
      <c r="E27" s="21" t="e">
        <f>D27/C27</f>
        <v>#DIV/0!</v>
      </c>
      <c r="F27" s="22">
        <f>IF(SUM($C$4:C27)-SUM($D$4:D27)&gt;0, (SUM($C$4:C27)-SUM($D$4:D27))/SUM($C$4:C27), 0)</f>
        <v>0.54597701149425293</v>
      </c>
      <c r="G27" s="23">
        <f t="shared" si="2"/>
        <v>0</v>
      </c>
    </row>
    <row r="28" spans="1:7" x14ac:dyDescent="0.2">
      <c r="A28">
        <v>25</v>
      </c>
      <c r="B28" s="20">
        <v>45733</v>
      </c>
      <c r="C28" s="4">
        <v>0</v>
      </c>
      <c r="D28" s="4"/>
      <c r="E28" s="21" t="e">
        <f>D28/C28</f>
        <v>#DIV/0!</v>
      </c>
      <c r="F28" s="22">
        <f>IF(SUM($C$4:C28)-SUM($D$4:D28)&gt;0, (SUM($C$4:C28)-SUM($D$4:D28))/SUM($C$4:C28), 0)</f>
        <v>0.54597701149425293</v>
      </c>
      <c r="G28" s="23">
        <f>D28-C28</f>
        <v>0</v>
      </c>
    </row>
  </sheetData>
  <mergeCells count="2">
    <mergeCell ref="A1:A2"/>
    <mergeCell ref="B1:E2"/>
  </mergeCells>
  <pageMargins left="0.7" right="0.7" top="0.75" bottom="0.75" header="0.3" footer="0.3"/>
  <drawing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8CF41-FB69-7A4C-9E83-F880D042AF31}">
  <dimension ref="A1:M27"/>
  <sheetViews>
    <sheetView workbookViewId="0">
      <selection activeCell="E32" sqref="E32"/>
    </sheetView>
  </sheetViews>
  <sheetFormatPr baseColWidth="10" defaultRowHeight="16" x14ac:dyDescent="0.2"/>
  <cols>
    <col min="4" max="4" width="11.5" bestFit="1" customWidth="1"/>
    <col min="5" max="5" width="24" customWidth="1"/>
    <col min="6" max="6" width="13" customWidth="1"/>
    <col min="7" max="7" width="21.33203125" customWidth="1"/>
    <col min="9" max="9" width="26.1640625" bestFit="1" customWidth="1"/>
    <col min="10" max="10" width="12.5" bestFit="1" customWidth="1"/>
    <col min="12" max="12" width="17.33203125" bestFit="1" customWidth="1"/>
  </cols>
  <sheetData>
    <row r="1" spans="1:13" x14ac:dyDescent="0.2">
      <c r="A1" s="58" t="s">
        <v>57</v>
      </c>
      <c r="B1" s="55" t="s">
        <v>61</v>
      </c>
      <c r="C1" s="55"/>
      <c r="D1" s="55"/>
      <c r="E1" s="55"/>
    </row>
    <row r="2" spans="1:13" x14ac:dyDescent="0.2">
      <c r="A2" s="58"/>
      <c r="B2" s="60"/>
      <c r="C2" s="60"/>
      <c r="D2" s="60"/>
      <c r="E2" s="60"/>
      <c r="I2" t="s">
        <v>61</v>
      </c>
    </row>
    <row r="3" spans="1:13" x14ac:dyDescent="0.2">
      <c r="A3" s="24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  <c r="I3" s="9" t="s">
        <v>39</v>
      </c>
      <c r="J3" s="16" cm="1">
        <f t="array" ref="J3">AVERAGE(IF(Table20[Cumplimiento de Meta %]&gt;=100%,1,0))</f>
        <v>0.33333333333333331</v>
      </c>
      <c r="L3" t="s">
        <v>41</v>
      </c>
      <c r="M3" s="18">
        <f>(COUNT(Table20[[#All],[Semana]])*7)/30</f>
        <v>5.6</v>
      </c>
    </row>
    <row r="4" spans="1:13" x14ac:dyDescent="0.2">
      <c r="A4">
        <v>1</v>
      </c>
      <c r="B4" s="20">
        <v>45572</v>
      </c>
      <c r="C4" s="4">
        <v>1500</v>
      </c>
      <c r="D4" s="4">
        <v>1500</v>
      </c>
      <c r="E4" s="21">
        <f>D4/C4</f>
        <v>1</v>
      </c>
      <c r="F4" s="22">
        <f>IF(SUM($C$4:C4)-SUM($D$4:D4)&gt;0, (SUM($C$4:C4)-SUM($D$4:D4))/SUM($C$4:C4), 0)</f>
        <v>0</v>
      </c>
      <c r="G4" s="23">
        <f>D4-C4</f>
        <v>0</v>
      </c>
      <c r="I4" s="4"/>
      <c r="J4" s="4"/>
    </row>
    <row r="5" spans="1:13" x14ac:dyDescent="0.2">
      <c r="A5">
        <v>2</v>
      </c>
      <c r="B5" s="20">
        <v>45579</v>
      </c>
      <c r="C5" s="4">
        <v>2700</v>
      </c>
      <c r="D5" s="4">
        <v>2700</v>
      </c>
      <c r="E5" s="21">
        <f t="shared" ref="E5:E20" si="0">D5/C5</f>
        <v>1</v>
      </c>
      <c r="F5" s="22">
        <f>IF(SUM($C$4:C5)-SUM($D$4:D5)&gt;0, (SUM($C$4:C5)-SUM($D$4:D5))/SUM($C$4:C5), 0)</f>
        <v>0</v>
      </c>
      <c r="G5" s="23">
        <f t="shared" ref="G5:G20" si="1">D5-C5</f>
        <v>0</v>
      </c>
      <c r="I5" s="4" t="s">
        <v>21</v>
      </c>
      <c r="J5" s="4">
        <f>SUM(Table20[[#All],[Meta]])</f>
        <v>162250</v>
      </c>
    </row>
    <row r="6" spans="1:13" x14ac:dyDescent="0.2">
      <c r="A6">
        <v>3</v>
      </c>
      <c r="B6" s="20">
        <v>45586</v>
      </c>
      <c r="C6" s="4">
        <v>4200</v>
      </c>
      <c r="D6" s="4">
        <v>4200</v>
      </c>
      <c r="E6" s="21">
        <f t="shared" si="0"/>
        <v>1</v>
      </c>
      <c r="F6" s="22">
        <f>IF(SUM($C$4:C6)-SUM($D$4:D6)&gt;0, (SUM($C$4:C6)-SUM($D$4:D6))/SUM($C$4:C6), 0)</f>
        <v>0</v>
      </c>
      <c r="G6" s="23">
        <f t="shared" si="1"/>
        <v>0</v>
      </c>
      <c r="I6" s="4" t="s">
        <v>22</v>
      </c>
      <c r="J6" s="4">
        <f>SUM(Table20[[#All],[Cobranza]])</f>
        <v>144490</v>
      </c>
      <c r="L6">
        <f>J6/J5</f>
        <v>0.89053929121725728</v>
      </c>
    </row>
    <row r="7" spans="1:13" x14ac:dyDescent="0.2">
      <c r="A7">
        <v>4</v>
      </c>
      <c r="B7" s="20">
        <v>45593</v>
      </c>
      <c r="C7" s="4">
        <v>5700</v>
      </c>
      <c r="D7" s="4">
        <v>5400</v>
      </c>
      <c r="E7" s="21">
        <f t="shared" si="0"/>
        <v>0.94736842105263153</v>
      </c>
      <c r="F7" s="22">
        <f>IF(SUM($C$4:C7)-SUM($D$4:D7)&gt;0, (SUM($C$4:C7)-SUM($D$4:D7))/SUM($C$4:C7), 0)</f>
        <v>2.1276595744680851E-2</v>
      </c>
      <c r="G7" s="23">
        <f t="shared" si="1"/>
        <v>-300</v>
      </c>
      <c r="I7" s="4" t="s">
        <v>23</v>
      </c>
      <c r="J7" s="4">
        <f>SUM(Table20[[#All],[Didiferencia Absoluta]])</f>
        <v>-17760</v>
      </c>
    </row>
    <row r="8" spans="1:13" x14ac:dyDescent="0.2">
      <c r="A8">
        <v>5</v>
      </c>
      <c r="B8" s="20">
        <v>45600</v>
      </c>
      <c r="C8" s="4">
        <v>6900</v>
      </c>
      <c r="D8" s="4">
        <v>7100</v>
      </c>
      <c r="E8" s="21">
        <f t="shared" si="0"/>
        <v>1.0289855072463767</v>
      </c>
      <c r="F8" s="22">
        <f>IF(SUM($C$4:C8)-SUM($D$4:D8)&gt;0, (SUM($C$4:C8)-SUM($D$4:D8))/SUM($C$4:C8), 0)</f>
        <v>4.7619047619047623E-3</v>
      </c>
      <c r="G8" s="23">
        <f t="shared" si="1"/>
        <v>200</v>
      </c>
      <c r="I8" t="s">
        <v>24</v>
      </c>
      <c r="J8" s="16">
        <f>(J7/J5)*-1</f>
        <v>0.10946070878274268</v>
      </c>
    </row>
    <row r="9" spans="1:13" x14ac:dyDescent="0.2">
      <c r="A9">
        <v>6</v>
      </c>
      <c r="B9" s="20">
        <v>45607</v>
      </c>
      <c r="C9" s="4">
        <v>7200</v>
      </c>
      <c r="D9" s="4">
        <v>6800</v>
      </c>
      <c r="E9" s="21">
        <f t="shared" si="0"/>
        <v>0.94444444444444442</v>
      </c>
      <c r="F9" s="22">
        <f>IF(SUM($C$4:C9)-SUM($D$4:D9)&gt;0, (SUM($C$4:C9)-SUM($D$4:D9))/SUM($C$4:C9), 0)</f>
        <v>1.7730496453900711E-2</v>
      </c>
      <c r="G9" s="23">
        <f t="shared" si="1"/>
        <v>-400</v>
      </c>
    </row>
    <row r="10" spans="1:13" x14ac:dyDescent="0.2">
      <c r="A10">
        <v>7</v>
      </c>
      <c r="B10" s="20">
        <v>45614</v>
      </c>
      <c r="C10" s="4">
        <v>8100</v>
      </c>
      <c r="D10" s="4">
        <v>0</v>
      </c>
      <c r="E10" s="21">
        <f t="shared" si="0"/>
        <v>0</v>
      </c>
      <c r="F10" s="22">
        <f>IF(SUM($C$4:C10)-SUM($D$4:D10)&gt;0, (SUM($C$4:C10)-SUM($D$4:D10))/SUM($C$4:C10), 0)</f>
        <v>0.23691460055096419</v>
      </c>
      <c r="G10" s="23">
        <f t="shared" si="1"/>
        <v>-8100</v>
      </c>
    </row>
    <row r="11" spans="1:13" x14ac:dyDescent="0.2">
      <c r="A11">
        <v>8</v>
      </c>
      <c r="B11" s="20">
        <v>45621</v>
      </c>
      <c r="C11" s="4">
        <v>9000</v>
      </c>
      <c r="D11" s="4">
        <v>16730</v>
      </c>
      <c r="E11" s="21">
        <f t="shared" si="0"/>
        <v>1.8588888888888888</v>
      </c>
      <c r="F11" s="22">
        <f>IF(SUM($C$4:C11)-SUM($D$4:D11)&gt;0, (SUM($C$4:C11)-SUM($D$4:D11))/SUM($C$4:C11), 0)</f>
        <v>1.9205298013245033E-2</v>
      </c>
      <c r="G11" s="23">
        <f t="shared" si="1"/>
        <v>7730</v>
      </c>
    </row>
    <row r="12" spans="1:13" x14ac:dyDescent="0.2">
      <c r="A12">
        <v>9</v>
      </c>
      <c r="B12" s="20">
        <v>45628</v>
      </c>
      <c r="C12" s="4">
        <v>9000</v>
      </c>
      <c r="D12" s="4">
        <v>8500</v>
      </c>
      <c r="E12" s="21">
        <f t="shared" si="0"/>
        <v>0.94444444444444442</v>
      </c>
      <c r="F12" s="22">
        <f>IF(SUM($C$4:C12)-SUM($D$4:D12)&gt;0, (SUM($C$4:C12)-SUM($D$4:D12))/SUM($C$4:C12), 0)</f>
        <v>2.5230202578268877E-2</v>
      </c>
      <c r="G12" s="23">
        <f t="shared" si="1"/>
        <v>-500</v>
      </c>
    </row>
    <row r="13" spans="1:13" x14ac:dyDescent="0.2">
      <c r="A13">
        <v>10</v>
      </c>
      <c r="B13" s="20">
        <v>45635</v>
      </c>
      <c r="C13" s="4">
        <v>9000</v>
      </c>
      <c r="D13" s="4">
        <v>8200</v>
      </c>
      <c r="E13" s="21">
        <f t="shared" si="0"/>
        <v>0.91111111111111109</v>
      </c>
      <c r="F13" s="22">
        <f>IF(SUM($C$4:C13)-SUM($D$4:D13)&gt;0, (SUM($C$4:C13)-SUM($D$4:D13))/SUM($C$4:C13), 0)</f>
        <v>3.4281200631911535E-2</v>
      </c>
      <c r="G13" s="23">
        <f t="shared" si="1"/>
        <v>-800</v>
      </c>
    </row>
    <row r="14" spans="1:13" x14ac:dyDescent="0.2">
      <c r="A14">
        <v>11</v>
      </c>
      <c r="B14" s="20">
        <v>45642</v>
      </c>
      <c r="C14" s="4">
        <v>9050</v>
      </c>
      <c r="D14" s="4">
        <v>8450</v>
      </c>
      <c r="E14" s="21">
        <f t="shared" si="0"/>
        <v>0.93370165745856348</v>
      </c>
      <c r="F14" s="22">
        <f>IF(SUM($C$4:C14)-SUM($D$4:D14)&gt;0, (SUM($C$4:C14)-SUM($D$4:D14))/SUM($C$4:C14), 0)</f>
        <v>3.8286109191430544E-2</v>
      </c>
      <c r="G14" s="23">
        <f t="shared" si="1"/>
        <v>-600</v>
      </c>
    </row>
    <row r="15" spans="1:13" x14ac:dyDescent="0.2">
      <c r="A15">
        <v>12</v>
      </c>
      <c r="B15" s="20">
        <v>45649</v>
      </c>
      <c r="C15" s="4">
        <v>9100</v>
      </c>
      <c r="D15" s="4">
        <v>7000</v>
      </c>
      <c r="E15" s="21">
        <f t="shared" si="0"/>
        <v>0.76923076923076927</v>
      </c>
      <c r="F15" s="22">
        <f>IF(SUM($C$4:C15)-SUM($D$4:D15)&gt;0, (SUM($C$4:C15)-SUM($D$4:D15))/SUM($C$4:C15), 0)</f>
        <v>5.9791282995702882E-2</v>
      </c>
      <c r="G15" s="23">
        <f t="shared" si="1"/>
        <v>-2100</v>
      </c>
    </row>
    <row r="16" spans="1:13" x14ac:dyDescent="0.2">
      <c r="A16">
        <v>13</v>
      </c>
      <c r="B16" s="20">
        <v>45656</v>
      </c>
      <c r="C16" s="4">
        <v>8550</v>
      </c>
      <c r="D16" s="4">
        <v>7350</v>
      </c>
      <c r="E16" s="21">
        <f t="shared" si="0"/>
        <v>0.85964912280701755</v>
      </c>
      <c r="F16" s="22">
        <f>IF(SUM($C$4:C16)-SUM($D$4:D16)&gt;0, (SUM($C$4:C16)-SUM($D$4:D16))/SUM($C$4:C16), 0)</f>
        <v>6.7444444444444446E-2</v>
      </c>
      <c r="G16" s="23">
        <f t="shared" si="1"/>
        <v>-1200</v>
      </c>
    </row>
    <row r="17" spans="1:7" x14ac:dyDescent="0.2">
      <c r="A17">
        <v>14</v>
      </c>
      <c r="B17" s="20">
        <v>45663</v>
      </c>
      <c r="C17" s="4">
        <v>8350</v>
      </c>
      <c r="D17" s="4">
        <v>6550</v>
      </c>
      <c r="E17" s="21">
        <f t="shared" si="0"/>
        <v>0.78443113772455086</v>
      </c>
      <c r="F17" s="22">
        <f>IF(SUM($C$4:C17)-SUM($D$4:D17)&gt;0, (SUM($C$4:C17)-SUM($D$4:D17))/SUM($C$4:C17), 0)</f>
        <v>8.0020335536349768E-2</v>
      </c>
      <c r="G17" s="23">
        <f t="shared" si="1"/>
        <v>-1800</v>
      </c>
    </row>
    <row r="18" spans="1:7" x14ac:dyDescent="0.2">
      <c r="A18">
        <v>15</v>
      </c>
      <c r="B18" s="20">
        <v>45670</v>
      </c>
      <c r="C18" s="4">
        <v>8450</v>
      </c>
      <c r="D18" s="4">
        <v>6550</v>
      </c>
      <c r="E18" s="21">
        <f t="shared" si="0"/>
        <v>0.7751479289940828</v>
      </c>
      <c r="F18" s="22">
        <f>IF(SUM($C$4:C18)-SUM($D$4:D18)&gt;0, (SUM($C$4:C18)-SUM($D$4:D18))/SUM($C$4:C18), 0)</f>
        <v>9.1479400749063675E-2</v>
      </c>
      <c r="G18" s="23">
        <f t="shared" si="1"/>
        <v>-1900</v>
      </c>
    </row>
    <row r="19" spans="1:7" x14ac:dyDescent="0.2">
      <c r="A19">
        <v>16</v>
      </c>
      <c r="B19" s="20">
        <v>45677</v>
      </c>
      <c r="C19" s="4">
        <v>7700</v>
      </c>
      <c r="D19" s="4">
        <v>6750</v>
      </c>
      <c r="E19" s="21">
        <f t="shared" si="0"/>
        <v>0.87662337662337664</v>
      </c>
      <c r="F19" s="22">
        <f>IF(SUM($C$4:C19)-SUM($D$4:D19)&gt;0, (SUM($C$4:C19)-SUM($D$4:D19))/SUM($C$4:C19), 0)</f>
        <v>9.362445414847162E-2</v>
      </c>
      <c r="G19" s="23">
        <f t="shared" si="1"/>
        <v>-950</v>
      </c>
    </row>
    <row r="20" spans="1:7" x14ac:dyDescent="0.2">
      <c r="A20">
        <v>17</v>
      </c>
      <c r="B20" s="20">
        <v>45684</v>
      </c>
      <c r="C20" s="4">
        <v>6900</v>
      </c>
      <c r="D20" s="4">
        <v>5900</v>
      </c>
      <c r="E20" s="21">
        <f t="shared" si="0"/>
        <v>0.85507246376811596</v>
      </c>
      <c r="F20" s="22">
        <f>IF(SUM($C$4:C20)-SUM($D$4:D20)&gt;0, (SUM($C$4:C20)-SUM($D$4:D20))/SUM($C$4:C20), 0)</f>
        <v>9.6540362438220756E-2</v>
      </c>
      <c r="G20" s="23">
        <f t="shared" si="1"/>
        <v>-1000</v>
      </c>
    </row>
    <row r="21" spans="1:7" x14ac:dyDescent="0.2">
      <c r="A21">
        <v>18</v>
      </c>
      <c r="B21" s="20">
        <v>45691</v>
      </c>
      <c r="C21" s="4">
        <v>6600</v>
      </c>
      <c r="D21" s="4">
        <v>6050</v>
      </c>
      <c r="E21" s="21">
        <f t="shared" ref="E21:E26" si="2">D21/C21</f>
        <v>0.91666666666666663</v>
      </c>
      <c r="F21" s="22">
        <f>IF(SUM($C$4:C21)-SUM($D$4:D21)&gt;0, (SUM($C$4:C21)-SUM($D$4:D21))/SUM($C$4:C21), 0)</f>
        <v>9.5859374999999997E-2</v>
      </c>
      <c r="G21" s="23">
        <f t="shared" ref="G21:G26" si="3">D21-C21</f>
        <v>-550</v>
      </c>
    </row>
    <row r="22" spans="1:7" x14ac:dyDescent="0.2">
      <c r="A22">
        <v>19</v>
      </c>
      <c r="B22" s="20">
        <v>45698</v>
      </c>
      <c r="C22" s="4">
        <v>6050</v>
      </c>
      <c r="D22" s="4">
        <v>6100</v>
      </c>
      <c r="E22" s="21">
        <f t="shared" si="2"/>
        <v>1.0082644628099173</v>
      </c>
      <c r="F22" s="22">
        <f>IF(SUM($C$4:C22)-SUM($D$4:D22)&gt;0, (SUM($C$4:C22)-SUM($D$4:D22))/SUM($C$4:C22), 0)</f>
        <v>9.1160014919806048E-2</v>
      </c>
      <c r="G22" s="23">
        <f t="shared" si="3"/>
        <v>50</v>
      </c>
    </row>
    <row r="23" spans="1:7" x14ac:dyDescent="0.2">
      <c r="A23">
        <v>20</v>
      </c>
      <c r="B23" s="20">
        <v>45705</v>
      </c>
      <c r="C23" s="4">
        <v>6150</v>
      </c>
      <c r="D23" s="4">
        <v>6310</v>
      </c>
      <c r="E23" s="21">
        <f t="shared" si="2"/>
        <v>1.0260162601626017</v>
      </c>
      <c r="F23" s="22">
        <f>IF(SUM($C$4:C23)-SUM($D$4:D23)&gt;0, (SUM($C$4:C23)-SUM($D$4:D23))/SUM($C$4:C23), 0)</f>
        <v>8.6019971469329534E-2</v>
      </c>
      <c r="G23" s="23">
        <f t="shared" si="3"/>
        <v>160</v>
      </c>
    </row>
    <row r="24" spans="1:7" x14ac:dyDescent="0.2">
      <c r="A24">
        <v>21</v>
      </c>
      <c r="B24" s="20">
        <v>45712</v>
      </c>
      <c r="C24" s="4">
        <v>5500</v>
      </c>
      <c r="D24" s="4">
        <v>4800</v>
      </c>
      <c r="E24" s="21">
        <f t="shared" si="2"/>
        <v>0.87272727272727268</v>
      </c>
      <c r="F24" s="22">
        <f>IF(SUM($C$4:C24)-SUM($D$4:D24)&gt;0, (SUM($C$4:C24)-SUM($D$4:D24))/SUM($C$4:C24), 0)</f>
        <v>8.7577213452299241E-2</v>
      </c>
      <c r="G24" s="23">
        <f t="shared" si="3"/>
        <v>-700</v>
      </c>
    </row>
    <row r="25" spans="1:7" x14ac:dyDescent="0.2">
      <c r="A25">
        <v>22</v>
      </c>
      <c r="B25" s="20">
        <v>45719</v>
      </c>
      <c r="C25" s="4">
        <v>5300</v>
      </c>
      <c r="D25" s="4">
        <v>4400</v>
      </c>
      <c r="E25" s="21">
        <f t="shared" si="2"/>
        <v>0.83018867924528306</v>
      </c>
      <c r="F25" s="22">
        <f>IF(SUM($C$4:C25)-SUM($D$4:D25)&gt;0, (SUM($C$4:C25)-SUM($D$4:D25))/SUM($C$4:C25), 0)</f>
        <v>9.0463576158940393E-2</v>
      </c>
      <c r="G25" s="23">
        <f t="shared" si="3"/>
        <v>-900</v>
      </c>
    </row>
    <row r="26" spans="1:7" x14ac:dyDescent="0.2">
      <c r="A26">
        <v>23</v>
      </c>
      <c r="B26" s="20">
        <v>45726</v>
      </c>
      <c r="C26" s="4">
        <v>5300</v>
      </c>
      <c r="D26" s="4">
        <v>7150</v>
      </c>
      <c r="E26" s="21">
        <f t="shared" si="2"/>
        <v>1.3490566037735849</v>
      </c>
      <c r="F26" s="22">
        <f>IF(SUM($C$4:C26)-SUM($D$4:D26)&gt;0, (SUM($C$4:C26)-SUM($D$4:D26))/SUM($C$4:C26), 0)</f>
        <v>7.5559820857325655E-2</v>
      </c>
      <c r="G26" s="23">
        <f t="shared" si="3"/>
        <v>1850</v>
      </c>
    </row>
    <row r="27" spans="1:7" x14ac:dyDescent="0.2">
      <c r="A27">
        <v>24</v>
      </c>
      <c r="B27" s="20">
        <v>45733</v>
      </c>
      <c r="C27" s="4">
        <v>5950</v>
      </c>
      <c r="D27" s="4"/>
      <c r="E27" s="21">
        <f>D27/C27</f>
        <v>0</v>
      </c>
      <c r="F27" s="22">
        <f>IF(SUM($C$4:C27)-SUM($D$4:D27)&gt;0, (SUM($C$4:C27)-SUM($D$4:D27))/SUM($C$4:C27), 0)</f>
        <v>0.10946070878274268</v>
      </c>
      <c r="G27" s="23">
        <f>D27-C27</f>
        <v>-5950</v>
      </c>
    </row>
  </sheetData>
  <mergeCells count="2">
    <mergeCell ref="A1:A2"/>
    <mergeCell ref="B1:E2"/>
  </mergeCells>
  <pageMargins left="0.7" right="0.7" top="0.75" bottom="0.75" header="0.3" footer="0.3"/>
  <drawing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33838-74E6-4341-83EB-BAA1C5C433FB}">
  <dimension ref="A1:M27"/>
  <sheetViews>
    <sheetView workbookViewId="0">
      <selection activeCell="D29" sqref="D29"/>
    </sheetView>
  </sheetViews>
  <sheetFormatPr baseColWidth="10" defaultRowHeight="16" x14ac:dyDescent="0.2"/>
  <cols>
    <col min="4" max="4" width="11.33203125" customWidth="1"/>
    <col min="5" max="5" width="24" customWidth="1"/>
    <col min="6" max="6" width="13" customWidth="1"/>
    <col min="7" max="7" width="21.33203125" customWidth="1"/>
    <col min="9" max="9" width="27.6640625" bestFit="1" customWidth="1"/>
    <col min="10" max="10" width="12.5" bestFit="1" customWidth="1"/>
    <col min="12" max="12" width="17.33203125" bestFit="1" customWidth="1"/>
  </cols>
  <sheetData>
    <row r="1" spans="1:13" x14ac:dyDescent="0.2">
      <c r="A1" s="58" t="s">
        <v>58</v>
      </c>
      <c r="B1" s="55" t="s">
        <v>62</v>
      </c>
      <c r="C1" s="55"/>
      <c r="D1" s="55"/>
      <c r="E1" s="55"/>
    </row>
    <row r="2" spans="1:13" x14ac:dyDescent="0.2">
      <c r="A2" s="58"/>
      <c r="B2" s="60"/>
      <c r="C2" s="60"/>
      <c r="D2" s="60"/>
      <c r="E2" s="60"/>
      <c r="I2" t="s">
        <v>62</v>
      </c>
    </row>
    <row r="3" spans="1:13" x14ac:dyDescent="0.2">
      <c r="A3" s="24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  <c r="I3" s="9" t="s">
        <v>39</v>
      </c>
      <c r="J3" s="16" cm="1">
        <f t="array" ref="J3">AVERAGE(IF(Table21[Cumplimiento de Meta %]&gt;=100%,1,0))</f>
        <v>0.41666666666666669</v>
      </c>
      <c r="L3" t="s">
        <v>41</v>
      </c>
      <c r="M3" s="18">
        <f>(COUNT(Table21[[#All],[Semana]])*7)/30</f>
        <v>5.6</v>
      </c>
    </row>
    <row r="4" spans="1:13" x14ac:dyDescent="0.2">
      <c r="A4">
        <v>1</v>
      </c>
      <c r="B4" s="20">
        <v>45572</v>
      </c>
      <c r="C4" s="4">
        <v>300</v>
      </c>
      <c r="D4" s="4">
        <v>300</v>
      </c>
      <c r="E4" s="21">
        <f>D4/C4</f>
        <v>1</v>
      </c>
      <c r="F4" s="22">
        <f>IF(SUM($C$4:C4)-SUM($D$4:D4)&gt;0, (SUM($C$4:C4)-SUM($D$4:D4))/SUM($C$4:C4), 0)</f>
        <v>0</v>
      </c>
      <c r="G4" s="23">
        <f>D4-C4</f>
        <v>0</v>
      </c>
      <c r="I4" s="4"/>
      <c r="J4" s="4"/>
    </row>
    <row r="5" spans="1:13" x14ac:dyDescent="0.2">
      <c r="A5">
        <v>2</v>
      </c>
      <c r="B5" s="20">
        <v>45579</v>
      </c>
      <c r="C5" s="4">
        <v>1800</v>
      </c>
      <c r="D5" s="4">
        <v>1800</v>
      </c>
      <c r="E5" s="21">
        <f t="shared" ref="E5:E20" si="0">D5/C5</f>
        <v>1</v>
      </c>
      <c r="F5" s="22">
        <f>IF(SUM($C$4:C5)-SUM($D$4:D5)&gt;0, (SUM($C$4:C5)-SUM($D$4:D5))/SUM($C$4:C5), 0)</f>
        <v>0</v>
      </c>
      <c r="G5" s="23">
        <f t="shared" ref="G5:G20" si="1">D5-C5</f>
        <v>0</v>
      </c>
      <c r="I5" s="4" t="s">
        <v>21</v>
      </c>
      <c r="J5" s="4">
        <f>SUM(Table21[[#All],[Meta]])</f>
        <v>117550</v>
      </c>
    </row>
    <row r="6" spans="1:13" x14ac:dyDescent="0.2">
      <c r="A6">
        <v>3</v>
      </c>
      <c r="B6" s="20">
        <v>45586</v>
      </c>
      <c r="C6" s="4">
        <v>3300</v>
      </c>
      <c r="D6" s="4">
        <v>3300</v>
      </c>
      <c r="E6" s="21">
        <f t="shared" si="0"/>
        <v>1</v>
      </c>
      <c r="F6" s="22">
        <f>IF(SUM($C$4:C6)-SUM($D$4:D6)&gt;0, (SUM($C$4:C6)-SUM($D$4:D6))/SUM($C$4:C6), 0)</f>
        <v>0</v>
      </c>
      <c r="G6" s="23">
        <f t="shared" si="1"/>
        <v>0</v>
      </c>
      <c r="I6" s="4" t="s">
        <v>22</v>
      </c>
      <c r="J6" s="4">
        <f>SUM(Table21[[#All],[Cobranza]])</f>
        <v>84250</v>
      </c>
    </row>
    <row r="7" spans="1:13" x14ac:dyDescent="0.2">
      <c r="A7">
        <v>4</v>
      </c>
      <c r="B7" s="20">
        <v>45593</v>
      </c>
      <c r="C7" s="4">
        <v>4200</v>
      </c>
      <c r="D7" s="4">
        <v>4200</v>
      </c>
      <c r="E7" s="21">
        <f t="shared" si="0"/>
        <v>1</v>
      </c>
      <c r="F7" s="22">
        <f>IF(SUM($C$4:C7)-SUM($D$4:D7)&gt;0, (SUM($C$4:C7)-SUM($D$4:D7))/SUM($C$4:C7), 0)</f>
        <v>0</v>
      </c>
      <c r="G7" s="23">
        <f t="shared" si="1"/>
        <v>0</v>
      </c>
      <c r="I7" s="4" t="s">
        <v>23</v>
      </c>
      <c r="J7" s="4">
        <f>SUM(Table21[[#All],[Didiferencia Absoluta]])</f>
        <v>-33300</v>
      </c>
    </row>
    <row r="8" spans="1:13" x14ac:dyDescent="0.2">
      <c r="A8">
        <v>5</v>
      </c>
      <c r="B8" s="20">
        <v>45600</v>
      </c>
      <c r="C8" s="4">
        <v>5800</v>
      </c>
      <c r="D8" s="4">
        <v>4800</v>
      </c>
      <c r="E8" s="21">
        <f t="shared" si="0"/>
        <v>0.82758620689655171</v>
      </c>
      <c r="F8" s="22">
        <f>IF(SUM($C$4:C8)-SUM($D$4:D8)&gt;0, (SUM($C$4:C8)-SUM($D$4:D8))/SUM($C$4:C8), 0)</f>
        <v>6.4935064935064929E-2</v>
      </c>
      <c r="G8" s="23">
        <f t="shared" si="1"/>
        <v>-1000</v>
      </c>
      <c r="I8" t="s">
        <v>24</v>
      </c>
      <c r="J8" s="16">
        <f>(J7/J5)*-1</f>
        <v>0.28328370905997446</v>
      </c>
    </row>
    <row r="9" spans="1:13" x14ac:dyDescent="0.2">
      <c r="A9">
        <v>6</v>
      </c>
      <c r="B9" s="20">
        <v>45607</v>
      </c>
      <c r="C9" s="4">
        <v>5100</v>
      </c>
      <c r="D9" s="4">
        <v>4500</v>
      </c>
      <c r="E9" s="21">
        <f t="shared" si="0"/>
        <v>0.88235294117647056</v>
      </c>
      <c r="F9" s="22">
        <f>IF(SUM($C$4:C9)-SUM($D$4:D9)&gt;0, (SUM($C$4:C9)-SUM($D$4:D9))/SUM($C$4:C9), 0)</f>
        <v>7.8048780487804878E-2</v>
      </c>
      <c r="G9" s="23">
        <f t="shared" si="1"/>
        <v>-600</v>
      </c>
    </row>
    <row r="10" spans="1:13" x14ac:dyDescent="0.2">
      <c r="A10">
        <v>7</v>
      </c>
      <c r="B10" s="20">
        <v>45614</v>
      </c>
      <c r="C10" s="4">
        <v>5100</v>
      </c>
      <c r="D10" s="4">
        <v>5700</v>
      </c>
      <c r="E10" s="21">
        <f t="shared" si="0"/>
        <v>1.1176470588235294</v>
      </c>
      <c r="F10" s="22">
        <f>IF(SUM($C$4:C10)-SUM($D$4:D10)&gt;0, (SUM($C$4:C10)-SUM($D$4:D10))/SUM($C$4:C10), 0)</f>
        <v>3.90625E-2</v>
      </c>
      <c r="G10" s="23">
        <f t="shared" si="1"/>
        <v>600</v>
      </c>
    </row>
    <row r="11" spans="1:13" x14ac:dyDescent="0.2">
      <c r="A11">
        <v>8</v>
      </c>
      <c r="B11" s="20">
        <v>45621</v>
      </c>
      <c r="C11" s="4">
        <v>5700</v>
      </c>
      <c r="D11" s="4">
        <v>5400</v>
      </c>
      <c r="E11" s="21">
        <f t="shared" si="0"/>
        <v>0.94736842105263153</v>
      </c>
      <c r="F11" s="22">
        <f>IF(SUM($C$4:C11)-SUM($D$4:D11)&gt;0, (SUM($C$4:C11)-SUM($D$4:D11))/SUM($C$4:C11), 0)</f>
        <v>4.1533546325878593E-2</v>
      </c>
      <c r="G11" s="23">
        <f t="shared" si="1"/>
        <v>-300</v>
      </c>
    </row>
    <row r="12" spans="1:13" x14ac:dyDescent="0.2">
      <c r="A12">
        <v>9</v>
      </c>
      <c r="B12" s="20">
        <v>45628</v>
      </c>
      <c r="C12" s="4">
        <v>5700</v>
      </c>
      <c r="D12" s="4">
        <v>6000</v>
      </c>
      <c r="E12" s="21">
        <f t="shared" si="0"/>
        <v>1.0526315789473684</v>
      </c>
      <c r="F12" s="22">
        <f>IF(SUM($C$4:C12)-SUM($D$4:D12)&gt;0, (SUM($C$4:C12)-SUM($D$4:D12))/SUM($C$4:C12), 0)</f>
        <v>2.7027027027027029E-2</v>
      </c>
      <c r="G12" s="23">
        <f t="shared" si="1"/>
        <v>300</v>
      </c>
    </row>
    <row r="13" spans="1:13" x14ac:dyDescent="0.2">
      <c r="A13">
        <v>10</v>
      </c>
      <c r="B13" s="20">
        <v>45635</v>
      </c>
      <c r="C13" s="4">
        <v>6000</v>
      </c>
      <c r="D13" s="4">
        <v>6000</v>
      </c>
      <c r="E13" s="21">
        <f t="shared" si="0"/>
        <v>1</v>
      </c>
      <c r="F13" s="22">
        <f>IF(SUM($C$4:C13)-SUM($D$4:D13)&gt;0, (SUM($C$4:C13)-SUM($D$4:D13))/SUM($C$4:C13), 0)</f>
        <v>2.3255813953488372E-2</v>
      </c>
      <c r="G13" s="23">
        <f t="shared" si="1"/>
        <v>0</v>
      </c>
    </row>
    <row r="14" spans="1:13" x14ac:dyDescent="0.2">
      <c r="A14">
        <v>11</v>
      </c>
      <c r="B14" s="20">
        <v>45642</v>
      </c>
      <c r="C14" s="4">
        <v>6000</v>
      </c>
      <c r="D14" s="4">
        <v>6000</v>
      </c>
      <c r="E14" s="21">
        <f t="shared" si="0"/>
        <v>1</v>
      </c>
      <c r="F14" s="22">
        <f>IF(SUM($C$4:C14)-SUM($D$4:D14)&gt;0, (SUM($C$4:C14)-SUM($D$4:D14))/SUM($C$4:C14), 0)</f>
        <v>2.0408163265306121E-2</v>
      </c>
      <c r="G14" s="23">
        <f t="shared" si="1"/>
        <v>0</v>
      </c>
    </row>
    <row r="15" spans="1:13" x14ac:dyDescent="0.2">
      <c r="A15">
        <v>12</v>
      </c>
      <c r="B15" s="20">
        <v>45649</v>
      </c>
      <c r="C15" s="4">
        <v>6000</v>
      </c>
      <c r="D15" s="4">
        <v>6000</v>
      </c>
      <c r="E15" s="21">
        <f t="shared" si="0"/>
        <v>1</v>
      </c>
      <c r="F15" s="22">
        <f>IF(SUM($C$4:C15)-SUM($D$4:D15)&gt;0, (SUM($C$4:C15)-SUM($D$4:D15))/SUM($C$4:C15), 0)</f>
        <v>1.8181818181818181E-2</v>
      </c>
      <c r="G15" s="23">
        <f t="shared" si="1"/>
        <v>0</v>
      </c>
    </row>
    <row r="16" spans="1:13" x14ac:dyDescent="0.2">
      <c r="A16">
        <v>13</v>
      </c>
      <c r="B16" s="20">
        <v>45656</v>
      </c>
      <c r="C16" s="4">
        <v>6500</v>
      </c>
      <c r="D16" s="4">
        <v>4950</v>
      </c>
      <c r="E16" s="21">
        <f t="shared" si="0"/>
        <v>0.7615384615384615</v>
      </c>
      <c r="F16" s="22">
        <f>IF(SUM($C$4:C16)-SUM($D$4:D16)&gt;0, (SUM($C$4:C16)-SUM($D$4:D16))/SUM($C$4:C16), 0)</f>
        <v>4.1463414634146344E-2</v>
      </c>
      <c r="G16" s="23">
        <f t="shared" si="1"/>
        <v>-1550</v>
      </c>
    </row>
    <row r="17" spans="1:7" x14ac:dyDescent="0.2">
      <c r="A17">
        <v>14</v>
      </c>
      <c r="B17" s="20">
        <v>45663</v>
      </c>
      <c r="C17" s="4">
        <v>6500</v>
      </c>
      <c r="D17" s="4">
        <v>5800</v>
      </c>
      <c r="E17" s="21">
        <f t="shared" si="0"/>
        <v>0.89230769230769236</v>
      </c>
      <c r="F17" s="22">
        <f>IF(SUM($C$4:C17)-SUM($D$4:D17)&gt;0, (SUM($C$4:C17)-SUM($D$4:D17))/SUM($C$4:C17), 0)</f>
        <v>4.779411764705882E-2</v>
      </c>
      <c r="G17" s="23">
        <f t="shared" si="1"/>
        <v>-700</v>
      </c>
    </row>
    <row r="18" spans="1:7" x14ac:dyDescent="0.2">
      <c r="A18">
        <v>15</v>
      </c>
      <c r="B18" s="20">
        <v>45670</v>
      </c>
      <c r="C18" s="4">
        <v>6350</v>
      </c>
      <c r="D18" s="4">
        <v>6550</v>
      </c>
      <c r="E18" s="21">
        <f t="shared" si="0"/>
        <v>1.0314960629921259</v>
      </c>
      <c r="F18" s="22">
        <f>IF(SUM($C$4:C18)-SUM($D$4:D18)&gt;0, (SUM($C$4:C18)-SUM($D$4:D18))/SUM($C$4:C18), 0)</f>
        <v>4.10221923335575E-2</v>
      </c>
      <c r="G18" s="23">
        <f t="shared" si="1"/>
        <v>200</v>
      </c>
    </row>
    <row r="19" spans="1:7" x14ac:dyDescent="0.2">
      <c r="A19">
        <v>16</v>
      </c>
      <c r="B19" s="20">
        <v>45677</v>
      </c>
      <c r="C19" s="4">
        <v>6500</v>
      </c>
      <c r="D19" s="4">
        <v>1850</v>
      </c>
      <c r="E19" s="21">
        <f t="shared" si="0"/>
        <v>0.2846153846153846</v>
      </c>
      <c r="F19" s="22">
        <f>IF(SUM($C$4:C19)-SUM($D$4:D19)&gt;0, (SUM($C$4:C19)-SUM($D$4:D19))/SUM($C$4:C19), 0)</f>
        <v>9.5238095238095233E-2</v>
      </c>
      <c r="G19" s="23">
        <f t="shared" si="1"/>
        <v>-4650</v>
      </c>
    </row>
    <row r="20" spans="1:7" x14ac:dyDescent="0.2">
      <c r="A20">
        <v>17</v>
      </c>
      <c r="B20" s="20">
        <v>45684</v>
      </c>
      <c r="C20" s="4">
        <v>5300</v>
      </c>
      <c r="D20" s="4">
        <v>4600</v>
      </c>
      <c r="E20" s="21">
        <f t="shared" si="0"/>
        <v>0.86792452830188682</v>
      </c>
      <c r="F20" s="22">
        <f>IF(SUM($C$4:C20)-SUM($D$4:D20)&gt;0, (SUM($C$4:C20)-SUM($D$4:D20))/SUM($C$4:C20), 0)</f>
        <v>9.7504352872896105E-2</v>
      </c>
      <c r="G20" s="23">
        <f t="shared" si="1"/>
        <v>-700</v>
      </c>
    </row>
    <row r="21" spans="1:7" x14ac:dyDescent="0.2">
      <c r="A21">
        <v>18</v>
      </c>
      <c r="B21" s="20">
        <v>45691</v>
      </c>
      <c r="C21" s="4">
        <v>5000</v>
      </c>
      <c r="D21" s="4">
        <v>1950</v>
      </c>
      <c r="E21" s="21">
        <f t="shared" ref="E21:E26" si="2">D21/C21</f>
        <v>0.39</v>
      </c>
      <c r="F21" s="22">
        <f>IF(SUM($C$4:C21)-SUM($D$4:D21)&gt;0, (SUM($C$4:C21)-SUM($D$4:D21))/SUM($C$4:C21), 0)</f>
        <v>0.12561711464618761</v>
      </c>
      <c r="G21" s="23">
        <f t="shared" ref="G21:G26" si="3">D21-C21</f>
        <v>-3050</v>
      </c>
    </row>
    <row r="22" spans="1:7" x14ac:dyDescent="0.2">
      <c r="A22">
        <v>19</v>
      </c>
      <c r="B22" s="20">
        <v>45698</v>
      </c>
      <c r="C22" s="4">
        <v>5000</v>
      </c>
      <c r="D22" s="4">
        <v>1300</v>
      </c>
      <c r="E22" s="21">
        <f t="shared" si="2"/>
        <v>0.26</v>
      </c>
      <c r="F22" s="22">
        <f>IF(SUM($C$4:C22)-SUM($D$4:D22)&gt;0, (SUM($C$4:C22)-SUM($D$4:D22))/SUM($C$4:C22), 0)</f>
        <v>0.15756630265210608</v>
      </c>
      <c r="G22" s="23">
        <f t="shared" si="3"/>
        <v>-3700</v>
      </c>
    </row>
    <row r="23" spans="1:7" x14ac:dyDescent="0.2">
      <c r="A23">
        <v>20</v>
      </c>
      <c r="B23" s="20">
        <v>45705</v>
      </c>
      <c r="C23" s="4">
        <v>4700</v>
      </c>
      <c r="D23" s="4">
        <v>2300</v>
      </c>
      <c r="E23" s="21">
        <f t="shared" si="2"/>
        <v>0.48936170212765956</v>
      </c>
      <c r="F23" s="22">
        <f>IF(SUM($C$4:C23)-SUM($D$4:D23)&gt;0, (SUM($C$4:C23)-SUM($D$4:D23))/SUM($C$4:C23), 0)</f>
        <v>0.17402082300446206</v>
      </c>
      <c r="G23" s="23">
        <f t="shared" si="3"/>
        <v>-2400</v>
      </c>
    </row>
    <row r="24" spans="1:7" x14ac:dyDescent="0.2">
      <c r="A24">
        <v>21</v>
      </c>
      <c r="B24" s="20">
        <v>45712</v>
      </c>
      <c r="C24" s="4">
        <v>4700</v>
      </c>
      <c r="D24" s="4">
        <v>950</v>
      </c>
      <c r="E24" s="21">
        <f t="shared" si="2"/>
        <v>0.20212765957446807</v>
      </c>
      <c r="F24" s="22">
        <f>IF(SUM($C$4:C24)-SUM($D$4:D24)&gt;0, (SUM($C$4:C24)-SUM($D$4:D24))/SUM($C$4:C24), 0)</f>
        <v>0.20180009474182853</v>
      </c>
      <c r="G24" s="23">
        <f t="shared" si="3"/>
        <v>-3750</v>
      </c>
    </row>
    <row r="25" spans="1:7" x14ac:dyDescent="0.2">
      <c r="A25">
        <v>22</v>
      </c>
      <c r="B25" s="20">
        <v>45719</v>
      </c>
      <c r="C25" s="4">
        <v>4100</v>
      </c>
      <c r="D25" s="4">
        <v>0</v>
      </c>
      <c r="E25" s="21">
        <f t="shared" si="2"/>
        <v>0</v>
      </c>
      <c r="F25" s="22">
        <f>IF(SUM($C$4:C25)-SUM($D$4:D25)&gt;0, (SUM($C$4:C25)-SUM($D$4:D25))/SUM($C$4:C25), 0)</f>
        <v>0.23164614683082535</v>
      </c>
      <c r="G25" s="23">
        <f t="shared" si="3"/>
        <v>-4100</v>
      </c>
    </row>
    <row r="26" spans="1:7" x14ac:dyDescent="0.2">
      <c r="A26">
        <v>23</v>
      </c>
      <c r="B26" s="20">
        <v>45726</v>
      </c>
      <c r="C26" s="4">
        <v>4100</v>
      </c>
      <c r="D26" s="4">
        <v>0</v>
      </c>
      <c r="E26" s="21">
        <f t="shared" si="2"/>
        <v>0</v>
      </c>
      <c r="F26" s="22">
        <f>IF(SUM($C$4:C26)-SUM($D$4:D26)&gt;0, (SUM($C$4:C26)-SUM($D$4:D26))/SUM($C$4:C26), 0)</f>
        <v>0.25934065934065936</v>
      </c>
      <c r="G26" s="23">
        <f t="shared" si="3"/>
        <v>-4100</v>
      </c>
    </row>
    <row r="27" spans="1:7" x14ac:dyDescent="0.2">
      <c r="A27">
        <v>24</v>
      </c>
      <c r="B27" s="20">
        <v>45733</v>
      </c>
      <c r="C27" s="4">
        <v>3800</v>
      </c>
      <c r="D27" s="4"/>
      <c r="E27" s="21">
        <f>D27/C27</f>
        <v>0</v>
      </c>
      <c r="F27" s="22">
        <f>IF(SUM($C$4:C27)-SUM($D$4:D27)&gt;0, (SUM($C$4:C27)-SUM($D$4:D27))/SUM($C$4:C27), 0)</f>
        <v>0.28328370905997446</v>
      </c>
      <c r="G27" s="23">
        <f>D27-C27</f>
        <v>-3800</v>
      </c>
    </row>
  </sheetData>
  <mergeCells count="2">
    <mergeCell ref="A1:A2"/>
    <mergeCell ref="B1:E2"/>
  </mergeCells>
  <pageMargins left="0.7" right="0.7" top="0.75" bottom="0.75" header="0.3" footer="0.3"/>
  <drawing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2582D-5210-BB45-8F82-75A143C672D1}">
  <dimension ref="A1:M27"/>
  <sheetViews>
    <sheetView workbookViewId="0">
      <selection activeCell="G31" sqref="G31"/>
    </sheetView>
  </sheetViews>
  <sheetFormatPr baseColWidth="10" defaultRowHeight="16" x14ac:dyDescent="0.2"/>
  <cols>
    <col min="4" max="4" width="11.33203125" customWidth="1"/>
    <col min="5" max="5" width="24" customWidth="1"/>
    <col min="6" max="6" width="13" customWidth="1"/>
    <col min="7" max="7" width="21.33203125" customWidth="1"/>
    <col min="9" max="9" width="26.1640625" bestFit="1" customWidth="1"/>
    <col min="10" max="10" width="12.5" bestFit="1" customWidth="1"/>
    <col min="12" max="12" width="17.33203125" bestFit="1" customWidth="1"/>
  </cols>
  <sheetData>
    <row r="1" spans="1:13" x14ac:dyDescent="0.2">
      <c r="A1" s="58" t="s">
        <v>63</v>
      </c>
      <c r="B1" s="55" t="s">
        <v>64</v>
      </c>
      <c r="C1" s="55"/>
      <c r="D1" s="55"/>
      <c r="E1" s="55"/>
    </row>
    <row r="2" spans="1:13" x14ac:dyDescent="0.2">
      <c r="A2" s="58"/>
      <c r="B2" s="60"/>
      <c r="C2" s="60"/>
      <c r="D2" s="60"/>
      <c r="E2" s="60"/>
      <c r="I2" t="s">
        <v>64</v>
      </c>
    </row>
    <row r="3" spans="1:13" x14ac:dyDescent="0.2">
      <c r="A3" s="24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  <c r="I3" s="9" t="s">
        <v>39</v>
      </c>
      <c r="J3" s="16" cm="1">
        <f t="array" ref="J3">AVERAGE(IF(Table22[Cumplimiento de Meta %]&gt;=100%,1,0))</f>
        <v>0.41666666666666669</v>
      </c>
      <c r="L3" t="s">
        <v>41</v>
      </c>
      <c r="M3" s="18">
        <f>(COUNT(Table22[[#All],[Semana]])*7)/30</f>
        <v>5.6</v>
      </c>
    </row>
    <row r="4" spans="1:13" x14ac:dyDescent="0.2">
      <c r="A4">
        <v>1</v>
      </c>
      <c r="B4" s="20">
        <v>45572</v>
      </c>
      <c r="C4" s="4">
        <v>1800</v>
      </c>
      <c r="D4" s="4">
        <v>1200</v>
      </c>
      <c r="E4" s="21">
        <f>D4/C4</f>
        <v>0.66666666666666663</v>
      </c>
      <c r="F4" s="22">
        <f>IF(SUM($C$4:C4)-SUM($D$4:D4)&gt;0, (SUM($C$4:C4)-SUM($D$4:D4))/SUM($C$4:C4), 0)</f>
        <v>0.33333333333333331</v>
      </c>
      <c r="G4" s="23">
        <f>D4-C4</f>
        <v>-600</v>
      </c>
      <c r="I4" s="4"/>
      <c r="J4" s="4"/>
    </row>
    <row r="5" spans="1:13" x14ac:dyDescent="0.2">
      <c r="A5">
        <v>2</v>
      </c>
      <c r="B5" s="20">
        <v>45579</v>
      </c>
      <c r="C5" s="4">
        <v>2400</v>
      </c>
      <c r="D5" s="4">
        <v>1800</v>
      </c>
      <c r="E5" s="21">
        <f t="shared" ref="E5:E20" si="0">D5/C5</f>
        <v>0.75</v>
      </c>
      <c r="F5" s="22">
        <f>IF(SUM($C$4:C5)-SUM($D$4:D5)&gt;0, (SUM($C$4:C5)-SUM($D$4:D5))/SUM($C$4:C5), 0)</f>
        <v>0.2857142857142857</v>
      </c>
      <c r="G5" s="23">
        <f t="shared" ref="G5:G20" si="1">D5-C5</f>
        <v>-600</v>
      </c>
      <c r="I5" s="4" t="s">
        <v>21</v>
      </c>
      <c r="J5" s="4">
        <f>SUM(Table22[[#All],[Meta]])</f>
        <v>176350</v>
      </c>
    </row>
    <row r="6" spans="1:13" x14ac:dyDescent="0.2">
      <c r="A6">
        <v>3</v>
      </c>
      <c r="B6" s="20">
        <v>45586</v>
      </c>
      <c r="C6" s="4">
        <v>3900</v>
      </c>
      <c r="D6" s="4">
        <v>3300</v>
      </c>
      <c r="E6" s="21">
        <f t="shared" si="0"/>
        <v>0.84615384615384615</v>
      </c>
      <c r="F6" s="22">
        <f>IF(SUM($C$4:C6)-SUM($D$4:D6)&gt;0, (SUM($C$4:C6)-SUM($D$4:D6))/SUM($C$4:C6), 0)</f>
        <v>0.22222222222222221</v>
      </c>
      <c r="G6" s="23">
        <f t="shared" si="1"/>
        <v>-600</v>
      </c>
      <c r="I6" s="4" t="s">
        <v>22</v>
      </c>
      <c r="J6" s="4">
        <f>SUM(Table22[[#All],[Cobranza]])</f>
        <v>162500</v>
      </c>
    </row>
    <row r="7" spans="1:13" x14ac:dyDescent="0.2">
      <c r="A7">
        <v>4</v>
      </c>
      <c r="B7" s="20">
        <v>45593</v>
      </c>
      <c r="C7" s="4">
        <v>5100</v>
      </c>
      <c r="D7" s="4">
        <v>4500</v>
      </c>
      <c r="E7" s="21">
        <f t="shared" si="0"/>
        <v>0.88235294117647056</v>
      </c>
      <c r="F7" s="22">
        <f>IF(SUM($C$4:C7)-SUM($D$4:D7)&gt;0, (SUM($C$4:C7)-SUM($D$4:D7))/SUM($C$4:C7), 0)</f>
        <v>0.18181818181818182</v>
      </c>
      <c r="G7" s="23">
        <f t="shared" si="1"/>
        <v>-600</v>
      </c>
      <c r="I7" s="4" t="s">
        <v>23</v>
      </c>
      <c r="J7" s="4">
        <f>SUM(Table22[[#All],[Didiferencia Absoluta]])</f>
        <v>-13850</v>
      </c>
    </row>
    <row r="8" spans="1:13" x14ac:dyDescent="0.2">
      <c r="A8">
        <v>5</v>
      </c>
      <c r="B8" s="20">
        <v>45600</v>
      </c>
      <c r="C8" s="4">
        <v>5400</v>
      </c>
      <c r="D8" s="4">
        <v>4500</v>
      </c>
      <c r="E8" s="21">
        <f t="shared" si="0"/>
        <v>0.83333333333333337</v>
      </c>
      <c r="F8" s="22">
        <f>IF(SUM($C$4:C8)-SUM($D$4:D8)&gt;0, (SUM($C$4:C8)-SUM($D$4:D8))/SUM($C$4:C8), 0)</f>
        <v>0.17741935483870969</v>
      </c>
      <c r="G8" s="23">
        <f t="shared" si="1"/>
        <v>-900</v>
      </c>
      <c r="I8" t="s">
        <v>24</v>
      </c>
      <c r="J8" s="16">
        <f>(J7/J5)*-1</f>
        <v>7.8537000283527073E-2</v>
      </c>
    </row>
    <row r="9" spans="1:13" x14ac:dyDescent="0.2">
      <c r="A9">
        <v>6</v>
      </c>
      <c r="B9" s="20">
        <v>45607</v>
      </c>
      <c r="C9" s="4">
        <v>6000</v>
      </c>
      <c r="D9" s="4">
        <v>6000</v>
      </c>
      <c r="E9" s="21">
        <f t="shared" si="0"/>
        <v>1</v>
      </c>
      <c r="F9" s="22">
        <f>IF(SUM($C$4:C9)-SUM($D$4:D9)&gt;0, (SUM($C$4:C9)-SUM($D$4:D9))/SUM($C$4:C9), 0)</f>
        <v>0.13414634146341464</v>
      </c>
      <c r="G9" s="23">
        <f t="shared" si="1"/>
        <v>0</v>
      </c>
    </row>
    <row r="10" spans="1:13" x14ac:dyDescent="0.2">
      <c r="A10">
        <v>7</v>
      </c>
      <c r="B10" s="20">
        <v>45614</v>
      </c>
      <c r="C10" s="4">
        <v>6900</v>
      </c>
      <c r="D10" s="4">
        <v>6000</v>
      </c>
      <c r="E10" s="21">
        <f t="shared" si="0"/>
        <v>0.86956521739130432</v>
      </c>
      <c r="F10" s="22">
        <f>IF(SUM($C$4:C10)-SUM($D$4:D10)&gt;0, (SUM($C$4:C10)-SUM($D$4:D10))/SUM($C$4:C10), 0)</f>
        <v>0.13333333333333333</v>
      </c>
      <c r="G10" s="23">
        <f t="shared" si="1"/>
        <v>-900</v>
      </c>
    </row>
    <row r="11" spans="1:13" x14ac:dyDescent="0.2">
      <c r="A11">
        <v>8</v>
      </c>
      <c r="B11" s="20">
        <v>45621</v>
      </c>
      <c r="C11" s="4">
        <v>7200</v>
      </c>
      <c r="D11" s="4">
        <v>6400</v>
      </c>
      <c r="E11" s="21">
        <f t="shared" si="0"/>
        <v>0.88888888888888884</v>
      </c>
      <c r="F11" s="22">
        <f>IF(SUM($C$4:C11)-SUM($D$4:D11)&gt;0, (SUM($C$4:C11)-SUM($D$4:D11))/SUM($C$4:C11), 0)</f>
        <v>0.12919896640826872</v>
      </c>
      <c r="G11" s="23">
        <f t="shared" si="1"/>
        <v>-800</v>
      </c>
    </row>
    <row r="12" spans="1:13" x14ac:dyDescent="0.2">
      <c r="A12">
        <v>9</v>
      </c>
      <c r="B12" s="20">
        <v>45628</v>
      </c>
      <c r="C12" s="4">
        <v>7800</v>
      </c>
      <c r="D12" s="4">
        <v>6900</v>
      </c>
      <c r="E12" s="21">
        <f t="shared" si="0"/>
        <v>0.88461538461538458</v>
      </c>
      <c r="F12" s="22">
        <f>IF(SUM($C$4:C12)-SUM($D$4:D12)&gt;0, (SUM($C$4:C12)-SUM($D$4:D12))/SUM($C$4:C12), 0)</f>
        <v>0.12688172043010754</v>
      </c>
      <c r="G12" s="23">
        <f t="shared" si="1"/>
        <v>-900</v>
      </c>
    </row>
    <row r="13" spans="1:13" x14ac:dyDescent="0.2">
      <c r="A13">
        <v>10</v>
      </c>
      <c r="B13" s="20">
        <v>45635</v>
      </c>
      <c r="C13" s="4">
        <v>8100</v>
      </c>
      <c r="D13" s="4">
        <v>7100</v>
      </c>
      <c r="E13" s="21">
        <f t="shared" si="0"/>
        <v>0.87654320987654322</v>
      </c>
      <c r="F13" s="22">
        <f>IF(SUM($C$4:C13)-SUM($D$4:D13)&gt;0, (SUM($C$4:C13)-SUM($D$4:D13))/SUM($C$4:C13), 0)</f>
        <v>0.12637362637362637</v>
      </c>
      <c r="G13" s="23">
        <f t="shared" si="1"/>
        <v>-1000</v>
      </c>
    </row>
    <row r="14" spans="1:13" x14ac:dyDescent="0.2">
      <c r="A14">
        <v>11</v>
      </c>
      <c r="B14" s="20">
        <v>45642</v>
      </c>
      <c r="C14" s="4">
        <v>8400</v>
      </c>
      <c r="D14" s="4">
        <v>7500</v>
      </c>
      <c r="E14" s="21">
        <f t="shared" si="0"/>
        <v>0.8928571428571429</v>
      </c>
      <c r="F14" s="22">
        <f>IF(SUM($C$4:C14)-SUM($D$4:D14)&gt;0, (SUM($C$4:C14)-SUM($D$4:D14))/SUM($C$4:C14), 0)</f>
        <v>0.12380952380952381</v>
      </c>
      <c r="G14" s="23">
        <f t="shared" si="1"/>
        <v>-900</v>
      </c>
    </row>
    <row r="15" spans="1:13" x14ac:dyDescent="0.2">
      <c r="A15">
        <v>12</v>
      </c>
      <c r="B15" s="20">
        <v>45649</v>
      </c>
      <c r="C15" s="4">
        <v>8400</v>
      </c>
      <c r="D15" s="4">
        <v>7500</v>
      </c>
      <c r="E15" s="21">
        <f t="shared" si="0"/>
        <v>0.8928571428571429</v>
      </c>
      <c r="F15" s="22">
        <f>IF(SUM($C$4:C15)-SUM($D$4:D15)&gt;0, (SUM($C$4:C15)-SUM($D$4:D15))/SUM($C$4:C15), 0)</f>
        <v>0.12184873949579832</v>
      </c>
      <c r="G15" s="23">
        <f t="shared" si="1"/>
        <v>-900</v>
      </c>
    </row>
    <row r="16" spans="1:13" x14ac:dyDescent="0.2">
      <c r="A16">
        <v>13</v>
      </c>
      <c r="B16" s="20">
        <v>45656</v>
      </c>
      <c r="C16" s="4">
        <v>7850</v>
      </c>
      <c r="D16" s="4">
        <v>9000</v>
      </c>
      <c r="E16" s="21">
        <f t="shared" si="0"/>
        <v>1.1464968152866242</v>
      </c>
      <c r="F16" s="22">
        <f>IF(SUM($C$4:C16)-SUM($D$4:D16)&gt;0, (SUM($C$4:C16)-SUM($D$4:D16))/SUM($C$4:C16), 0)</f>
        <v>9.5268138801261823E-2</v>
      </c>
      <c r="G16" s="23">
        <f t="shared" si="1"/>
        <v>1150</v>
      </c>
    </row>
    <row r="17" spans="1:7" x14ac:dyDescent="0.2">
      <c r="A17">
        <v>14</v>
      </c>
      <c r="B17" s="20">
        <v>45663</v>
      </c>
      <c r="C17" s="4">
        <v>8050</v>
      </c>
      <c r="D17" s="4">
        <v>7750</v>
      </c>
      <c r="E17" s="21">
        <f t="shared" si="0"/>
        <v>0.96273291925465843</v>
      </c>
      <c r="F17" s="22">
        <f>IF(SUM($C$4:C17)-SUM($D$4:D17)&gt;0, (SUM($C$4:C17)-SUM($D$4:D17))/SUM($C$4:C17), 0)</f>
        <v>8.9919816723940435E-2</v>
      </c>
      <c r="G17" s="23">
        <f t="shared" si="1"/>
        <v>-300</v>
      </c>
    </row>
    <row r="18" spans="1:7" x14ac:dyDescent="0.2">
      <c r="A18">
        <v>15</v>
      </c>
      <c r="B18" s="20">
        <v>45670</v>
      </c>
      <c r="C18" s="4">
        <v>8450</v>
      </c>
      <c r="D18" s="4">
        <v>8150</v>
      </c>
      <c r="E18" s="21">
        <f t="shared" si="0"/>
        <v>0.96449704142011838</v>
      </c>
      <c r="F18" s="22">
        <f>IF(SUM($C$4:C18)-SUM($D$4:D18)&gt;0, (SUM($C$4:C18)-SUM($D$4:D18))/SUM($C$4:C18), 0)</f>
        <v>8.5117493472584863E-2</v>
      </c>
      <c r="G18" s="23">
        <f t="shared" si="1"/>
        <v>-300</v>
      </c>
    </row>
    <row r="19" spans="1:7" x14ac:dyDescent="0.2">
      <c r="A19">
        <v>16</v>
      </c>
      <c r="B19" s="20">
        <v>45677</v>
      </c>
      <c r="C19" s="4">
        <v>7950</v>
      </c>
      <c r="D19" s="4">
        <v>8250</v>
      </c>
      <c r="E19" s="21">
        <f t="shared" si="0"/>
        <v>1.0377358490566038</v>
      </c>
      <c r="F19" s="22">
        <f>IF(SUM($C$4:C19)-SUM($D$4:D19)&gt;0, (SUM($C$4:C19)-SUM($D$4:D19))/SUM($C$4:C19), 0)</f>
        <v>7.5699132111861134E-2</v>
      </c>
      <c r="G19" s="23">
        <f t="shared" si="1"/>
        <v>300</v>
      </c>
    </row>
    <row r="20" spans="1:7" x14ac:dyDescent="0.2">
      <c r="A20">
        <v>17</v>
      </c>
      <c r="B20" s="20">
        <v>45684</v>
      </c>
      <c r="C20" s="4">
        <v>7850</v>
      </c>
      <c r="D20" s="4">
        <v>8150</v>
      </c>
      <c r="E20" s="21">
        <f t="shared" si="0"/>
        <v>1.0382165605095541</v>
      </c>
      <c r="F20" s="22">
        <f>IF(SUM($C$4:C20)-SUM($D$4:D20)&gt;0, (SUM($C$4:C20)-SUM($D$4:D20))/SUM($C$4:C20), 0)</f>
        <v>6.7682653518601518E-2</v>
      </c>
      <c r="G20" s="23">
        <f t="shared" si="1"/>
        <v>300</v>
      </c>
    </row>
    <row r="21" spans="1:7" x14ac:dyDescent="0.2">
      <c r="A21">
        <v>18</v>
      </c>
      <c r="B21" s="20">
        <v>45691</v>
      </c>
      <c r="C21" s="4">
        <v>8200</v>
      </c>
      <c r="D21" s="4">
        <v>8200</v>
      </c>
      <c r="E21" s="21">
        <f t="shared" ref="E21:E26" si="2">D21/C21</f>
        <v>1</v>
      </c>
      <c r="F21" s="22">
        <f>IF(SUM($C$4:C21)-SUM($D$4:D21)&gt;0, (SUM($C$4:C21)-SUM($D$4:D21))/SUM($C$4:C21), 0)</f>
        <v>6.3048016701461373E-2</v>
      </c>
      <c r="G21" s="23">
        <f t="shared" ref="G21:G26" si="3">D21-C21</f>
        <v>0</v>
      </c>
    </row>
    <row r="22" spans="1:7" x14ac:dyDescent="0.2">
      <c r="A22">
        <v>19</v>
      </c>
      <c r="B22" s="20">
        <v>45698</v>
      </c>
      <c r="C22" s="4">
        <v>9200</v>
      </c>
      <c r="D22" s="4">
        <v>9200</v>
      </c>
      <c r="E22" s="21">
        <f t="shared" si="2"/>
        <v>1</v>
      </c>
      <c r="F22" s="22">
        <f>IF(SUM($C$4:C22)-SUM($D$4:D22)&gt;0, (SUM($C$4:C22)-SUM($D$4:D22))/SUM($C$4:C22), 0)</f>
        <v>5.8549825513765023E-2</v>
      </c>
      <c r="G22" s="23">
        <f t="shared" si="3"/>
        <v>0</v>
      </c>
    </row>
    <row r="23" spans="1:7" x14ac:dyDescent="0.2">
      <c r="A23">
        <v>20</v>
      </c>
      <c r="B23" s="20">
        <v>45705</v>
      </c>
      <c r="C23" s="4">
        <v>9500</v>
      </c>
      <c r="D23" s="4">
        <v>9500</v>
      </c>
      <c r="E23" s="21">
        <f t="shared" si="2"/>
        <v>1</v>
      </c>
      <c r="F23" s="22">
        <f>IF(SUM($C$4:C23)-SUM($D$4:D23)&gt;0, (SUM($C$4:C23)-SUM($D$4:D23))/SUM($C$4:C23), 0)</f>
        <v>5.4532322137955939E-2</v>
      </c>
      <c r="G23" s="23">
        <f t="shared" si="3"/>
        <v>0</v>
      </c>
    </row>
    <row r="24" spans="1:7" x14ac:dyDescent="0.2">
      <c r="A24">
        <v>21</v>
      </c>
      <c r="B24" s="20">
        <v>45712</v>
      </c>
      <c r="C24" s="4">
        <v>9800</v>
      </c>
      <c r="D24" s="4">
        <v>10150</v>
      </c>
      <c r="E24" s="21">
        <f t="shared" si="2"/>
        <v>1.0357142857142858</v>
      </c>
      <c r="F24" s="22">
        <f>IF(SUM($C$4:C24)-SUM($D$4:D24)&gt;0, (SUM($C$4:C24)-SUM($D$4:D24))/SUM($C$4:C24), 0)</f>
        <v>4.8566610455311972E-2</v>
      </c>
      <c r="G24" s="23">
        <f t="shared" si="3"/>
        <v>350</v>
      </c>
    </row>
    <row r="25" spans="1:7" x14ac:dyDescent="0.2">
      <c r="A25">
        <v>22</v>
      </c>
      <c r="B25" s="20">
        <v>45719</v>
      </c>
      <c r="C25" s="4">
        <v>9200</v>
      </c>
      <c r="D25" s="4">
        <v>9450</v>
      </c>
      <c r="E25" s="21">
        <f t="shared" si="2"/>
        <v>1.0271739130434783</v>
      </c>
      <c r="F25" s="22">
        <f>IF(SUM($C$4:C25)-SUM($D$4:D25)&gt;0, (SUM($C$4:C25)-SUM($D$4:D25))/SUM($C$4:C25), 0)</f>
        <v>4.4140997141949828E-2</v>
      </c>
      <c r="G25" s="23">
        <f t="shared" si="3"/>
        <v>250</v>
      </c>
    </row>
    <row r="26" spans="1:7" x14ac:dyDescent="0.2">
      <c r="A26">
        <v>23</v>
      </c>
      <c r="B26" s="20">
        <v>45726</v>
      </c>
      <c r="C26" s="4">
        <v>9200</v>
      </c>
      <c r="D26" s="4">
        <v>12000</v>
      </c>
      <c r="E26" s="21">
        <f t="shared" si="2"/>
        <v>1.3043478260869565</v>
      </c>
      <c r="F26" s="22">
        <f>IF(SUM($C$4:C26)-SUM($D$4:D26)&gt;0, (SUM($C$4:C26)-SUM($D$4:D26))/SUM($C$4:C26), 0)</f>
        <v>2.4902490249024904E-2</v>
      </c>
      <c r="G26" s="23">
        <f t="shared" si="3"/>
        <v>2800</v>
      </c>
    </row>
    <row r="27" spans="1:7" x14ac:dyDescent="0.2">
      <c r="A27">
        <v>24</v>
      </c>
      <c r="B27" s="20">
        <v>45733</v>
      </c>
      <c r="C27" s="4">
        <v>9700</v>
      </c>
      <c r="D27" s="4"/>
      <c r="E27" s="21">
        <f>D27/C27</f>
        <v>0</v>
      </c>
      <c r="F27" s="22">
        <f>IF(SUM($C$4:C27)-SUM($D$4:D27)&gt;0, (SUM($C$4:C27)-SUM($D$4:D27))/SUM($C$4:C27), 0)</f>
        <v>7.8537000283527073E-2</v>
      </c>
      <c r="G27" s="23">
        <f>D27-C27</f>
        <v>-9700</v>
      </c>
    </row>
  </sheetData>
  <mergeCells count="2">
    <mergeCell ref="A1:A2"/>
    <mergeCell ref="B1:E2"/>
  </mergeCells>
  <pageMargins left="0.7" right="0.7" top="0.75" bottom="0.75" header="0.3" footer="0.3"/>
  <drawing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44C31-B8EF-5D4E-A454-6AC57F513EB6}">
  <dimension ref="A1:M25"/>
  <sheetViews>
    <sheetView topLeftCell="A7" zoomScale="94" workbookViewId="0">
      <selection activeCell="E32" sqref="E32"/>
    </sheetView>
  </sheetViews>
  <sheetFormatPr baseColWidth="10" defaultRowHeight="16" x14ac:dyDescent="0.2"/>
  <cols>
    <col min="4" max="4" width="11.33203125" customWidth="1"/>
    <col min="5" max="5" width="24" customWidth="1"/>
    <col min="6" max="6" width="13" customWidth="1"/>
    <col min="7" max="7" width="21.33203125" customWidth="1"/>
    <col min="9" max="9" width="26.1640625" bestFit="1" customWidth="1"/>
    <col min="10" max="10" width="12.5" bestFit="1" customWidth="1"/>
    <col min="12" max="12" width="17.33203125" bestFit="1" customWidth="1"/>
  </cols>
  <sheetData>
    <row r="1" spans="1:13" x14ac:dyDescent="0.2">
      <c r="A1" s="58" t="s">
        <v>65</v>
      </c>
      <c r="B1" s="55" t="s">
        <v>68</v>
      </c>
      <c r="C1" s="55"/>
      <c r="D1" s="55"/>
      <c r="E1" s="55"/>
      <c r="L1" s="61" t="s">
        <v>69</v>
      </c>
      <c r="M1" s="61"/>
    </row>
    <row r="2" spans="1:13" x14ac:dyDescent="0.2">
      <c r="A2" s="58"/>
      <c r="B2" s="60"/>
      <c r="C2" s="60"/>
      <c r="D2" s="60"/>
      <c r="E2" s="60"/>
      <c r="I2" t="s">
        <v>68</v>
      </c>
    </row>
    <row r="3" spans="1:13" x14ac:dyDescent="0.2">
      <c r="A3" s="24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  <c r="I3" s="9" t="s">
        <v>39</v>
      </c>
      <c r="J3" s="16" t="e" cm="1">
        <f t="array" ref="J3">AVERAGE(IF(Table23[Cumplimiento de Meta %]&gt;=100%,1,0))</f>
        <v>#DIV/0!</v>
      </c>
      <c r="L3" t="s">
        <v>41</v>
      </c>
      <c r="M3" s="18">
        <f>(COUNT(Table23[[#All],[Semana]])*7)/30</f>
        <v>5.1333333333333337</v>
      </c>
    </row>
    <row r="4" spans="1:13" x14ac:dyDescent="0.2">
      <c r="A4">
        <v>1</v>
      </c>
      <c r="B4" s="37">
        <v>45586</v>
      </c>
      <c r="C4" s="4">
        <v>0</v>
      </c>
      <c r="D4" s="4">
        <v>0</v>
      </c>
      <c r="E4" s="39">
        <v>1</v>
      </c>
      <c r="F4" s="40">
        <f>IF(SUM($C$4:C4)-SUM($D$4:D4)&gt;0, (SUM($C$4:C4)-SUM($D$4:D4))/SUM($C$4:C4), 0)</f>
        <v>0</v>
      </c>
      <c r="G4" s="41">
        <f>D4-C4</f>
        <v>0</v>
      </c>
      <c r="I4" s="4"/>
      <c r="J4" s="4"/>
    </row>
    <row r="5" spans="1:13" x14ac:dyDescent="0.2">
      <c r="A5">
        <v>2</v>
      </c>
      <c r="B5" s="20">
        <v>45593</v>
      </c>
      <c r="C5" s="4">
        <v>600</v>
      </c>
      <c r="D5" s="4">
        <v>600</v>
      </c>
      <c r="E5" s="39">
        <f t="shared" ref="E5:E19" si="0">D5/C5</f>
        <v>1</v>
      </c>
      <c r="F5" s="40">
        <f>IF(SUM($C$4:C5)-SUM($D$4:D5)&gt;0, (SUM($C$4:C5)-SUM($D$4:D5))/SUM($C$4:C5), 0)</f>
        <v>0</v>
      </c>
      <c r="G5" s="41">
        <f t="shared" ref="G5:G19" si="1">D5-C5</f>
        <v>0</v>
      </c>
      <c r="I5" s="4" t="s">
        <v>21</v>
      </c>
      <c r="J5" s="4">
        <f>SUM(Table23[[#All],[Meta]])</f>
        <v>29100</v>
      </c>
    </row>
    <row r="6" spans="1:13" x14ac:dyDescent="0.2">
      <c r="A6">
        <v>3</v>
      </c>
      <c r="B6" s="37">
        <v>45600</v>
      </c>
      <c r="C6" s="4">
        <v>900</v>
      </c>
      <c r="D6" s="4">
        <v>900</v>
      </c>
      <c r="E6" s="39">
        <f t="shared" si="0"/>
        <v>1</v>
      </c>
      <c r="F6" s="40">
        <f>IF(SUM($C$4:C6)-SUM($D$4:D6)&gt;0, (SUM($C$4:C6)-SUM($D$4:D6))/SUM($C$4:C6), 0)</f>
        <v>0</v>
      </c>
      <c r="G6" s="41">
        <f t="shared" si="1"/>
        <v>0</v>
      </c>
      <c r="I6" s="4" t="s">
        <v>22</v>
      </c>
      <c r="J6" s="4">
        <f>SUM(Table23[[#All],[Cobranza]])</f>
        <v>19600</v>
      </c>
    </row>
    <row r="7" spans="1:13" x14ac:dyDescent="0.2">
      <c r="A7">
        <v>4</v>
      </c>
      <c r="B7" s="20">
        <v>45607</v>
      </c>
      <c r="C7" s="4">
        <v>900</v>
      </c>
      <c r="D7" s="4">
        <v>600</v>
      </c>
      <c r="E7" s="39">
        <f t="shared" si="0"/>
        <v>0.66666666666666663</v>
      </c>
      <c r="F7" s="40">
        <f>IF(SUM($C$4:C7)-SUM($D$4:D7)&gt;0, (SUM($C$4:C7)-SUM($D$4:D7))/SUM($C$4:C7), 0)</f>
        <v>0.125</v>
      </c>
      <c r="G7" s="41">
        <f t="shared" si="1"/>
        <v>-300</v>
      </c>
      <c r="I7" s="4" t="s">
        <v>23</v>
      </c>
      <c r="J7" s="4">
        <f>SUM(Table23[[#All],[Didiferencia Absoluta]])</f>
        <v>-9500</v>
      </c>
    </row>
    <row r="8" spans="1:13" x14ac:dyDescent="0.2">
      <c r="A8">
        <v>5</v>
      </c>
      <c r="B8" s="37">
        <v>45614</v>
      </c>
      <c r="C8" s="4">
        <v>1800</v>
      </c>
      <c r="D8" s="4">
        <v>1800</v>
      </c>
      <c r="E8" s="39">
        <f t="shared" si="0"/>
        <v>1</v>
      </c>
      <c r="F8" s="40">
        <f>IF(SUM($C$4:C8)-SUM($D$4:D8)&gt;0, (SUM($C$4:C8)-SUM($D$4:D8))/SUM($C$4:C8), 0)</f>
        <v>7.1428571428571425E-2</v>
      </c>
      <c r="G8" s="41">
        <f t="shared" si="1"/>
        <v>0</v>
      </c>
      <c r="I8" t="s">
        <v>24</v>
      </c>
      <c r="J8" s="16">
        <f>(J7/J5)*-1</f>
        <v>0.32646048109965636</v>
      </c>
    </row>
    <row r="9" spans="1:13" x14ac:dyDescent="0.2">
      <c r="A9">
        <v>6</v>
      </c>
      <c r="B9" s="20">
        <v>45621</v>
      </c>
      <c r="C9" s="4">
        <v>2100</v>
      </c>
      <c r="D9" s="4">
        <v>600</v>
      </c>
      <c r="E9" s="39">
        <f t="shared" si="0"/>
        <v>0.2857142857142857</v>
      </c>
      <c r="F9" s="40">
        <f>IF(SUM($C$4:C9)-SUM($D$4:D9)&gt;0, (SUM($C$4:C9)-SUM($D$4:D9))/SUM($C$4:C9), 0)</f>
        <v>0.2857142857142857</v>
      </c>
      <c r="G9" s="41">
        <f t="shared" si="1"/>
        <v>-1500</v>
      </c>
    </row>
    <row r="10" spans="1:13" x14ac:dyDescent="0.2">
      <c r="A10">
        <v>7</v>
      </c>
      <c r="B10" s="37">
        <v>45628</v>
      </c>
      <c r="C10" s="4">
        <v>2100</v>
      </c>
      <c r="D10" s="4">
        <v>900</v>
      </c>
      <c r="E10" s="39">
        <f t="shared" si="0"/>
        <v>0.42857142857142855</v>
      </c>
      <c r="F10" s="40">
        <f>IF(SUM($C$4:C10)-SUM($D$4:D10)&gt;0, (SUM($C$4:C10)-SUM($D$4:D10))/SUM($C$4:C10), 0)</f>
        <v>0.35714285714285715</v>
      </c>
      <c r="G10" s="41">
        <f t="shared" si="1"/>
        <v>-1200</v>
      </c>
    </row>
    <row r="11" spans="1:13" x14ac:dyDescent="0.2">
      <c r="A11">
        <v>8</v>
      </c>
      <c r="B11" s="20">
        <v>45635</v>
      </c>
      <c r="C11" s="4">
        <v>2100</v>
      </c>
      <c r="D11" s="4">
        <v>2400</v>
      </c>
      <c r="E11" s="39">
        <f t="shared" si="0"/>
        <v>1.1428571428571428</v>
      </c>
      <c r="F11" s="40">
        <f>IF(SUM($C$4:C11)-SUM($D$4:D11)&gt;0, (SUM($C$4:C11)-SUM($D$4:D11))/SUM($C$4:C11), 0)</f>
        <v>0.25714285714285712</v>
      </c>
      <c r="G11" s="41">
        <f t="shared" si="1"/>
        <v>300</v>
      </c>
    </row>
    <row r="12" spans="1:13" x14ac:dyDescent="0.2">
      <c r="A12">
        <v>9</v>
      </c>
      <c r="B12" s="37">
        <v>45642</v>
      </c>
      <c r="C12" s="4">
        <v>2100</v>
      </c>
      <c r="D12" s="4">
        <v>600</v>
      </c>
      <c r="E12" s="39">
        <f t="shared" si="0"/>
        <v>0.2857142857142857</v>
      </c>
      <c r="F12" s="40">
        <f>IF(SUM($C$4:C12)-SUM($D$4:D12)&gt;0, (SUM($C$4:C12)-SUM($D$4:D12))/SUM($C$4:C12), 0)</f>
        <v>0.33333333333333331</v>
      </c>
      <c r="G12" s="41">
        <f t="shared" si="1"/>
        <v>-1500</v>
      </c>
    </row>
    <row r="13" spans="1:13" x14ac:dyDescent="0.2">
      <c r="A13">
        <v>10</v>
      </c>
      <c r="B13" s="20">
        <v>45649</v>
      </c>
      <c r="C13" s="4">
        <v>2100</v>
      </c>
      <c r="D13" s="4">
        <v>1950</v>
      </c>
      <c r="E13" s="39">
        <f t="shared" si="0"/>
        <v>0.9285714285714286</v>
      </c>
      <c r="F13" s="40">
        <f>IF(SUM($C$4:C13)-SUM($D$4:D13)&gt;0, (SUM($C$4:C13)-SUM($D$4:D13))/SUM($C$4:C13), 0)</f>
        <v>0.29591836734693877</v>
      </c>
      <c r="G13" s="41">
        <f t="shared" si="1"/>
        <v>-150</v>
      </c>
    </row>
    <row r="14" spans="1:13" x14ac:dyDescent="0.2">
      <c r="A14">
        <v>11</v>
      </c>
      <c r="B14" s="37">
        <v>45656</v>
      </c>
      <c r="C14" s="4">
        <v>2100</v>
      </c>
      <c r="D14" s="4">
        <v>150</v>
      </c>
      <c r="E14" s="39">
        <f t="shared" si="0"/>
        <v>7.1428571428571425E-2</v>
      </c>
      <c r="F14" s="40">
        <f>IF(SUM($C$4:C14)-SUM($D$4:D14)&gt;0, (SUM($C$4:C14)-SUM($D$4:D14))/SUM($C$4:C14), 0)</f>
        <v>0.375</v>
      </c>
      <c r="G14" s="41">
        <f t="shared" si="1"/>
        <v>-1950</v>
      </c>
    </row>
    <row r="15" spans="1:13" x14ac:dyDescent="0.2">
      <c r="A15">
        <v>12</v>
      </c>
      <c r="B15" s="20">
        <v>45663</v>
      </c>
      <c r="C15" s="4">
        <v>2100</v>
      </c>
      <c r="D15" s="4">
        <v>900</v>
      </c>
      <c r="E15" s="39">
        <f t="shared" si="0"/>
        <v>0.42857142857142855</v>
      </c>
      <c r="F15" s="40">
        <f>IF(SUM($C$4:C15)-SUM($D$4:D15)&gt;0, (SUM($C$4:C15)-SUM($D$4:D15))/SUM($C$4:C15), 0)</f>
        <v>0.3968253968253968</v>
      </c>
      <c r="G15" s="41">
        <f t="shared" si="1"/>
        <v>-1200</v>
      </c>
    </row>
    <row r="16" spans="1:13" x14ac:dyDescent="0.2">
      <c r="A16">
        <v>13</v>
      </c>
      <c r="B16" s="37">
        <v>45670</v>
      </c>
      <c r="C16" s="4">
        <v>2100</v>
      </c>
      <c r="D16" s="4">
        <v>600</v>
      </c>
      <c r="E16" s="39">
        <f t="shared" si="0"/>
        <v>0.2857142857142857</v>
      </c>
      <c r="F16" s="40">
        <f>IF(SUM($C$4:C16)-SUM($D$4:D16)&gt;0, (SUM($C$4:C16)-SUM($D$4:D16))/SUM($C$4:C16), 0)</f>
        <v>0.42857142857142855</v>
      </c>
      <c r="G16" s="41">
        <f t="shared" si="1"/>
        <v>-1500</v>
      </c>
    </row>
    <row r="17" spans="1:7" x14ac:dyDescent="0.2">
      <c r="A17">
        <v>14</v>
      </c>
      <c r="B17" s="38">
        <v>45677</v>
      </c>
      <c r="C17" s="4">
        <v>2100</v>
      </c>
      <c r="D17" s="4">
        <v>1800</v>
      </c>
      <c r="E17" s="39">
        <f t="shared" si="0"/>
        <v>0.8571428571428571</v>
      </c>
      <c r="F17" s="40">
        <f>IF(SUM($C$4:C17)-SUM($D$4:D17)&gt;0, (SUM($C$4:C17)-SUM($D$4:D17))/SUM($C$4:C17), 0)</f>
        <v>0.40259740259740262</v>
      </c>
      <c r="G17" s="41">
        <f t="shared" si="1"/>
        <v>-300</v>
      </c>
    </row>
    <row r="18" spans="1:7" x14ac:dyDescent="0.2">
      <c r="A18">
        <v>15</v>
      </c>
      <c r="B18" s="37">
        <v>45684</v>
      </c>
      <c r="C18" s="4">
        <v>2100</v>
      </c>
      <c r="D18" s="4">
        <v>1600</v>
      </c>
      <c r="E18" s="39">
        <f t="shared" si="0"/>
        <v>0.76190476190476186</v>
      </c>
      <c r="F18" s="40">
        <f>IF(SUM($C$4:C18)-SUM($D$4:D18)&gt;0, (SUM($C$4:C18)-SUM($D$4:D18))/SUM($C$4:C18), 0)</f>
        <v>0.3888888888888889</v>
      </c>
      <c r="G18" s="41">
        <f t="shared" si="1"/>
        <v>-500</v>
      </c>
    </row>
    <row r="19" spans="1:7" x14ac:dyDescent="0.2">
      <c r="A19">
        <v>16</v>
      </c>
      <c r="B19" s="37">
        <v>45691</v>
      </c>
      <c r="C19" s="4">
        <v>1500</v>
      </c>
      <c r="D19" s="4">
        <v>2700</v>
      </c>
      <c r="E19" s="39">
        <f t="shared" si="0"/>
        <v>1.8</v>
      </c>
      <c r="F19" s="40">
        <f>IF(SUM($C$4:C19)-SUM($D$4:D19)&gt;0, (SUM($C$4:C19)-SUM($D$4:D19))/SUM($C$4:C19), 0)</f>
        <v>0.32209737827715357</v>
      </c>
      <c r="G19" s="41">
        <f t="shared" si="1"/>
        <v>1200</v>
      </c>
    </row>
    <row r="20" spans="1:7" x14ac:dyDescent="0.2">
      <c r="A20">
        <v>17</v>
      </c>
      <c r="B20" s="37">
        <v>45698</v>
      </c>
      <c r="C20" s="4">
        <v>1200</v>
      </c>
      <c r="D20" s="4">
        <v>1500</v>
      </c>
      <c r="E20" s="39">
        <f>D20/C20</f>
        <v>1.25</v>
      </c>
      <c r="F20" s="40">
        <f>IF(SUM($C$4:C20)-SUM($D$4:D20)&gt;0, (SUM($C$4:C20)-SUM($D$4:D20))/SUM($C$4:C20), 0)</f>
        <v>0.29749103942652327</v>
      </c>
      <c r="G20" s="41">
        <f>D20-C20</f>
        <v>300</v>
      </c>
    </row>
    <row r="21" spans="1:7" x14ac:dyDescent="0.2">
      <c r="A21">
        <v>18</v>
      </c>
      <c r="B21" s="37">
        <v>45705</v>
      </c>
      <c r="C21" s="4">
        <v>900</v>
      </c>
      <c r="D21" s="4">
        <v>0</v>
      </c>
      <c r="E21" s="39">
        <f>D21/C21</f>
        <v>0</v>
      </c>
      <c r="F21" s="40">
        <f>IF(SUM($C$4:C21)-SUM($D$4:D21)&gt;0, (SUM($C$4:C21)-SUM($D$4:D21))/SUM($C$4:C21), 0)</f>
        <v>0.31944444444444442</v>
      </c>
      <c r="G21" s="41">
        <f>D21-C21</f>
        <v>-900</v>
      </c>
    </row>
    <row r="22" spans="1:7" x14ac:dyDescent="0.2">
      <c r="A22">
        <v>19</v>
      </c>
      <c r="B22" s="37">
        <v>45712</v>
      </c>
      <c r="C22" s="4">
        <v>300</v>
      </c>
      <c r="D22" s="4">
        <v>0</v>
      </c>
      <c r="E22" s="39">
        <f>D22/C22</f>
        <v>0</v>
      </c>
      <c r="F22" s="40">
        <f>IF(SUM($C$4:C22)-SUM($D$4:D22)&gt;0, (SUM($C$4:C22)-SUM($D$4:D22))/SUM($C$4:C22), 0)</f>
        <v>0.32646048109965636</v>
      </c>
      <c r="G22" s="41">
        <f>D22-C22</f>
        <v>-300</v>
      </c>
    </row>
    <row r="23" spans="1:7" x14ac:dyDescent="0.2">
      <c r="A23">
        <v>20</v>
      </c>
      <c r="B23" s="37">
        <v>45719</v>
      </c>
      <c r="C23" s="4">
        <v>0</v>
      </c>
      <c r="D23" s="4">
        <v>0</v>
      </c>
      <c r="E23" s="39" t="e">
        <f>D23/C23</f>
        <v>#DIV/0!</v>
      </c>
      <c r="F23" s="40">
        <f>IF(SUM($C$4:C23)-SUM($D$4:D23)&gt;0, (SUM($C$4:C23)-SUM($D$4:D23))/SUM($C$4:C23), 0)</f>
        <v>0.32646048109965636</v>
      </c>
      <c r="G23" s="41">
        <f>D23-C23</f>
        <v>0</v>
      </c>
    </row>
    <row r="24" spans="1:7" x14ac:dyDescent="0.2">
      <c r="A24">
        <v>21</v>
      </c>
      <c r="B24" s="37">
        <v>45726</v>
      </c>
      <c r="C24" s="4">
        <v>0</v>
      </c>
      <c r="D24" s="4">
        <v>0</v>
      </c>
      <c r="E24" s="39" t="e">
        <f>D24/C24</f>
        <v>#DIV/0!</v>
      </c>
      <c r="F24" s="40">
        <f>IF(SUM($C$4:C24)-SUM($D$4:D24)&gt;0, (SUM($C$4:C24)-SUM($D$4:D24))/SUM($C$4:C24), 0)</f>
        <v>0.32646048109965636</v>
      </c>
      <c r="G24" s="41">
        <f>D24-C24</f>
        <v>0</v>
      </c>
    </row>
    <row r="25" spans="1:7" x14ac:dyDescent="0.2">
      <c r="A25">
        <v>22</v>
      </c>
      <c r="B25" s="37">
        <v>45733</v>
      </c>
      <c r="C25" s="4">
        <v>0</v>
      </c>
      <c r="D25" s="4"/>
      <c r="E25" s="67" t="e">
        <f>D25/C25</f>
        <v>#DIV/0!</v>
      </c>
      <c r="F25" s="40">
        <f>IF(SUM($C$4:C25)-SUM($D$4:D25)&gt;0, (SUM($C$4:C25)-SUM($D$4:D25))/SUM($C$4:C25), 0)</f>
        <v>0.32646048109965636</v>
      </c>
      <c r="G25" s="68">
        <f>D25-C25</f>
        <v>0</v>
      </c>
    </row>
  </sheetData>
  <mergeCells count="3">
    <mergeCell ref="A1:A2"/>
    <mergeCell ref="B1:E2"/>
    <mergeCell ref="L1:M1"/>
  </mergeCells>
  <pageMargins left="0.7" right="0.7" top="0.75" bottom="0.75" header="0.3" footer="0.3"/>
  <drawing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018BC-CFF6-A241-92D8-5976FEFB83C8}">
  <dimension ref="A1:M26"/>
  <sheetViews>
    <sheetView workbookViewId="0">
      <selection activeCell="E31" sqref="E31"/>
    </sheetView>
  </sheetViews>
  <sheetFormatPr baseColWidth="10" defaultRowHeight="16" x14ac:dyDescent="0.2"/>
  <cols>
    <col min="4" max="4" width="11.33203125" customWidth="1"/>
    <col min="5" max="5" width="24" customWidth="1"/>
    <col min="6" max="6" width="13" customWidth="1"/>
    <col min="7" max="7" width="21.33203125" customWidth="1"/>
    <col min="9" max="9" width="26.1640625" bestFit="1" customWidth="1"/>
    <col min="10" max="10" width="12.5" bestFit="1" customWidth="1"/>
    <col min="12" max="12" width="17.33203125" bestFit="1" customWidth="1"/>
  </cols>
  <sheetData>
    <row r="1" spans="1:13" ht="16" customHeight="1" x14ac:dyDescent="0.2">
      <c r="A1" s="58" t="s">
        <v>66</v>
      </c>
      <c r="B1" s="55" t="s">
        <v>70</v>
      </c>
      <c r="C1" s="55"/>
      <c r="D1" s="55"/>
      <c r="E1" s="55"/>
    </row>
    <row r="2" spans="1:13" ht="16" customHeight="1" x14ac:dyDescent="0.2">
      <c r="A2" s="58"/>
      <c r="B2" s="60"/>
      <c r="C2" s="60"/>
      <c r="D2" s="60"/>
      <c r="E2" s="60"/>
      <c r="I2" t="s">
        <v>70</v>
      </c>
    </row>
    <row r="3" spans="1:13" x14ac:dyDescent="0.2">
      <c r="A3" s="24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  <c r="I3" s="9" t="s">
        <v>39</v>
      </c>
      <c r="J3" s="16" cm="1">
        <f t="array" ref="J3">AVERAGE(IF(Table24[Cumplimiento de Meta %]&gt;=100%,1,0))</f>
        <v>0.43478260869565216</v>
      </c>
      <c r="L3" t="s">
        <v>41</v>
      </c>
      <c r="M3" s="18">
        <f>(COUNT(Table24[[#All],[Semana]])*7)/30</f>
        <v>5.3666666666666663</v>
      </c>
    </row>
    <row r="4" spans="1:13" x14ac:dyDescent="0.2">
      <c r="A4">
        <v>1</v>
      </c>
      <c r="B4" s="20">
        <v>45579</v>
      </c>
      <c r="C4" s="4">
        <v>600</v>
      </c>
      <c r="D4" s="4">
        <v>600</v>
      </c>
      <c r="E4" s="21">
        <f>D4/C4</f>
        <v>1</v>
      </c>
      <c r="F4" s="22">
        <f>IF(SUM($C$4:C4)-SUM($D$4:D4)&gt;0, (SUM($C$4:C4)-SUM($D$4:D4))/SUM($C$4:C4), 0)</f>
        <v>0</v>
      </c>
      <c r="G4" s="42">
        <f t="shared" ref="G4" si="0">D4-C4</f>
        <v>0</v>
      </c>
      <c r="I4" s="4"/>
      <c r="J4" s="4"/>
    </row>
    <row r="5" spans="1:13" x14ac:dyDescent="0.2">
      <c r="A5">
        <v>2</v>
      </c>
      <c r="B5" s="20">
        <v>45586</v>
      </c>
      <c r="C5" s="4">
        <v>1200</v>
      </c>
      <c r="D5" s="4">
        <v>1200</v>
      </c>
      <c r="E5" s="21">
        <f t="shared" ref="E5:E20" si="1">D5/C5</f>
        <v>1</v>
      </c>
      <c r="F5" s="22">
        <f>IF(SUM($C$4:C5)-SUM($D$4:D5)&gt;0, (SUM($C$4:C5)-SUM($D$4:D5))/SUM($C$4:C5), 0)</f>
        <v>0</v>
      </c>
      <c r="G5" s="42">
        <f t="shared" ref="G5:G20" si="2">D5-C5</f>
        <v>0</v>
      </c>
      <c r="I5" s="4" t="s">
        <v>21</v>
      </c>
      <c r="J5" s="4">
        <f>SUM(Table24[[#All],[Meta]])</f>
        <v>150200</v>
      </c>
    </row>
    <row r="6" spans="1:13" x14ac:dyDescent="0.2">
      <c r="A6">
        <v>3</v>
      </c>
      <c r="B6" s="20">
        <v>45593</v>
      </c>
      <c r="C6" s="4">
        <v>2100</v>
      </c>
      <c r="D6" s="4">
        <v>2100</v>
      </c>
      <c r="E6" s="21">
        <f t="shared" si="1"/>
        <v>1</v>
      </c>
      <c r="F6" s="22">
        <f>IF(SUM($C$4:C6)-SUM($D$4:D6)&gt;0, (SUM($C$4:C6)-SUM($D$4:D6))/SUM($C$4:C6), 0)</f>
        <v>0</v>
      </c>
      <c r="G6" s="42">
        <f t="shared" si="2"/>
        <v>0</v>
      </c>
      <c r="I6" s="4" t="s">
        <v>22</v>
      </c>
      <c r="J6" s="4">
        <f>SUM(Table24[[#All],[Cobranza]])</f>
        <v>125400</v>
      </c>
    </row>
    <row r="7" spans="1:13" x14ac:dyDescent="0.2">
      <c r="A7">
        <v>4</v>
      </c>
      <c r="B7" s="20">
        <v>45600</v>
      </c>
      <c r="C7" s="4">
        <v>3300</v>
      </c>
      <c r="D7" s="4">
        <v>3300</v>
      </c>
      <c r="E7" s="21">
        <f t="shared" si="1"/>
        <v>1</v>
      </c>
      <c r="F7" s="22">
        <f>IF(SUM($C$4:C7)-SUM($D$4:D7)&gt;0, (SUM($C$4:C7)-SUM($D$4:D7))/SUM($C$4:C7), 0)</f>
        <v>0</v>
      </c>
      <c r="G7" s="42">
        <f t="shared" si="2"/>
        <v>0</v>
      </c>
      <c r="I7" s="4" t="s">
        <v>23</v>
      </c>
      <c r="J7" s="4">
        <f>SUM(Table24[[#All],[Didiferencia Absoluta]])</f>
        <v>-24800</v>
      </c>
    </row>
    <row r="8" spans="1:13" x14ac:dyDescent="0.2">
      <c r="A8">
        <v>5</v>
      </c>
      <c r="B8" s="20">
        <v>45607</v>
      </c>
      <c r="C8" s="4">
        <v>3900</v>
      </c>
      <c r="D8" s="4">
        <v>3900</v>
      </c>
      <c r="E8" s="21">
        <f t="shared" si="1"/>
        <v>1</v>
      </c>
      <c r="F8" s="22">
        <f>IF(SUM($C$4:C8)-SUM($D$4:D8)&gt;0, (SUM($C$4:C8)-SUM($D$4:D8))/SUM($C$4:C8), 0)</f>
        <v>0</v>
      </c>
      <c r="G8" s="42">
        <f t="shared" si="2"/>
        <v>0</v>
      </c>
      <c r="I8" t="s">
        <v>24</v>
      </c>
      <c r="J8" s="16">
        <f>(J7/J5)*-1</f>
        <v>0.16511318242343542</v>
      </c>
    </row>
    <row r="9" spans="1:13" x14ac:dyDescent="0.2">
      <c r="A9">
        <v>6</v>
      </c>
      <c r="B9" s="20">
        <v>45614</v>
      </c>
      <c r="C9" s="4">
        <v>4200</v>
      </c>
      <c r="D9" s="4">
        <v>4200</v>
      </c>
      <c r="E9" s="21">
        <f t="shared" si="1"/>
        <v>1</v>
      </c>
      <c r="F9" s="22">
        <f>IF(SUM($C$4:C9)-SUM($D$4:D9)&gt;0, (SUM($C$4:C9)-SUM($D$4:D9))/SUM($C$4:C9), 0)</f>
        <v>0</v>
      </c>
      <c r="G9" s="42">
        <f t="shared" si="2"/>
        <v>0</v>
      </c>
    </row>
    <row r="10" spans="1:13" x14ac:dyDescent="0.2">
      <c r="A10">
        <v>7</v>
      </c>
      <c r="B10" s="20">
        <v>45621</v>
      </c>
      <c r="C10" s="4">
        <v>4800</v>
      </c>
      <c r="D10" s="4">
        <v>4800</v>
      </c>
      <c r="E10" s="21">
        <f t="shared" si="1"/>
        <v>1</v>
      </c>
      <c r="F10" s="22">
        <f>IF(SUM($C$4:C10)-SUM($D$4:D10)&gt;0, (SUM($C$4:C10)-SUM($D$4:D10))/SUM($C$4:C10), 0)</f>
        <v>0</v>
      </c>
      <c r="G10" s="42">
        <f t="shared" si="2"/>
        <v>0</v>
      </c>
    </row>
    <row r="11" spans="1:13" x14ac:dyDescent="0.2">
      <c r="A11">
        <v>8</v>
      </c>
      <c r="B11" s="20">
        <v>45628</v>
      </c>
      <c r="C11" s="4">
        <v>6000</v>
      </c>
      <c r="D11" s="4">
        <v>6000</v>
      </c>
      <c r="E11" s="21">
        <f t="shared" si="1"/>
        <v>1</v>
      </c>
      <c r="F11" s="22">
        <f>IF(SUM($C$4:C11)-SUM($D$4:D11)&gt;0, (SUM($C$4:C11)-SUM($D$4:D11))/SUM($C$4:C11), 0)</f>
        <v>0</v>
      </c>
      <c r="G11" s="42">
        <f t="shared" si="2"/>
        <v>0</v>
      </c>
    </row>
    <row r="12" spans="1:13" x14ac:dyDescent="0.2">
      <c r="A12">
        <v>9</v>
      </c>
      <c r="B12" s="20">
        <v>45635</v>
      </c>
      <c r="C12" s="4">
        <v>7200</v>
      </c>
      <c r="D12" s="4">
        <v>7200</v>
      </c>
      <c r="E12" s="21">
        <f t="shared" si="1"/>
        <v>1</v>
      </c>
      <c r="F12" s="22">
        <f>IF(SUM($C$4:C12)-SUM($D$4:D12)&gt;0, (SUM($C$4:C12)-SUM($D$4:D12))/SUM($C$4:C12), 0)</f>
        <v>0</v>
      </c>
      <c r="G12" s="42">
        <f t="shared" si="2"/>
        <v>0</v>
      </c>
    </row>
    <row r="13" spans="1:13" x14ac:dyDescent="0.2">
      <c r="A13">
        <v>10</v>
      </c>
      <c r="B13" s="20">
        <v>45642</v>
      </c>
      <c r="C13" s="4">
        <v>7800</v>
      </c>
      <c r="D13" s="4">
        <v>7200</v>
      </c>
      <c r="E13" s="21">
        <f t="shared" si="1"/>
        <v>0.92307692307692313</v>
      </c>
      <c r="F13" s="22">
        <f>IF(SUM($C$4:C13)-SUM($D$4:D13)&gt;0, (SUM($C$4:C13)-SUM($D$4:D13))/SUM($C$4:C13), 0)</f>
        <v>1.4598540145985401E-2</v>
      </c>
      <c r="G13" s="42">
        <f t="shared" si="2"/>
        <v>-600</v>
      </c>
    </row>
    <row r="14" spans="1:13" x14ac:dyDescent="0.2">
      <c r="A14">
        <v>11</v>
      </c>
      <c r="B14" s="20">
        <v>45649</v>
      </c>
      <c r="C14" s="4">
        <v>8500</v>
      </c>
      <c r="D14" s="4">
        <v>7300</v>
      </c>
      <c r="E14" s="21">
        <f t="shared" si="1"/>
        <v>0.85882352941176465</v>
      </c>
      <c r="F14" s="22">
        <f>IF(SUM($C$4:C14)-SUM($D$4:D14)&gt;0, (SUM($C$4:C14)-SUM($D$4:D14))/SUM($C$4:C14), 0)</f>
        <v>3.6290322580645164E-2</v>
      </c>
      <c r="G14" s="42">
        <f t="shared" si="2"/>
        <v>-1200</v>
      </c>
    </row>
    <row r="15" spans="1:13" x14ac:dyDescent="0.2">
      <c r="A15">
        <v>12</v>
      </c>
      <c r="B15" s="20">
        <v>45656</v>
      </c>
      <c r="C15" s="4">
        <v>8850</v>
      </c>
      <c r="D15" s="4">
        <v>8250</v>
      </c>
      <c r="E15" s="21">
        <f t="shared" si="1"/>
        <v>0.93220338983050843</v>
      </c>
      <c r="F15" s="22">
        <f>IF(SUM($C$4:C15)-SUM($D$4:D15)&gt;0, (SUM($C$4:C15)-SUM($D$4:D15))/SUM($C$4:C15), 0)</f>
        <v>4.1060735671514116E-2</v>
      </c>
      <c r="G15" s="42">
        <f t="shared" si="2"/>
        <v>-600</v>
      </c>
    </row>
    <row r="16" spans="1:13" x14ac:dyDescent="0.2">
      <c r="A16">
        <v>13</v>
      </c>
      <c r="B16" s="20">
        <v>45663</v>
      </c>
      <c r="C16" s="4">
        <v>9250</v>
      </c>
      <c r="D16" s="4">
        <v>8950</v>
      </c>
      <c r="E16" s="21">
        <f t="shared" si="1"/>
        <v>0.96756756756756757</v>
      </c>
      <c r="F16" s="22">
        <f>IF(SUM($C$4:C16)-SUM($D$4:D16)&gt;0, (SUM($C$4:C16)-SUM($D$4:D16))/SUM($C$4:C16), 0)</f>
        <v>3.9881831610044313E-2</v>
      </c>
      <c r="G16" s="42">
        <f t="shared" si="2"/>
        <v>-300</v>
      </c>
    </row>
    <row r="17" spans="1:7" x14ac:dyDescent="0.2">
      <c r="A17">
        <v>14</v>
      </c>
      <c r="B17" s="20">
        <v>45670</v>
      </c>
      <c r="C17" s="4">
        <v>9350</v>
      </c>
      <c r="D17" s="4">
        <v>9550</v>
      </c>
      <c r="E17" s="21">
        <f t="shared" si="1"/>
        <v>1.0213903743315509</v>
      </c>
      <c r="F17" s="22">
        <f>IF(SUM($C$4:C17)-SUM($D$4:D17)&gt;0, (SUM($C$4:C17)-SUM($D$4:D17))/SUM($C$4:C17), 0)</f>
        <v>3.2446463335496431E-2</v>
      </c>
      <c r="G17" s="42">
        <f t="shared" si="2"/>
        <v>200</v>
      </c>
    </row>
    <row r="18" spans="1:7" x14ac:dyDescent="0.2">
      <c r="A18">
        <v>15</v>
      </c>
      <c r="B18" s="20">
        <v>45677</v>
      </c>
      <c r="C18" s="4">
        <v>9450</v>
      </c>
      <c r="D18" s="4">
        <v>6350</v>
      </c>
      <c r="E18" s="21">
        <f t="shared" si="1"/>
        <v>0.67195767195767198</v>
      </c>
      <c r="F18" s="22">
        <f>IF(SUM($C$4:C18)-SUM($D$4:D18)&gt;0, (SUM($C$4:C18)-SUM($D$4:D18))/SUM($C$4:C18), 0)</f>
        <v>6.4739884393063579E-2</v>
      </c>
      <c r="G18" s="42">
        <f t="shared" si="2"/>
        <v>-3100</v>
      </c>
    </row>
    <row r="19" spans="1:7" x14ac:dyDescent="0.2">
      <c r="A19">
        <v>16</v>
      </c>
      <c r="B19" s="20">
        <v>45684</v>
      </c>
      <c r="C19" s="4">
        <v>9500</v>
      </c>
      <c r="D19" s="4">
        <v>7400</v>
      </c>
      <c r="E19" s="21">
        <f t="shared" si="1"/>
        <v>0.77894736842105261</v>
      </c>
      <c r="F19" s="22">
        <f>IF(SUM($C$4:C19)-SUM($D$4:D19)&gt;0, (SUM($C$4:C19)-SUM($D$4:D19))/SUM($C$4:C19), 0)</f>
        <v>8.020833333333334E-2</v>
      </c>
      <c r="G19" s="42">
        <f t="shared" si="2"/>
        <v>-2100</v>
      </c>
    </row>
    <row r="20" spans="1:7" x14ac:dyDescent="0.2">
      <c r="A20">
        <v>17</v>
      </c>
      <c r="B20" s="20">
        <v>45691</v>
      </c>
      <c r="C20" s="4">
        <v>9200</v>
      </c>
      <c r="D20" s="4">
        <v>8250</v>
      </c>
      <c r="E20" s="21">
        <f t="shared" si="1"/>
        <v>0.89673913043478259</v>
      </c>
      <c r="F20" s="22">
        <f>IF(SUM($C$4:C20)-SUM($D$4:D20)&gt;0, (SUM($C$4:C20)-SUM($D$4:D20))/SUM($C$4:C20), 0)</f>
        <v>8.2224334600760451E-2</v>
      </c>
      <c r="G20" s="42">
        <f t="shared" si="2"/>
        <v>-950</v>
      </c>
    </row>
    <row r="21" spans="1:7" x14ac:dyDescent="0.2">
      <c r="A21">
        <v>18</v>
      </c>
      <c r="B21" s="20">
        <v>45698</v>
      </c>
      <c r="C21" s="4">
        <v>8600</v>
      </c>
      <c r="D21" s="4">
        <v>6950</v>
      </c>
      <c r="E21" s="21">
        <f>D21/C21</f>
        <v>0.80813953488372092</v>
      </c>
      <c r="F21" s="22">
        <f>IF(SUM($C$4:C21)-SUM($D$4:D21)&gt;0, (SUM($C$4:C21)-SUM($D$4:D21))/SUM($C$4:C21), 0)</f>
        <v>9.0509666080843584E-2</v>
      </c>
      <c r="G21" s="42">
        <f>D21-C21</f>
        <v>-1650</v>
      </c>
    </row>
    <row r="22" spans="1:7" x14ac:dyDescent="0.2">
      <c r="A22">
        <v>19</v>
      </c>
      <c r="B22" s="20">
        <v>45705</v>
      </c>
      <c r="C22" s="4">
        <v>8600</v>
      </c>
      <c r="D22" s="4">
        <v>5450</v>
      </c>
      <c r="E22" s="21">
        <f>D22/C22</f>
        <v>0.63372093023255816</v>
      </c>
      <c r="F22" s="22">
        <f>IF(SUM($C$4:C22)-SUM($D$4:D22)&gt;0, (SUM($C$4:C22)-SUM($D$4:D22))/SUM($C$4:C22), 0)</f>
        <v>0.10988562091503268</v>
      </c>
      <c r="G22" s="42">
        <f>D22-C22</f>
        <v>-3150</v>
      </c>
    </row>
    <row r="23" spans="1:7" x14ac:dyDescent="0.2">
      <c r="A23">
        <v>20</v>
      </c>
      <c r="B23" s="20">
        <v>45712</v>
      </c>
      <c r="C23" s="4">
        <v>8300</v>
      </c>
      <c r="D23" s="4">
        <v>5700</v>
      </c>
      <c r="E23" s="21">
        <f>D23/C23</f>
        <v>0.68674698795180722</v>
      </c>
      <c r="F23" s="22">
        <f>IF(SUM($C$4:C23)-SUM($D$4:D23)&gt;0, (SUM($C$4:C23)-SUM($D$4:D23))/SUM($C$4:C23), 0)</f>
        <v>0.12280030604437643</v>
      </c>
      <c r="G23" s="42">
        <f>D23-C23</f>
        <v>-2600</v>
      </c>
    </row>
    <row r="24" spans="1:7" x14ac:dyDescent="0.2">
      <c r="A24">
        <v>21</v>
      </c>
      <c r="B24" s="20">
        <v>45719</v>
      </c>
      <c r="C24" s="4">
        <v>7700</v>
      </c>
      <c r="D24" s="4">
        <v>5400</v>
      </c>
      <c r="E24" s="21">
        <f>D24/C24</f>
        <v>0.70129870129870131</v>
      </c>
      <c r="F24" s="22">
        <f>IF(SUM($C$4:C24)-SUM($D$4:D24)&gt;0, (SUM($C$4:C24)-SUM($D$4:D24))/SUM($C$4:C24), 0)</f>
        <v>0.13258670520231214</v>
      </c>
      <c r="G24" s="42">
        <f>D24-C24</f>
        <v>-2300</v>
      </c>
    </row>
    <row r="25" spans="1:7" x14ac:dyDescent="0.2">
      <c r="A25">
        <v>22</v>
      </c>
      <c r="B25" s="20">
        <v>45726</v>
      </c>
      <c r="C25" s="4">
        <v>6500</v>
      </c>
      <c r="D25" s="4">
        <v>5350</v>
      </c>
      <c r="E25" s="21">
        <f>D25/C25</f>
        <v>0.82307692307692304</v>
      </c>
      <c r="F25" s="22">
        <f>IF(SUM($C$4:C25)-SUM($D$4:D25)&gt;0, (SUM($C$4:C25)-SUM($D$4:D25))/SUM($C$4:C25), 0)</f>
        <v>0.13457556935817805</v>
      </c>
      <c r="G25" s="42">
        <f>D25-C25</f>
        <v>-1150</v>
      </c>
    </row>
    <row r="26" spans="1:7" x14ac:dyDescent="0.2">
      <c r="A26">
        <v>23</v>
      </c>
      <c r="B26" s="20">
        <v>45733</v>
      </c>
      <c r="C26" s="4">
        <v>5300</v>
      </c>
      <c r="D26" s="4"/>
      <c r="E26" s="64">
        <f>D26/C26</f>
        <v>0</v>
      </c>
      <c r="F26" s="22">
        <f>IF(SUM($C$4:C26)-SUM($D$4:D26)&gt;0, (SUM($C$4:C26)-SUM($D$4:D26))/SUM($C$4:C26), 0)</f>
        <v>0.16511318242343542</v>
      </c>
      <c r="G26" s="69">
        <f>D26-C26</f>
        <v>-5300</v>
      </c>
    </row>
  </sheetData>
  <mergeCells count="2">
    <mergeCell ref="A1:A2"/>
    <mergeCell ref="B1:E2"/>
  </mergeCells>
  <pageMargins left="0.7" right="0.7" top="0.75" bottom="0.75" header="0.3" footer="0.3"/>
  <drawing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2262B-EF22-CE4A-992A-767A5742FBFF}">
  <dimension ref="A1:M26"/>
  <sheetViews>
    <sheetView workbookViewId="0">
      <selection activeCell="E30" sqref="E30"/>
    </sheetView>
  </sheetViews>
  <sheetFormatPr baseColWidth="10" defaultRowHeight="16" x14ac:dyDescent="0.2"/>
  <cols>
    <col min="4" max="4" width="11.33203125" customWidth="1"/>
    <col min="5" max="5" width="24" customWidth="1"/>
    <col min="6" max="6" width="13" customWidth="1"/>
    <col min="7" max="7" width="21.33203125" customWidth="1"/>
    <col min="9" max="9" width="26.1640625" bestFit="1" customWidth="1"/>
    <col min="10" max="10" width="12.5" bestFit="1" customWidth="1"/>
    <col min="12" max="12" width="17.33203125" bestFit="1" customWidth="1"/>
  </cols>
  <sheetData>
    <row r="1" spans="1:13" x14ac:dyDescent="0.2">
      <c r="A1" s="58" t="s">
        <v>67</v>
      </c>
      <c r="B1" s="55" t="s">
        <v>71</v>
      </c>
      <c r="C1" s="55"/>
      <c r="D1" s="55"/>
      <c r="E1" s="55"/>
    </row>
    <row r="2" spans="1:13" x14ac:dyDescent="0.2">
      <c r="A2" s="58"/>
      <c r="B2" s="60"/>
      <c r="C2" s="60"/>
      <c r="D2" s="60"/>
      <c r="E2" s="60"/>
      <c r="I2" t="s">
        <v>71</v>
      </c>
    </row>
    <row r="3" spans="1:13" x14ac:dyDescent="0.2">
      <c r="A3" s="25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  <c r="I3" s="9" t="s">
        <v>39</v>
      </c>
      <c r="J3" s="16" cm="1">
        <f t="array" ref="J3">AVERAGE(IF(Table25[Cumplimiento de Meta %]&gt;=100%,1,0))</f>
        <v>0.60869565217391308</v>
      </c>
      <c r="L3" t="s">
        <v>41</v>
      </c>
      <c r="M3" s="18">
        <f>(COUNT(Table25[[#All],[Semana]])*7)/30</f>
        <v>5.3666666666666663</v>
      </c>
    </row>
    <row r="4" spans="1:13" x14ac:dyDescent="0.2">
      <c r="A4" s="44">
        <v>1</v>
      </c>
      <c r="B4" s="20">
        <v>45579</v>
      </c>
      <c r="C4" s="4">
        <v>1500</v>
      </c>
      <c r="D4" s="4">
        <v>1500</v>
      </c>
      <c r="E4" s="21">
        <f>D4/C4</f>
        <v>1</v>
      </c>
      <c r="F4" s="22">
        <f>IF(SUM($C$4:C4)-SUM($D$4:D4)&gt;0, (SUM($C$4:C4)-SUM($D$4:D4))/SUM($C$4:C4), 0)</f>
        <v>0</v>
      </c>
      <c r="G4" s="42">
        <f t="shared" ref="G4" si="0">D4-C4</f>
        <v>0</v>
      </c>
      <c r="I4" s="4"/>
      <c r="J4" s="4"/>
    </row>
    <row r="5" spans="1:13" x14ac:dyDescent="0.2">
      <c r="A5" s="44">
        <v>2</v>
      </c>
      <c r="B5" s="20">
        <v>45586</v>
      </c>
      <c r="C5" s="4">
        <v>3100</v>
      </c>
      <c r="D5" s="4">
        <v>2100</v>
      </c>
      <c r="E5" s="21">
        <f t="shared" ref="E5:E20" si="1">D5/C5</f>
        <v>0.67741935483870963</v>
      </c>
      <c r="F5" s="22">
        <f>IF(SUM($C$4:C5)-SUM($D$4:D5)&gt;0, (SUM($C$4:C5)-SUM($D$4:D5))/SUM($C$4:C5), 0)</f>
        <v>0.21739130434782608</v>
      </c>
      <c r="G5" s="42">
        <f t="shared" ref="G5:G20" si="2">D5-C5</f>
        <v>-1000</v>
      </c>
      <c r="I5" s="4" t="s">
        <v>21</v>
      </c>
      <c r="J5" s="4">
        <f>SUM(Table25[[#All],[Meta]])</f>
        <v>121000</v>
      </c>
    </row>
    <row r="6" spans="1:13" x14ac:dyDescent="0.2">
      <c r="A6" s="44">
        <v>3</v>
      </c>
      <c r="B6" s="20">
        <v>45593</v>
      </c>
      <c r="C6" s="4">
        <v>3500</v>
      </c>
      <c r="D6" s="4">
        <v>3500</v>
      </c>
      <c r="E6" s="21">
        <f t="shared" si="1"/>
        <v>1</v>
      </c>
      <c r="F6" s="22">
        <f>IF(SUM($C$4:C6)-SUM($D$4:D6)&gt;0, (SUM($C$4:C6)-SUM($D$4:D6))/SUM($C$4:C6), 0)</f>
        <v>0.12345679012345678</v>
      </c>
      <c r="G6" s="42">
        <f t="shared" si="2"/>
        <v>0</v>
      </c>
      <c r="I6" s="4" t="s">
        <v>22</v>
      </c>
      <c r="J6" s="4">
        <f>SUM(Table25[[#All],[Cobranza]])</f>
        <v>109300</v>
      </c>
    </row>
    <row r="7" spans="1:13" x14ac:dyDescent="0.2">
      <c r="A7" s="44">
        <v>4</v>
      </c>
      <c r="B7" s="20">
        <v>45600</v>
      </c>
      <c r="C7" s="4">
        <v>3800</v>
      </c>
      <c r="D7" s="4">
        <v>3800</v>
      </c>
      <c r="E7" s="21">
        <f t="shared" si="1"/>
        <v>1</v>
      </c>
      <c r="F7" s="22">
        <f>IF(SUM($C$4:C7)-SUM($D$4:D7)&gt;0, (SUM($C$4:C7)-SUM($D$4:D7))/SUM($C$4:C7), 0)</f>
        <v>8.4033613445378158E-2</v>
      </c>
      <c r="G7" s="42">
        <f t="shared" si="2"/>
        <v>0</v>
      </c>
      <c r="I7" s="4" t="s">
        <v>23</v>
      </c>
      <c r="J7" s="4">
        <f>SUM(Table25[[#All],[Didiferencia Absoluta]])</f>
        <v>-11700</v>
      </c>
    </row>
    <row r="8" spans="1:13" x14ac:dyDescent="0.2">
      <c r="A8" s="44">
        <v>5</v>
      </c>
      <c r="B8" s="20">
        <v>45607</v>
      </c>
      <c r="C8" s="4">
        <v>4400</v>
      </c>
      <c r="D8" s="4">
        <v>4800</v>
      </c>
      <c r="E8" s="21">
        <f t="shared" si="1"/>
        <v>1.0909090909090908</v>
      </c>
      <c r="F8" s="22">
        <f>IF(SUM($C$4:C8)-SUM($D$4:D8)&gt;0, (SUM($C$4:C8)-SUM($D$4:D8))/SUM($C$4:C8), 0)</f>
        <v>3.6809815950920248E-2</v>
      </c>
      <c r="G8" s="42">
        <f t="shared" si="2"/>
        <v>400</v>
      </c>
      <c r="I8" t="s">
        <v>24</v>
      </c>
      <c r="J8" s="16">
        <f>(J7/J5)*-1</f>
        <v>9.6694214876033052E-2</v>
      </c>
    </row>
    <row r="9" spans="1:13" x14ac:dyDescent="0.2">
      <c r="A9" s="44">
        <v>6</v>
      </c>
      <c r="B9" s="20">
        <v>45614</v>
      </c>
      <c r="C9" s="4">
        <v>4400</v>
      </c>
      <c r="D9" s="4">
        <v>4100</v>
      </c>
      <c r="E9" s="21">
        <f t="shared" si="1"/>
        <v>0.93181818181818177</v>
      </c>
      <c r="F9" s="22">
        <f>IF(SUM($C$4:C9)-SUM($D$4:D9)&gt;0, (SUM($C$4:C9)-SUM($D$4:D9))/SUM($C$4:C9), 0)</f>
        <v>4.3478260869565216E-2</v>
      </c>
      <c r="G9" s="42">
        <f t="shared" si="2"/>
        <v>-300</v>
      </c>
    </row>
    <row r="10" spans="1:13" x14ac:dyDescent="0.2">
      <c r="A10" s="44">
        <v>7</v>
      </c>
      <c r="B10" s="20">
        <v>45621</v>
      </c>
      <c r="C10" s="4">
        <v>4700</v>
      </c>
      <c r="D10" s="4">
        <v>4600</v>
      </c>
      <c r="E10" s="21">
        <f t="shared" si="1"/>
        <v>0.97872340425531912</v>
      </c>
      <c r="F10" s="22">
        <f>IF(SUM($C$4:C10)-SUM($D$4:D10)&gt;0, (SUM($C$4:C10)-SUM($D$4:D10))/SUM($C$4:C10), 0)</f>
        <v>3.937007874015748E-2</v>
      </c>
      <c r="G10" s="42">
        <f t="shared" si="2"/>
        <v>-100</v>
      </c>
    </row>
    <row r="11" spans="1:13" x14ac:dyDescent="0.2">
      <c r="A11" s="44">
        <v>8</v>
      </c>
      <c r="B11" s="20">
        <v>45628</v>
      </c>
      <c r="C11" s="4">
        <v>4700</v>
      </c>
      <c r="D11" s="4">
        <v>4700</v>
      </c>
      <c r="E11" s="21">
        <f t="shared" si="1"/>
        <v>1</v>
      </c>
      <c r="F11" s="22">
        <f>IF(SUM($C$4:C11)-SUM($D$4:D11)&gt;0, (SUM($C$4:C11)-SUM($D$4:D11))/SUM($C$4:C11), 0)</f>
        <v>3.3222591362126248E-2</v>
      </c>
      <c r="G11" s="42">
        <f t="shared" si="2"/>
        <v>0</v>
      </c>
    </row>
    <row r="12" spans="1:13" x14ac:dyDescent="0.2">
      <c r="A12" s="44">
        <v>9</v>
      </c>
      <c r="B12" s="20">
        <v>45635</v>
      </c>
      <c r="C12" s="4">
        <v>5000</v>
      </c>
      <c r="D12" s="4">
        <v>5000</v>
      </c>
      <c r="E12" s="21">
        <f t="shared" si="1"/>
        <v>1</v>
      </c>
      <c r="F12" s="22">
        <f>IF(SUM($C$4:C12)-SUM($D$4:D12)&gt;0, (SUM($C$4:C12)-SUM($D$4:D12))/SUM($C$4:C12), 0)</f>
        <v>2.8490028490028491E-2</v>
      </c>
      <c r="G12" s="42">
        <f t="shared" si="2"/>
        <v>0</v>
      </c>
    </row>
    <row r="13" spans="1:13" x14ac:dyDescent="0.2">
      <c r="A13" s="44">
        <v>10</v>
      </c>
      <c r="B13" s="20">
        <v>45642</v>
      </c>
      <c r="C13" s="4">
        <v>5600</v>
      </c>
      <c r="D13" s="4">
        <v>5600</v>
      </c>
      <c r="E13" s="21">
        <f t="shared" si="1"/>
        <v>1</v>
      </c>
      <c r="F13" s="22">
        <f>IF(SUM($C$4:C13)-SUM($D$4:D13)&gt;0, (SUM($C$4:C13)-SUM($D$4:D13))/SUM($C$4:C13), 0)</f>
        <v>2.4570024570024569E-2</v>
      </c>
      <c r="G13" s="42">
        <f t="shared" si="2"/>
        <v>0</v>
      </c>
    </row>
    <row r="14" spans="1:13" x14ac:dyDescent="0.2">
      <c r="A14" s="44">
        <v>11</v>
      </c>
      <c r="B14" s="20">
        <v>45649</v>
      </c>
      <c r="C14" s="4">
        <v>5600</v>
      </c>
      <c r="D14" s="4">
        <v>5600</v>
      </c>
      <c r="E14" s="21">
        <f t="shared" si="1"/>
        <v>1</v>
      </c>
      <c r="F14" s="22">
        <f>IF(SUM($C$4:C14)-SUM($D$4:D14)&gt;0, (SUM($C$4:C14)-SUM($D$4:D14))/SUM($C$4:C14), 0)</f>
        <v>2.159827213822894E-2</v>
      </c>
      <c r="G14" s="42">
        <f t="shared" si="2"/>
        <v>0</v>
      </c>
    </row>
    <row r="15" spans="1:13" x14ac:dyDescent="0.2">
      <c r="A15" s="44">
        <v>12</v>
      </c>
      <c r="B15" s="20">
        <v>45656</v>
      </c>
      <c r="C15" s="4">
        <v>5400</v>
      </c>
      <c r="D15" s="4">
        <v>5400</v>
      </c>
      <c r="E15" s="21">
        <f>D15/C15</f>
        <v>1</v>
      </c>
      <c r="F15" s="22">
        <f>IF(SUM($C$4:C15)-SUM($D$4:D15)&gt;0, (SUM($C$4:C15)-SUM($D$4:D15))/SUM($C$4:C15), 0)</f>
        <v>1.9342359767891684E-2</v>
      </c>
      <c r="G15" s="42">
        <f t="shared" si="2"/>
        <v>0</v>
      </c>
    </row>
    <row r="16" spans="1:13" x14ac:dyDescent="0.2">
      <c r="A16" s="44">
        <v>13</v>
      </c>
      <c r="B16" s="20">
        <v>45663</v>
      </c>
      <c r="C16" s="4">
        <v>6150</v>
      </c>
      <c r="D16" s="4">
        <v>6150</v>
      </c>
      <c r="E16" s="21">
        <f t="shared" si="1"/>
        <v>1</v>
      </c>
      <c r="F16" s="22">
        <f>IF(SUM($C$4:C16)-SUM($D$4:D16)&gt;0, (SUM($C$4:C16)-SUM($D$4:D16))/SUM($C$4:C16), 0)</f>
        <v>1.728608470181504E-2</v>
      </c>
      <c r="G16" s="42">
        <f t="shared" si="2"/>
        <v>0</v>
      </c>
    </row>
    <row r="17" spans="1:7" x14ac:dyDescent="0.2">
      <c r="A17" s="44">
        <v>14</v>
      </c>
      <c r="B17" s="20">
        <v>45670</v>
      </c>
      <c r="C17" s="4">
        <v>6300</v>
      </c>
      <c r="D17" s="4">
        <v>6600</v>
      </c>
      <c r="E17" s="21">
        <f t="shared" si="1"/>
        <v>1.0476190476190477</v>
      </c>
      <c r="F17" s="22">
        <f>IF(SUM($C$4:C17)-SUM($D$4:D17)&gt;0, (SUM($C$4:C17)-SUM($D$4:D17))/SUM($C$4:C17), 0)</f>
        <v>1.0911925175370226E-2</v>
      </c>
      <c r="G17" s="42">
        <f t="shared" si="2"/>
        <v>300</v>
      </c>
    </row>
    <row r="18" spans="1:7" x14ac:dyDescent="0.2">
      <c r="A18" s="44">
        <v>15</v>
      </c>
      <c r="B18" s="20">
        <v>45677</v>
      </c>
      <c r="C18" s="4">
        <v>5900</v>
      </c>
      <c r="D18" s="4">
        <v>7300</v>
      </c>
      <c r="E18" s="21">
        <f t="shared" si="1"/>
        <v>1.2372881355932204</v>
      </c>
      <c r="F18" s="22">
        <f>IF(SUM($C$4:C18)-SUM($D$4:D18)&gt;0, (SUM($C$4:C18)-SUM($D$4:D18))/SUM($C$4:C18), 0)</f>
        <v>0</v>
      </c>
      <c r="G18" s="42">
        <f t="shared" si="2"/>
        <v>1400</v>
      </c>
    </row>
    <row r="19" spans="1:7" x14ac:dyDescent="0.2">
      <c r="A19" s="44">
        <v>16</v>
      </c>
      <c r="B19" s="20">
        <v>45684</v>
      </c>
      <c r="C19" s="4">
        <v>6350</v>
      </c>
      <c r="D19" s="4">
        <v>5950</v>
      </c>
      <c r="E19" s="21">
        <f t="shared" si="1"/>
        <v>0.93700787401574803</v>
      </c>
      <c r="F19" s="22">
        <f>IF(SUM($C$4:C19)-SUM($D$4:D19)&gt;0, (SUM($C$4:C19)-SUM($D$4:D19))/SUM($C$4:C19), 0)</f>
        <v>0</v>
      </c>
      <c r="G19" s="42">
        <f t="shared" si="2"/>
        <v>-400</v>
      </c>
    </row>
    <row r="20" spans="1:7" x14ac:dyDescent="0.2">
      <c r="A20" s="44">
        <v>17</v>
      </c>
      <c r="B20" s="20">
        <v>45691</v>
      </c>
      <c r="C20" s="4">
        <v>6650</v>
      </c>
      <c r="D20" s="4">
        <v>6650</v>
      </c>
      <c r="E20" s="21">
        <f t="shared" si="1"/>
        <v>1</v>
      </c>
      <c r="F20" s="22">
        <f>IF(SUM($C$4:C20)-SUM($D$4:D20)&gt;0, (SUM($C$4:C20)-SUM($D$4:D20))/SUM($C$4:C20), 0)</f>
        <v>0</v>
      </c>
      <c r="G20" s="42">
        <f t="shared" si="2"/>
        <v>0</v>
      </c>
    </row>
    <row r="21" spans="1:7" x14ac:dyDescent="0.2">
      <c r="A21" s="44">
        <v>18</v>
      </c>
      <c r="B21" s="20">
        <v>45698</v>
      </c>
      <c r="C21" s="4">
        <v>6050</v>
      </c>
      <c r="D21" s="4">
        <v>6350</v>
      </c>
      <c r="E21" s="21">
        <f>D21/C21</f>
        <v>1.0495867768595042</v>
      </c>
      <c r="F21" s="22">
        <f>IF(SUM($C$4:C21)-SUM($D$4:D21)&gt;0, (SUM($C$4:C21)-SUM($D$4:D21))/SUM($C$4:C21), 0)</f>
        <v>0</v>
      </c>
      <c r="G21" s="42">
        <f>D21-C21</f>
        <v>300</v>
      </c>
    </row>
    <row r="22" spans="1:7" x14ac:dyDescent="0.2">
      <c r="A22" s="44">
        <v>19</v>
      </c>
      <c r="B22" s="20">
        <v>45705</v>
      </c>
      <c r="C22" s="4">
        <v>6050</v>
      </c>
      <c r="D22" s="4">
        <v>4000</v>
      </c>
      <c r="E22" s="21">
        <f>D22/C22</f>
        <v>0.66115702479338845</v>
      </c>
      <c r="F22" s="22">
        <f>IF(SUM($C$4:C22)-SUM($D$4:D22)&gt;0, (SUM($C$4:C22)-SUM($D$4:D22))/SUM($C$4:C22), 0)</f>
        <v>1.5239096163951655E-2</v>
      </c>
      <c r="G22" s="42">
        <f>D22-C22</f>
        <v>-2050</v>
      </c>
    </row>
    <row r="23" spans="1:7" x14ac:dyDescent="0.2">
      <c r="A23" s="44">
        <v>20</v>
      </c>
      <c r="B23" s="20">
        <v>45712</v>
      </c>
      <c r="C23" s="4">
        <v>6050</v>
      </c>
      <c r="D23" s="4">
        <v>5400</v>
      </c>
      <c r="E23" s="21">
        <f>D23/C23</f>
        <v>0.8925619834710744</v>
      </c>
      <c r="F23" s="22">
        <f>IF(SUM($C$4:C23)-SUM($D$4:D23)&gt;0, (SUM($C$4:C23)-SUM($D$4:D23))/SUM($C$4:C23), 0)</f>
        <v>2.0750988142292492E-2</v>
      </c>
      <c r="G23" s="42">
        <f>D23-C23</f>
        <v>-650</v>
      </c>
    </row>
    <row r="24" spans="1:7" x14ac:dyDescent="0.2">
      <c r="A24" s="44">
        <v>21</v>
      </c>
      <c r="B24" s="20">
        <v>45719</v>
      </c>
      <c r="C24" s="4">
        <v>6700</v>
      </c>
      <c r="D24" s="4">
        <v>4950</v>
      </c>
      <c r="E24" s="21">
        <f>D24/C24</f>
        <v>0.73880597014925375</v>
      </c>
      <c r="F24" s="22">
        <f>IF(SUM($C$4:C24)-SUM($D$4:D24)&gt;0, (SUM($C$4:C24)-SUM($D$4:D24))/SUM($C$4:C24), 0)</f>
        <v>3.5681186283595921E-2</v>
      </c>
      <c r="G24" s="42">
        <f>D24-C24</f>
        <v>-1750</v>
      </c>
    </row>
    <row r="25" spans="1:7" x14ac:dyDescent="0.2">
      <c r="A25" s="44">
        <v>22</v>
      </c>
      <c r="B25" s="20">
        <v>45726</v>
      </c>
      <c r="C25" s="4">
        <v>6700</v>
      </c>
      <c r="D25" s="4">
        <v>5250</v>
      </c>
      <c r="E25" s="21">
        <f>D25/C25</f>
        <v>0.78358208955223885</v>
      </c>
      <c r="F25" s="22">
        <f>IF(SUM($C$4:C25)-SUM($D$4:D25)&gt;0, (SUM($C$4:C25)-SUM($D$4:D25))/SUM($C$4:C25), 0)</f>
        <v>4.6247818499127402E-2</v>
      </c>
      <c r="G25" s="42">
        <f>D25-C25</f>
        <v>-1450</v>
      </c>
    </row>
    <row r="26" spans="1:7" x14ac:dyDescent="0.2">
      <c r="A26" s="44">
        <v>23</v>
      </c>
      <c r="B26" s="20">
        <v>45733</v>
      </c>
      <c r="C26" s="4">
        <v>6400</v>
      </c>
      <c r="D26" s="4"/>
      <c r="E26" s="64">
        <f>D26/C26</f>
        <v>0</v>
      </c>
      <c r="F26" s="22">
        <f>IF(SUM($C$4:C26)-SUM($D$4:D26)&gt;0, (SUM($C$4:C26)-SUM($D$4:D26))/SUM($C$4:C26), 0)</f>
        <v>9.6694214876033052E-2</v>
      </c>
      <c r="G26" s="69">
        <f>D26-C26</f>
        <v>-6400</v>
      </c>
    </row>
  </sheetData>
  <mergeCells count="2">
    <mergeCell ref="A1:A2"/>
    <mergeCell ref="B1:E2"/>
  </mergeCells>
  <pageMargins left="0.7" right="0.7" top="0.75" bottom="0.75" header="0.3" footer="0.3"/>
  <drawing r:id="rId1"/>
  <tableParts count="1"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97EB1-2C12-1B4B-AB1E-D871FC07CDAD}">
  <dimension ref="A1:M26"/>
  <sheetViews>
    <sheetView workbookViewId="0">
      <selection activeCell="E29" sqref="E29"/>
    </sheetView>
  </sheetViews>
  <sheetFormatPr baseColWidth="10" defaultRowHeight="16" x14ac:dyDescent="0.2"/>
  <cols>
    <col min="4" max="4" width="11.33203125" customWidth="1"/>
    <col min="5" max="5" width="24" customWidth="1"/>
    <col min="6" max="6" width="13" customWidth="1"/>
    <col min="7" max="7" width="21.33203125" customWidth="1"/>
    <col min="9" max="9" width="26.1640625" bestFit="1" customWidth="1"/>
    <col min="10" max="10" width="12.1640625" bestFit="1" customWidth="1"/>
    <col min="12" max="12" width="17.33203125" bestFit="1" customWidth="1"/>
  </cols>
  <sheetData>
    <row r="1" spans="1:13" ht="16" customHeight="1" x14ac:dyDescent="0.2">
      <c r="A1" s="58" t="s">
        <v>72</v>
      </c>
      <c r="B1" s="55" t="s">
        <v>79</v>
      </c>
      <c r="C1" s="55"/>
      <c r="D1" s="55"/>
      <c r="E1" s="55"/>
    </row>
    <row r="2" spans="1:13" ht="16" customHeight="1" x14ac:dyDescent="0.2">
      <c r="A2" s="58"/>
      <c r="B2" s="60"/>
      <c r="C2" s="60"/>
      <c r="D2" s="60"/>
      <c r="E2" s="60"/>
      <c r="I2" t="s">
        <v>79</v>
      </c>
    </row>
    <row r="3" spans="1:13" x14ac:dyDescent="0.2">
      <c r="A3" s="25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  <c r="I3" s="9" t="s">
        <v>39</v>
      </c>
      <c r="J3" s="16" cm="1">
        <f t="array" ref="J3">AVERAGE(IF(Table26[Cumplimiento de Meta %]&gt;=100%,1,0))</f>
        <v>0.60869565217391308</v>
      </c>
      <c r="L3" t="s">
        <v>41</v>
      </c>
      <c r="M3" s="18">
        <f>(COUNT(Table26[[#All],[Semana]])*7)/30</f>
        <v>5.3666666666666663</v>
      </c>
    </row>
    <row r="4" spans="1:13" x14ac:dyDescent="0.2">
      <c r="A4" s="43">
        <v>1</v>
      </c>
      <c r="B4" s="20">
        <v>45579</v>
      </c>
      <c r="C4" s="4">
        <v>600</v>
      </c>
      <c r="D4" s="4">
        <v>600</v>
      </c>
      <c r="E4" s="21">
        <f>D4/C4</f>
        <v>1</v>
      </c>
      <c r="F4" s="22">
        <f>IF(SUM($C$4:C4)-SUM($D$4:D4)&gt;0, (SUM($C$4:C4)-SUM($D$4:D4))/SUM($C$4:C4), 0)</f>
        <v>0</v>
      </c>
      <c r="G4" s="42">
        <f t="shared" ref="G4" si="0">D4-C4</f>
        <v>0</v>
      </c>
      <c r="I4" s="4"/>
      <c r="J4" s="4"/>
    </row>
    <row r="5" spans="1:13" x14ac:dyDescent="0.2">
      <c r="A5" s="43">
        <v>2</v>
      </c>
      <c r="B5" s="20">
        <v>45586</v>
      </c>
      <c r="C5" s="4">
        <v>2100</v>
      </c>
      <c r="D5" s="4">
        <v>2100</v>
      </c>
      <c r="E5" s="21">
        <f t="shared" ref="E5:E20" si="1">D5/C5</f>
        <v>1</v>
      </c>
      <c r="F5" s="22">
        <f>IF(SUM($C$4:C5)-SUM($D$4:D5)&gt;0, (SUM($C$4:C5)-SUM($D$4:D5))/SUM($C$4:C5), 0)</f>
        <v>0</v>
      </c>
      <c r="G5" s="42">
        <f t="shared" ref="G5:G20" si="2">D5-C5</f>
        <v>0</v>
      </c>
      <c r="I5" s="4" t="s">
        <v>21</v>
      </c>
      <c r="J5" s="4">
        <f>SUM(Table26[[#All],[Meta]])</f>
        <v>116250</v>
      </c>
    </row>
    <row r="6" spans="1:13" x14ac:dyDescent="0.2">
      <c r="A6" s="43">
        <v>3</v>
      </c>
      <c r="B6" s="20">
        <v>45593</v>
      </c>
      <c r="C6" s="4">
        <v>2400</v>
      </c>
      <c r="D6" s="4">
        <v>2400</v>
      </c>
      <c r="E6" s="21">
        <f t="shared" si="1"/>
        <v>1</v>
      </c>
      <c r="F6" s="22">
        <f>IF(SUM($C$4:C6)-SUM($D$4:D6)&gt;0, (SUM($C$4:C6)-SUM($D$4:D6))/SUM($C$4:C6), 0)</f>
        <v>0</v>
      </c>
      <c r="G6" s="42">
        <f t="shared" si="2"/>
        <v>0</v>
      </c>
      <c r="I6" s="4" t="s">
        <v>22</v>
      </c>
      <c r="J6" s="4">
        <f>SUM(Table26[[#All],[Cobranza]])</f>
        <v>81650</v>
      </c>
    </row>
    <row r="7" spans="1:13" x14ac:dyDescent="0.2">
      <c r="A7" s="43">
        <v>4</v>
      </c>
      <c r="B7" s="20">
        <v>45600</v>
      </c>
      <c r="C7" s="4">
        <v>3300</v>
      </c>
      <c r="D7" s="4">
        <v>3300</v>
      </c>
      <c r="E7" s="21">
        <f t="shared" si="1"/>
        <v>1</v>
      </c>
      <c r="F7" s="22">
        <f>IF(SUM($C$4:C7)-SUM($D$4:D7)&gt;0, (SUM($C$4:C7)-SUM($D$4:D7))/SUM($C$4:C7), 0)</f>
        <v>0</v>
      </c>
      <c r="G7" s="42">
        <f t="shared" si="2"/>
        <v>0</v>
      </c>
      <c r="I7" s="4" t="s">
        <v>23</v>
      </c>
      <c r="J7" s="4">
        <f>SUM(Table26[[#All],[Didiferencia Absoluta]])</f>
        <v>-34600</v>
      </c>
    </row>
    <row r="8" spans="1:13" x14ac:dyDescent="0.2">
      <c r="A8" s="43">
        <v>5</v>
      </c>
      <c r="B8" s="20">
        <v>45607</v>
      </c>
      <c r="C8" s="4">
        <v>4200</v>
      </c>
      <c r="D8" s="4">
        <v>4200</v>
      </c>
      <c r="E8" s="21">
        <f t="shared" si="1"/>
        <v>1</v>
      </c>
      <c r="F8" s="22">
        <f>IF(SUM($C$4:C8)-SUM($D$4:D8)&gt;0, (SUM($C$4:C8)-SUM($D$4:D8))/SUM($C$4:C8), 0)</f>
        <v>0</v>
      </c>
      <c r="G8" s="42">
        <f t="shared" si="2"/>
        <v>0</v>
      </c>
      <c r="I8" t="s">
        <v>24</v>
      </c>
      <c r="J8" s="16">
        <f>(J7/J5)*-1</f>
        <v>0.29763440860215051</v>
      </c>
    </row>
    <row r="9" spans="1:13" x14ac:dyDescent="0.2">
      <c r="A9" s="43">
        <v>6</v>
      </c>
      <c r="B9" s="20">
        <v>45614</v>
      </c>
      <c r="C9" s="4">
        <v>4500</v>
      </c>
      <c r="D9" s="4">
        <v>4500</v>
      </c>
      <c r="E9" s="21">
        <f t="shared" si="1"/>
        <v>1</v>
      </c>
      <c r="F9" s="22">
        <f>IF(SUM($C$4:C9)-SUM($D$4:D9)&gt;0, (SUM($C$4:C9)-SUM($D$4:D9))/SUM($C$4:C9), 0)</f>
        <v>0</v>
      </c>
      <c r="G9" s="42">
        <f t="shared" si="2"/>
        <v>0</v>
      </c>
    </row>
    <row r="10" spans="1:13" x14ac:dyDescent="0.2">
      <c r="A10" s="43">
        <v>7</v>
      </c>
      <c r="B10" s="20">
        <v>45621</v>
      </c>
      <c r="C10" s="4">
        <v>4800</v>
      </c>
      <c r="D10" s="4">
        <v>4800</v>
      </c>
      <c r="E10" s="21">
        <f t="shared" si="1"/>
        <v>1</v>
      </c>
      <c r="F10" s="22">
        <f>IF(SUM($C$4:C10)-SUM($D$4:D10)&gt;0, (SUM($C$4:C10)-SUM($D$4:D10))/SUM($C$4:C10), 0)</f>
        <v>0</v>
      </c>
      <c r="G10" s="42">
        <f t="shared" si="2"/>
        <v>0</v>
      </c>
    </row>
    <row r="11" spans="1:13" x14ac:dyDescent="0.2">
      <c r="A11" s="43">
        <v>8</v>
      </c>
      <c r="B11" s="20">
        <v>45628</v>
      </c>
      <c r="C11" s="4">
        <v>5100</v>
      </c>
      <c r="D11" s="4">
        <v>5100</v>
      </c>
      <c r="E11" s="21">
        <f t="shared" si="1"/>
        <v>1</v>
      </c>
      <c r="F11" s="22">
        <f>IF(SUM($C$4:C11)-SUM($D$4:D11)&gt;0, (SUM($C$4:C11)-SUM($D$4:D11))/SUM($C$4:C11), 0)</f>
        <v>0</v>
      </c>
      <c r="G11" s="42">
        <f t="shared" si="2"/>
        <v>0</v>
      </c>
    </row>
    <row r="12" spans="1:13" x14ac:dyDescent="0.2">
      <c r="A12" s="43">
        <v>9</v>
      </c>
      <c r="B12" s="20">
        <v>45635</v>
      </c>
      <c r="C12" s="4">
        <v>5700</v>
      </c>
      <c r="D12" s="4">
        <v>5700</v>
      </c>
      <c r="E12" s="21">
        <f t="shared" si="1"/>
        <v>1</v>
      </c>
      <c r="F12" s="22">
        <f>IF(SUM($C$4:C12)-SUM($D$4:D12)&gt;0, (SUM($C$4:C12)-SUM($D$4:D12))/SUM($C$4:C12), 0)</f>
        <v>0</v>
      </c>
      <c r="G12" s="42">
        <f t="shared" si="2"/>
        <v>0</v>
      </c>
    </row>
    <row r="13" spans="1:13" x14ac:dyDescent="0.2">
      <c r="A13" s="43">
        <v>10</v>
      </c>
      <c r="B13" s="20">
        <v>45642</v>
      </c>
      <c r="C13" s="4">
        <v>5700</v>
      </c>
      <c r="D13" s="4">
        <v>5700</v>
      </c>
      <c r="E13" s="21">
        <f t="shared" si="1"/>
        <v>1</v>
      </c>
      <c r="F13" s="22">
        <f>IF(SUM($C$4:C13)-SUM($D$4:D13)&gt;0, (SUM($C$4:C13)-SUM($D$4:D13))/SUM($C$4:C13), 0)</f>
        <v>0</v>
      </c>
      <c r="G13" s="42">
        <f t="shared" si="2"/>
        <v>0</v>
      </c>
    </row>
    <row r="14" spans="1:13" x14ac:dyDescent="0.2">
      <c r="A14" s="43">
        <v>11</v>
      </c>
      <c r="B14" s="20">
        <v>45649</v>
      </c>
      <c r="C14" s="4">
        <v>5750</v>
      </c>
      <c r="D14" s="4">
        <v>5750</v>
      </c>
      <c r="E14" s="21">
        <f t="shared" si="1"/>
        <v>1</v>
      </c>
      <c r="F14" s="22">
        <f>IF(SUM($C$4:C14)-SUM($D$4:D14)&gt;0, (SUM($C$4:C14)-SUM($D$4:D14))/SUM($C$4:C14), 0)</f>
        <v>0</v>
      </c>
      <c r="G14" s="42">
        <f t="shared" si="2"/>
        <v>0</v>
      </c>
    </row>
    <row r="15" spans="1:13" x14ac:dyDescent="0.2">
      <c r="A15" s="43">
        <v>12</v>
      </c>
      <c r="B15" s="20">
        <v>45656</v>
      </c>
      <c r="C15" s="4">
        <v>6100</v>
      </c>
      <c r="D15" s="4">
        <v>6100</v>
      </c>
      <c r="E15" s="21">
        <f t="shared" si="1"/>
        <v>1</v>
      </c>
      <c r="F15" s="22">
        <f>IF(SUM($C$4:C15)-SUM($D$4:D15)&gt;0, (SUM($C$4:C15)-SUM($D$4:D15))/SUM($C$4:C15), 0)</f>
        <v>0</v>
      </c>
      <c r="G15" s="42">
        <f t="shared" si="2"/>
        <v>0</v>
      </c>
    </row>
    <row r="16" spans="1:13" x14ac:dyDescent="0.2">
      <c r="A16" s="43">
        <v>13</v>
      </c>
      <c r="B16" s="20">
        <v>45663</v>
      </c>
      <c r="C16" s="4">
        <v>6550</v>
      </c>
      <c r="D16" s="4">
        <v>6500</v>
      </c>
      <c r="E16" s="21">
        <f t="shared" si="1"/>
        <v>0.99236641221374045</v>
      </c>
      <c r="F16" s="22">
        <f>IF(SUM($C$4:C16)-SUM($D$4:D16)&gt;0, (SUM($C$4:C16)-SUM($D$4:D16))/SUM($C$4:C16), 0)</f>
        <v>8.8028169014084509E-4</v>
      </c>
      <c r="G16" s="42">
        <f t="shared" si="2"/>
        <v>-50</v>
      </c>
    </row>
    <row r="17" spans="1:7" x14ac:dyDescent="0.2">
      <c r="A17" s="43">
        <v>14</v>
      </c>
      <c r="B17" s="20">
        <v>45670</v>
      </c>
      <c r="C17" s="4">
        <v>6950</v>
      </c>
      <c r="D17" s="4">
        <v>6950</v>
      </c>
      <c r="E17" s="21">
        <f t="shared" si="1"/>
        <v>1</v>
      </c>
      <c r="F17" s="22">
        <f>IF(SUM($C$4:C17)-SUM($D$4:D17)&gt;0, (SUM($C$4:C17)-SUM($D$4:D17))/SUM($C$4:C17), 0)</f>
        <v>7.8431372549019605E-4</v>
      </c>
      <c r="G17" s="42">
        <f t="shared" si="2"/>
        <v>0</v>
      </c>
    </row>
    <row r="18" spans="1:7" x14ac:dyDescent="0.2">
      <c r="A18" s="43">
        <v>15</v>
      </c>
      <c r="B18" s="20">
        <v>45677</v>
      </c>
      <c r="C18" s="4">
        <v>7100</v>
      </c>
      <c r="D18" s="4">
        <v>0</v>
      </c>
      <c r="E18" s="21">
        <f t="shared" si="1"/>
        <v>0</v>
      </c>
      <c r="F18" s="22">
        <f>IF(SUM($C$4:C18)-SUM($D$4:D18)&gt;0, (SUM($C$4:C18)-SUM($D$4:D18))/SUM($C$4:C18), 0)</f>
        <v>0.10091743119266056</v>
      </c>
      <c r="G18" s="42">
        <f t="shared" si="2"/>
        <v>-7100</v>
      </c>
    </row>
    <row r="19" spans="1:7" x14ac:dyDescent="0.2">
      <c r="A19" s="43">
        <v>16</v>
      </c>
      <c r="B19" s="20">
        <v>45684</v>
      </c>
      <c r="C19" s="4">
        <v>6500</v>
      </c>
      <c r="D19" s="4">
        <v>8050</v>
      </c>
      <c r="E19" s="21">
        <f t="shared" si="1"/>
        <v>1.2384615384615385</v>
      </c>
      <c r="F19" s="22">
        <f>IF(SUM($C$4:C19)-SUM($D$4:D19)&gt;0, (SUM($C$4:C19)-SUM($D$4:D19))/SUM($C$4:C19), 0)</f>
        <v>7.2398190045248875E-2</v>
      </c>
      <c r="G19" s="42">
        <f t="shared" si="2"/>
        <v>1550</v>
      </c>
    </row>
    <row r="20" spans="1:7" x14ac:dyDescent="0.2">
      <c r="A20" s="43">
        <v>17</v>
      </c>
      <c r="B20" s="20">
        <v>45691</v>
      </c>
      <c r="C20" s="4">
        <v>6500</v>
      </c>
      <c r="D20" s="4">
        <v>3150</v>
      </c>
      <c r="E20" s="21">
        <f t="shared" si="1"/>
        <v>0.48461538461538461</v>
      </c>
      <c r="F20" s="22">
        <f>IF(SUM($C$4:C20)-SUM($D$4:D20)&gt;0, (SUM($C$4:C20)-SUM($D$4:D20))/SUM($C$4:C20), 0)</f>
        <v>0.10673822301729279</v>
      </c>
      <c r="G20" s="42">
        <f t="shared" si="2"/>
        <v>-3350</v>
      </c>
    </row>
    <row r="21" spans="1:7" x14ac:dyDescent="0.2">
      <c r="A21" s="43">
        <v>18</v>
      </c>
      <c r="B21" s="20">
        <v>45698</v>
      </c>
      <c r="C21" s="4">
        <v>6200</v>
      </c>
      <c r="D21" s="4">
        <v>0</v>
      </c>
      <c r="E21" s="21">
        <f>D21/C21</f>
        <v>0</v>
      </c>
      <c r="F21" s="22">
        <f>IF(SUM($C$4:C21)-SUM($D$4:D21)&gt;0, (SUM($C$4:C21)-SUM($D$4:D21))/SUM($C$4:C21), 0)</f>
        <v>0.1682398667406996</v>
      </c>
      <c r="G21" s="42">
        <f>D21-C21</f>
        <v>-6200</v>
      </c>
    </row>
    <row r="22" spans="1:7" x14ac:dyDescent="0.2">
      <c r="A22" s="43">
        <v>19</v>
      </c>
      <c r="B22" s="20">
        <v>45705</v>
      </c>
      <c r="C22" s="4">
        <v>5900</v>
      </c>
      <c r="D22" s="4">
        <v>2150</v>
      </c>
      <c r="E22" s="21">
        <f>D22/C22</f>
        <v>0.36440677966101692</v>
      </c>
      <c r="F22" s="22">
        <f>IF(SUM($C$4:C22)-SUM($D$4:D22)&gt;0, (SUM($C$4:C22)-SUM($D$4:D22))/SUM($C$4:C22), 0)</f>
        <v>0.1969775924960917</v>
      </c>
      <c r="G22" s="42">
        <f>D22-C22</f>
        <v>-3750</v>
      </c>
    </row>
    <row r="23" spans="1:7" x14ac:dyDescent="0.2">
      <c r="A23" s="43">
        <v>20</v>
      </c>
      <c r="B23" s="20">
        <v>45712</v>
      </c>
      <c r="C23" s="4">
        <v>5600</v>
      </c>
      <c r="D23" s="4">
        <v>3300</v>
      </c>
      <c r="E23" s="21">
        <f>D23/C23</f>
        <v>0.5892857142857143</v>
      </c>
      <c r="F23" s="22">
        <f>IF(SUM($C$4:C23)-SUM($D$4:D23)&gt;0, (SUM($C$4:C23)-SUM($D$4:D23))/SUM($C$4:C23), 0)</f>
        <v>0.2087641555883801</v>
      </c>
      <c r="G23" s="42">
        <f>D23-C23</f>
        <v>-2300</v>
      </c>
    </row>
    <row r="24" spans="1:7" x14ac:dyDescent="0.2">
      <c r="A24" s="43">
        <v>21</v>
      </c>
      <c r="B24" s="20">
        <v>45719</v>
      </c>
      <c r="C24" s="4">
        <v>5300</v>
      </c>
      <c r="D24" s="4">
        <v>1300</v>
      </c>
      <c r="E24" s="21">
        <f>D24/C24</f>
        <v>0.24528301886792453</v>
      </c>
      <c r="F24" s="22">
        <f>IF(SUM($C$4:C24)-SUM($D$4:D24)&gt;0, (SUM($C$4:C24)-SUM($D$4:D24))/SUM($C$4:C24), 0)</f>
        <v>0.2358446420215255</v>
      </c>
      <c r="G24" s="42">
        <f>D24-C24</f>
        <v>-4000</v>
      </c>
    </row>
    <row r="25" spans="1:7" x14ac:dyDescent="0.2">
      <c r="A25" s="43">
        <v>22</v>
      </c>
      <c r="B25" s="20">
        <v>45726</v>
      </c>
      <c r="C25" s="4">
        <v>5000</v>
      </c>
      <c r="D25" s="4">
        <v>0</v>
      </c>
      <c r="E25" s="21">
        <f>D25/C25</f>
        <v>0</v>
      </c>
      <c r="F25" s="22">
        <f>IF(SUM($C$4:C25)-SUM($D$4:D25)&gt;0, (SUM($C$4:C25)-SUM($D$4:D25))/SUM($C$4:C25), 0)</f>
        <v>0.27000447027268665</v>
      </c>
      <c r="G25" s="42">
        <f>D25-C25</f>
        <v>-5000</v>
      </c>
    </row>
    <row r="26" spans="1:7" x14ac:dyDescent="0.2">
      <c r="A26" s="43">
        <v>23</v>
      </c>
      <c r="B26" s="20">
        <v>45733</v>
      </c>
      <c r="C26" s="4">
        <v>4400</v>
      </c>
      <c r="D26" s="4"/>
      <c r="E26" s="64">
        <f>D26/C26</f>
        <v>0</v>
      </c>
      <c r="F26" s="22">
        <f>IF(SUM($C$4:C26)-SUM($D$4:D26)&gt;0, (SUM($C$4:C26)-SUM($D$4:D26))/SUM($C$4:C26), 0)</f>
        <v>0.29763440860215051</v>
      </c>
      <c r="G26" s="69">
        <f>D26-C26</f>
        <v>-4400</v>
      </c>
    </row>
  </sheetData>
  <mergeCells count="2">
    <mergeCell ref="A1:A2"/>
    <mergeCell ref="B1:E2"/>
  </mergeCells>
  <pageMargins left="0.7" right="0.7" top="0.75" bottom="0.75" header="0.3" footer="0.3"/>
  <drawing r:id="rId1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D2279-3C09-0F4B-9A20-FFC091389F7E}">
  <dimension ref="A1:M25"/>
  <sheetViews>
    <sheetView workbookViewId="0">
      <selection activeCell="D27" sqref="D27"/>
    </sheetView>
  </sheetViews>
  <sheetFormatPr baseColWidth="10" defaultRowHeight="16" x14ac:dyDescent="0.2"/>
  <cols>
    <col min="4" max="4" width="11.33203125" customWidth="1"/>
    <col min="5" max="5" width="24" customWidth="1"/>
    <col min="6" max="6" width="13" customWidth="1"/>
    <col min="7" max="7" width="21.33203125" customWidth="1"/>
    <col min="9" max="9" width="26.1640625" bestFit="1" customWidth="1"/>
    <col min="10" max="10" width="12.1640625" bestFit="1" customWidth="1"/>
    <col min="12" max="12" width="17.33203125" bestFit="1" customWidth="1"/>
  </cols>
  <sheetData>
    <row r="1" spans="1:13" x14ac:dyDescent="0.2">
      <c r="A1" s="58" t="s">
        <v>73</v>
      </c>
      <c r="B1" s="55" t="s">
        <v>80</v>
      </c>
      <c r="C1" s="55"/>
      <c r="D1" s="55"/>
      <c r="E1" s="55"/>
    </row>
    <row r="2" spans="1:13" x14ac:dyDescent="0.2">
      <c r="A2" s="58"/>
      <c r="B2" s="60"/>
      <c r="C2" s="60"/>
      <c r="D2" s="60"/>
      <c r="E2" s="60"/>
      <c r="I2" t="s">
        <v>80</v>
      </c>
    </row>
    <row r="3" spans="1:13" x14ac:dyDescent="0.2">
      <c r="A3" s="25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  <c r="I3" s="9" t="s">
        <v>39</v>
      </c>
      <c r="J3" s="16" t="e" cm="1">
        <f t="array" ref="J3">AVERAGE(IF(Table27[Cumplimiento de Meta %]&gt;=100%,1,0))</f>
        <v>#DIV/0!</v>
      </c>
      <c r="L3" t="s">
        <v>41</v>
      </c>
      <c r="M3" s="18">
        <f>(COUNT(Table27[[#All],[Semana]])*7)/30</f>
        <v>5.1333333333333337</v>
      </c>
    </row>
    <row r="4" spans="1:13" x14ac:dyDescent="0.2">
      <c r="A4">
        <v>1</v>
      </c>
      <c r="B4" s="20">
        <v>45586</v>
      </c>
      <c r="C4" s="4">
        <v>1200</v>
      </c>
      <c r="D4" s="4">
        <v>1200</v>
      </c>
      <c r="E4" s="21">
        <f>D4/C4</f>
        <v>1</v>
      </c>
      <c r="F4" s="22">
        <f>IF(SUM($C$4:C4)-SUM($D$4:D4)&gt;0, (SUM($C$4:C4)-SUM($D$4:D4))/SUM($C$4:C4), 0)</f>
        <v>0</v>
      </c>
      <c r="G4" s="42">
        <f t="shared" ref="G4" si="0">D4-C4</f>
        <v>0</v>
      </c>
      <c r="I4" s="4"/>
      <c r="J4" s="4"/>
    </row>
    <row r="5" spans="1:13" x14ac:dyDescent="0.2">
      <c r="A5">
        <v>2</v>
      </c>
      <c r="B5" s="20">
        <v>45593</v>
      </c>
      <c r="C5" s="4">
        <v>2400</v>
      </c>
      <c r="D5" s="4">
        <v>2400</v>
      </c>
      <c r="E5" s="21">
        <f t="shared" ref="E5:E18" si="1">D5/C5</f>
        <v>1</v>
      </c>
      <c r="F5" s="22">
        <f>IF(SUM($C$4:C5)-SUM($D$4:D5)&gt;0, (SUM($C$4:C5)-SUM($D$4:D5))/SUM($C$4:C5), 0)</f>
        <v>0</v>
      </c>
      <c r="G5" s="42">
        <f t="shared" ref="G5:G19" si="2">D5-C5</f>
        <v>0</v>
      </c>
      <c r="I5" s="4" t="s">
        <v>21</v>
      </c>
      <c r="J5" s="4">
        <f>SUM(Table27[[#All],[Meta]])</f>
        <v>96300</v>
      </c>
    </row>
    <row r="6" spans="1:13" x14ac:dyDescent="0.2">
      <c r="A6">
        <v>3</v>
      </c>
      <c r="B6" s="20">
        <v>45600</v>
      </c>
      <c r="C6" s="4">
        <v>3600</v>
      </c>
      <c r="D6" s="4">
        <v>3900</v>
      </c>
      <c r="E6" s="21">
        <f t="shared" si="1"/>
        <v>1.0833333333333333</v>
      </c>
      <c r="F6" s="22">
        <f>IF(SUM($C$4:C6)-SUM($D$4:D6)&gt;0, (SUM($C$4:C6)-SUM($D$4:D6))/SUM($C$4:C6), 0)</f>
        <v>0</v>
      </c>
      <c r="G6" s="42">
        <f t="shared" si="2"/>
        <v>300</v>
      </c>
      <c r="I6" s="4" t="s">
        <v>22</v>
      </c>
      <c r="J6" s="4">
        <f>SUM(Table27[[#All],[Cobranza]])</f>
        <v>50200</v>
      </c>
    </row>
    <row r="7" spans="1:13" x14ac:dyDescent="0.2">
      <c r="A7">
        <v>4</v>
      </c>
      <c r="B7" s="20">
        <v>45607</v>
      </c>
      <c r="C7" s="4">
        <v>3900</v>
      </c>
      <c r="D7" s="4">
        <v>3600</v>
      </c>
      <c r="E7" s="21">
        <f t="shared" si="1"/>
        <v>0.92307692307692313</v>
      </c>
      <c r="F7" s="22">
        <f>IF(SUM($C$4:C7)-SUM($D$4:D7)&gt;0, (SUM($C$4:C7)-SUM($D$4:D7))/SUM($C$4:C7), 0)</f>
        <v>0</v>
      </c>
      <c r="G7" s="42">
        <f t="shared" si="2"/>
        <v>-300</v>
      </c>
      <c r="I7" s="4" t="s">
        <v>23</v>
      </c>
      <c r="J7" s="4">
        <f>SUM(Table27[[#All],[Didiferencia Absoluta]])</f>
        <v>-46100</v>
      </c>
    </row>
    <row r="8" spans="1:13" x14ac:dyDescent="0.2">
      <c r="A8">
        <v>5</v>
      </c>
      <c r="B8" s="20">
        <v>45614</v>
      </c>
      <c r="C8" s="4">
        <v>5100</v>
      </c>
      <c r="D8" s="4">
        <v>4800</v>
      </c>
      <c r="E8" s="21">
        <f t="shared" si="1"/>
        <v>0.94117647058823528</v>
      </c>
      <c r="F8" s="22">
        <f>IF(SUM($C$4:C8)-SUM($D$4:D8)&gt;0, (SUM($C$4:C8)-SUM($D$4:D8))/SUM($C$4:C8), 0)</f>
        <v>1.8518518518518517E-2</v>
      </c>
      <c r="G8" s="42">
        <f t="shared" si="2"/>
        <v>-300</v>
      </c>
      <c r="I8" t="s">
        <v>24</v>
      </c>
      <c r="J8" s="16">
        <f>(J7/J5)*-1</f>
        <v>0.47871235721703009</v>
      </c>
    </row>
    <row r="9" spans="1:13" x14ac:dyDescent="0.2">
      <c r="A9">
        <v>6</v>
      </c>
      <c r="B9" s="20">
        <v>45621</v>
      </c>
      <c r="C9" s="4">
        <v>5400</v>
      </c>
      <c r="D9" s="4">
        <v>5400</v>
      </c>
      <c r="E9" s="21">
        <f t="shared" si="1"/>
        <v>1</v>
      </c>
      <c r="F9" s="22">
        <f>IF(SUM($C$4:C9)-SUM($D$4:D9)&gt;0, (SUM($C$4:C9)-SUM($D$4:D9))/SUM($C$4:C9), 0)</f>
        <v>1.3888888888888888E-2</v>
      </c>
      <c r="G9" s="42">
        <f t="shared" si="2"/>
        <v>0</v>
      </c>
    </row>
    <row r="10" spans="1:13" x14ac:dyDescent="0.2">
      <c r="A10">
        <v>7</v>
      </c>
      <c r="B10" s="20">
        <v>45628</v>
      </c>
      <c r="C10" s="4">
        <v>6900</v>
      </c>
      <c r="D10" s="4">
        <v>5400</v>
      </c>
      <c r="E10" s="21">
        <f t="shared" si="1"/>
        <v>0.78260869565217395</v>
      </c>
      <c r="F10" s="22">
        <f>IF(SUM($C$4:C10)-SUM($D$4:D10)&gt;0, (SUM($C$4:C10)-SUM($D$4:D10))/SUM($C$4:C10), 0)</f>
        <v>6.3157894736842107E-2</v>
      </c>
      <c r="G10" s="42">
        <f t="shared" si="2"/>
        <v>-1500</v>
      </c>
    </row>
    <row r="11" spans="1:13" x14ac:dyDescent="0.2">
      <c r="A11">
        <v>8</v>
      </c>
      <c r="B11" s="20">
        <v>45635</v>
      </c>
      <c r="C11" s="4">
        <v>6900</v>
      </c>
      <c r="D11" s="4">
        <v>5100</v>
      </c>
      <c r="E11" s="21">
        <f t="shared" si="1"/>
        <v>0.73913043478260865</v>
      </c>
      <c r="F11" s="22">
        <f>IF(SUM($C$4:C11)-SUM($D$4:D11)&gt;0, (SUM($C$4:C11)-SUM($D$4:D11))/SUM($C$4:C11), 0)</f>
        <v>0.10169491525423729</v>
      </c>
      <c r="G11" s="42">
        <f t="shared" si="2"/>
        <v>-1800</v>
      </c>
    </row>
    <row r="12" spans="1:13" x14ac:dyDescent="0.2">
      <c r="A12">
        <v>9</v>
      </c>
      <c r="B12" s="20">
        <v>45642</v>
      </c>
      <c r="C12" s="4">
        <v>6900</v>
      </c>
      <c r="D12" s="4">
        <v>5400</v>
      </c>
      <c r="E12" s="21">
        <f t="shared" si="1"/>
        <v>0.78260869565217395</v>
      </c>
      <c r="F12" s="22">
        <f>IF(SUM($C$4:C12)-SUM($D$4:D12)&gt;0, (SUM($C$4:C12)-SUM($D$4:D12))/SUM($C$4:C12), 0)</f>
        <v>0.12056737588652482</v>
      </c>
      <c r="G12" s="42">
        <f t="shared" si="2"/>
        <v>-1500</v>
      </c>
    </row>
    <row r="13" spans="1:13" x14ac:dyDescent="0.2">
      <c r="A13">
        <v>10</v>
      </c>
      <c r="B13" s="20">
        <v>45649</v>
      </c>
      <c r="C13" s="4">
        <v>6900</v>
      </c>
      <c r="D13" s="4">
        <v>3300</v>
      </c>
      <c r="E13" s="21">
        <f t="shared" si="1"/>
        <v>0.47826086956521741</v>
      </c>
      <c r="F13" s="22">
        <f>IF(SUM($C$4:C13)-SUM($D$4:D13)&gt;0, (SUM($C$4:C13)-SUM($D$4:D13))/SUM($C$4:C13), 0)</f>
        <v>0.17682926829268292</v>
      </c>
      <c r="G13" s="42">
        <f t="shared" si="2"/>
        <v>-3600</v>
      </c>
    </row>
    <row r="14" spans="1:13" x14ac:dyDescent="0.2">
      <c r="A14">
        <v>11</v>
      </c>
      <c r="B14" s="20">
        <v>45656</v>
      </c>
      <c r="C14" s="4">
        <v>6900</v>
      </c>
      <c r="D14" s="4">
        <v>3000</v>
      </c>
      <c r="E14" s="21">
        <f t="shared" si="1"/>
        <v>0.43478260869565216</v>
      </c>
      <c r="F14" s="22">
        <f>IF(SUM($C$4:C14)-SUM($D$4:D14)&gt;0, (SUM($C$4:C14)-SUM($D$4:D14))/SUM($C$4:C14), 0)</f>
        <v>0.22459893048128343</v>
      </c>
      <c r="G14" s="42">
        <f t="shared" si="2"/>
        <v>-3900</v>
      </c>
    </row>
    <row r="15" spans="1:13" x14ac:dyDescent="0.2">
      <c r="A15">
        <v>12</v>
      </c>
      <c r="B15" s="20">
        <v>45663</v>
      </c>
      <c r="C15" s="4">
        <v>6900</v>
      </c>
      <c r="D15" s="4">
        <v>2800</v>
      </c>
      <c r="E15" s="21">
        <f t="shared" si="1"/>
        <v>0.40579710144927539</v>
      </c>
      <c r="F15" s="22">
        <f>IF(SUM($C$4:C15)-SUM($D$4:D15)&gt;0, (SUM($C$4:C15)-SUM($D$4:D15))/SUM($C$4:C15), 0)</f>
        <v>0.26507936507936508</v>
      </c>
      <c r="G15" s="42">
        <f t="shared" si="2"/>
        <v>-4100</v>
      </c>
    </row>
    <row r="16" spans="1:13" x14ac:dyDescent="0.2">
      <c r="A16">
        <v>13</v>
      </c>
      <c r="B16" s="20">
        <v>45670</v>
      </c>
      <c r="C16" s="4">
        <v>6900</v>
      </c>
      <c r="D16" s="4">
        <v>0</v>
      </c>
      <c r="E16" s="21">
        <f t="shared" si="1"/>
        <v>0</v>
      </c>
      <c r="F16" s="22">
        <f>IF(SUM($C$4:C16)-SUM($D$4:D16)&gt;0, (SUM($C$4:C16)-SUM($D$4:D16))/SUM($C$4:C16), 0)</f>
        <v>0.33762517882689558</v>
      </c>
      <c r="G16" s="42">
        <f t="shared" si="2"/>
        <v>-6900</v>
      </c>
    </row>
    <row r="17" spans="1:7" x14ac:dyDescent="0.2">
      <c r="A17">
        <v>14</v>
      </c>
      <c r="B17" s="20">
        <v>45677</v>
      </c>
      <c r="C17" s="4">
        <v>6900</v>
      </c>
      <c r="D17" s="4">
        <v>0</v>
      </c>
      <c r="E17" s="21">
        <f t="shared" si="1"/>
        <v>0</v>
      </c>
      <c r="F17" s="22">
        <f>IF(SUM($C$4:C17)-SUM($D$4:D17)&gt;0, (SUM($C$4:C17)-SUM($D$4:D17))/SUM($C$4:C17), 0)</f>
        <v>0.39713541666666669</v>
      </c>
      <c r="G17" s="42">
        <f t="shared" si="2"/>
        <v>-6900</v>
      </c>
    </row>
    <row r="18" spans="1:7" x14ac:dyDescent="0.2">
      <c r="A18">
        <v>15</v>
      </c>
      <c r="B18" s="20">
        <v>45684</v>
      </c>
      <c r="C18" s="4">
        <v>5400</v>
      </c>
      <c r="D18" s="4">
        <v>3000</v>
      </c>
      <c r="E18" s="21">
        <f t="shared" si="1"/>
        <v>0.55555555555555558</v>
      </c>
      <c r="F18" s="22">
        <f>IF(SUM($C$4:C18)-SUM($D$4:D18)&gt;0, (SUM($C$4:C18)-SUM($D$4:D18))/SUM($C$4:C18), 0)</f>
        <v>0.4002433090024331</v>
      </c>
      <c r="G18" s="42">
        <f t="shared" si="2"/>
        <v>-2400</v>
      </c>
    </row>
    <row r="19" spans="1:7" x14ac:dyDescent="0.2">
      <c r="A19">
        <v>16</v>
      </c>
      <c r="B19" s="20">
        <v>45691</v>
      </c>
      <c r="C19" s="4">
        <v>4500</v>
      </c>
      <c r="D19" s="4">
        <v>0</v>
      </c>
      <c r="E19" s="21">
        <f t="shared" ref="E19:E24" si="3">D19/C19</f>
        <v>0</v>
      </c>
      <c r="F19" s="22">
        <f>IF(SUM($C$4:C19)-SUM($D$4:D19)&gt;0, (SUM($C$4:C19)-SUM($D$4:D19))/SUM($C$4:C19), 0)</f>
        <v>0.43137254901960786</v>
      </c>
      <c r="G19" s="42">
        <f t="shared" si="2"/>
        <v>-4500</v>
      </c>
    </row>
    <row r="20" spans="1:7" x14ac:dyDescent="0.2">
      <c r="A20">
        <v>17</v>
      </c>
      <c r="B20" s="20">
        <v>45698</v>
      </c>
      <c r="C20" s="4">
        <v>3300</v>
      </c>
      <c r="D20" s="4">
        <v>900</v>
      </c>
      <c r="E20" s="21">
        <f t="shared" si="3"/>
        <v>0.27272727272727271</v>
      </c>
      <c r="F20" s="22">
        <f>IF(SUM($C$4:C20)-SUM($D$4:D20)&gt;0, (SUM($C$4:C20)-SUM($D$4:D20))/SUM($C$4:C20), 0)</f>
        <v>0.44222222222222224</v>
      </c>
      <c r="G20" s="42">
        <f>D20-C20</f>
        <v>-2400</v>
      </c>
    </row>
    <row r="21" spans="1:7" x14ac:dyDescent="0.2">
      <c r="A21">
        <v>18</v>
      </c>
      <c r="B21" s="20">
        <v>45705</v>
      </c>
      <c r="C21" s="4">
        <v>3000</v>
      </c>
      <c r="D21" s="4">
        <v>0</v>
      </c>
      <c r="E21" s="21">
        <f t="shared" si="3"/>
        <v>0</v>
      </c>
      <c r="F21" s="22">
        <f>IF(SUM($C$4:C21)-SUM($D$4:D21)&gt;0, (SUM($C$4:C21)-SUM($D$4:D21))/SUM($C$4:C21), 0)</f>
        <v>0.46021505376344085</v>
      </c>
      <c r="G21" s="42">
        <f>D21-C21</f>
        <v>-3000</v>
      </c>
    </row>
    <row r="22" spans="1:7" x14ac:dyDescent="0.2">
      <c r="A22">
        <v>19</v>
      </c>
      <c r="B22" s="20">
        <v>45712</v>
      </c>
      <c r="C22" s="4">
        <v>1800</v>
      </c>
      <c r="D22" s="4">
        <v>0</v>
      </c>
      <c r="E22" s="21">
        <f t="shared" si="3"/>
        <v>0</v>
      </c>
      <c r="F22" s="22">
        <f>IF(SUM($C$4:C22)-SUM($D$4:D22)&gt;0, (SUM($C$4:C22)-SUM($D$4:D22))/SUM($C$4:C22), 0)</f>
        <v>0.47046413502109707</v>
      </c>
      <c r="G22" s="42">
        <f>D22-C22</f>
        <v>-1800</v>
      </c>
    </row>
    <row r="23" spans="1:7" x14ac:dyDescent="0.2">
      <c r="A23">
        <v>20</v>
      </c>
      <c r="B23" s="20">
        <v>45719</v>
      </c>
      <c r="C23" s="4">
        <v>1500</v>
      </c>
      <c r="D23" s="4">
        <v>0</v>
      </c>
      <c r="E23" s="21">
        <f t="shared" si="3"/>
        <v>0</v>
      </c>
      <c r="F23" s="22">
        <f>IF(SUM($C$4:C23)-SUM($D$4:D23)&gt;0, (SUM($C$4:C23)-SUM($D$4:D23))/SUM($C$4:C23), 0)</f>
        <v>0.47871235721703009</v>
      </c>
      <c r="G23" s="42">
        <f>D23-C23</f>
        <v>-1500</v>
      </c>
    </row>
    <row r="24" spans="1:7" x14ac:dyDescent="0.2">
      <c r="A24">
        <v>21</v>
      </c>
      <c r="B24" s="20">
        <v>45726</v>
      </c>
      <c r="C24" s="4">
        <v>0</v>
      </c>
      <c r="D24" s="4">
        <v>0</v>
      </c>
      <c r="E24" s="21" t="e">
        <f t="shared" si="3"/>
        <v>#DIV/0!</v>
      </c>
      <c r="F24" s="22">
        <f>IF(SUM($C$4:C24)-SUM($D$4:D24)&gt;0, (SUM($C$4:C24)-SUM($D$4:D24))/SUM($C$4:C24), 0)</f>
        <v>0.47871235721703009</v>
      </c>
      <c r="G24" s="42">
        <f>D24-C24</f>
        <v>0</v>
      </c>
    </row>
    <row r="25" spans="1:7" x14ac:dyDescent="0.2">
      <c r="A25">
        <v>22</v>
      </c>
      <c r="B25" s="20">
        <v>45733</v>
      </c>
      <c r="C25" s="4">
        <v>0</v>
      </c>
      <c r="D25" s="4"/>
      <c r="E25" s="64" t="e">
        <f>D25/C25</f>
        <v>#DIV/0!</v>
      </c>
      <c r="F25" s="22">
        <f>IF(SUM($C$4:C25)-SUM($D$4:D25)&gt;0, (SUM($C$4:C25)-SUM($D$4:D25))/SUM($C$4:C25), 0)</f>
        <v>0.47871235721703009</v>
      </c>
      <c r="G25" s="69">
        <f>D25-C25</f>
        <v>0</v>
      </c>
    </row>
  </sheetData>
  <mergeCells count="2">
    <mergeCell ref="A1:A2"/>
    <mergeCell ref="B1:E2"/>
  </mergeCells>
  <pageMargins left="0.7" right="0.7" top="0.75" bottom="0.75" header="0.3" footer="0.3"/>
  <drawing r:id="rId1"/>
  <tableParts count="1"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E3A64-FABF-7D47-A37E-87876A9B74DC}">
  <dimension ref="A1:M25"/>
  <sheetViews>
    <sheetView workbookViewId="0">
      <selection activeCell="E31" sqref="E31"/>
    </sheetView>
  </sheetViews>
  <sheetFormatPr baseColWidth="10" defaultRowHeight="16" x14ac:dyDescent="0.2"/>
  <cols>
    <col min="4" max="4" width="11.33203125" customWidth="1"/>
    <col min="5" max="5" width="24" customWidth="1"/>
    <col min="6" max="6" width="13" customWidth="1"/>
    <col min="7" max="7" width="21.33203125" customWidth="1"/>
    <col min="9" max="9" width="33" bestFit="1" customWidth="1"/>
    <col min="10" max="10" width="12.1640625" bestFit="1" customWidth="1"/>
    <col min="12" max="12" width="17.33203125" bestFit="1" customWidth="1"/>
  </cols>
  <sheetData>
    <row r="1" spans="1:13" x14ac:dyDescent="0.2">
      <c r="A1" s="58" t="s">
        <v>74</v>
      </c>
      <c r="B1" s="55" t="s">
        <v>81</v>
      </c>
      <c r="C1" s="55"/>
      <c r="D1" s="55"/>
      <c r="E1" s="55"/>
    </row>
    <row r="2" spans="1:13" x14ac:dyDescent="0.2">
      <c r="A2" s="58"/>
      <c r="B2" s="60"/>
      <c r="C2" s="60"/>
      <c r="D2" s="60"/>
      <c r="E2" s="60"/>
      <c r="I2" t="s">
        <v>81</v>
      </c>
    </row>
    <row r="3" spans="1:13" x14ac:dyDescent="0.2">
      <c r="A3" s="25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  <c r="I3" s="9" t="s">
        <v>39</v>
      </c>
      <c r="J3" s="16" cm="1">
        <f t="array" ref="J3">AVERAGE(IF(Table28[Cumplimiento de Meta %]&gt;=100%,1,0))</f>
        <v>0.72727272727272729</v>
      </c>
      <c r="L3" t="s">
        <v>41</v>
      </c>
      <c r="M3" s="18">
        <f>(COUNT(Table28[[#All],[Semana]])*7)/30</f>
        <v>5.1333333333333337</v>
      </c>
    </row>
    <row r="4" spans="1:13" x14ac:dyDescent="0.2">
      <c r="A4" s="43">
        <v>1</v>
      </c>
      <c r="B4" s="20">
        <v>45586</v>
      </c>
      <c r="C4" s="4">
        <v>250</v>
      </c>
      <c r="D4" s="4">
        <v>250</v>
      </c>
      <c r="E4" s="21">
        <f>D4/C4</f>
        <v>1</v>
      </c>
      <c r="F4" s="22">
        <f>IF(SUM($C$4:C4)-SUM($D$4:D4)&gt;0, (SUM($C$4:C4)-SUM($D$4:D4))/SUM($C$4:C4), 0)</f>
        <v>0</v>
      </c>
      <c r="G4" s="42">
        <f t="shared" ref="G4" si="0">D4-C4</f>
        <v>0</v>
      </c>
      <c r="I4" s="4"/>
      <c r="J4" s="4"/>
    </row>
    <row r="5" spans="1:13" x14ac:dyDescent="0.2">
      <c r="A5" s="43">
        <v>2</v>
      </c>
      <c r="B5" s="20">
        <v>45593</v>
      </c>
      <c r="C5" s="4">
        <v>250</v>
      </c>
      <c r="D5" s="4">
        <v>250</v>
      </c>
      <c r="E5" s="21">
        <f t="shared" ref="E5:E19" si="1">D5/C5</f>
        <v>1</v>
      </c>
      <c r="F5" s="22">
        <f>IF(SUM($C$4:C5)-SUM($D$4:D5)&gt;0, (SUM($C$4:C5)-SUM($D$4:D5))/SUM($C$4:C5), 0)</f>
        <v>0</v>
      </c>
      <c r="G5" s="42">
        <f t="shared" ref="G5:G19" si="2">D5-C5</f>
        <v>0</v>
      </c>
      <c r="I5" s="4" t="s">
        <v>21</v>
      </c>
      <c r="J5" s="4">
        <f>SUM(Table28[[#All],[Meta]])</f>
        <v>68200</v>
      </c>
    </row>
    <row r="6" spans="1:13" x14ac:dyDescent="0.2">
      <c r="A6" s="43">
        <v>3</v>
      </c>
      <c r="B6" s="20">
        <v>45600</v>
      </c>
      <c r="C6" s="4">
        <v>550</v>
      </c>
      <c r="D6" s="4">
        <v>550</v>
      </c>
      <c r="E6" s="21">
        <f t="shared" si="1"/>
        <v>1</v>
      </c>
      <c r="F6" s="22">
        <f>IF(SUM($C$4:C6)-SUM($D$4:D6)&gt;0, (SUM($C$4:C6)-SUM($D$4:D6))/SUM($C$4:C6), 0)</f>
        <v>0</v>
      </c>
      <c r="G6" s="42">
        <f t="shared" si="2"/>
        <v>0</v>
      </c>
      <c r="I6" s="4" t="s">
        <v>22</v>
      </c>
      <c r="J6" s="4">
        <f>SUM(Table28[[#All],[Cobranza]])</f>
        <v>65200</v>
      </c>
    </row>
    <row r="7" spans="1:13" x14ac:dyDescent="0.2">
      <c r="A7" s="43">
        <v>4</v>
      </c>
      <c r="B7" s="20">
        <v>45607</v>
      </c>
      <c r="C7" s="4">
        <v>1450</v>
      </c>
      <c r="D7" s="4">
        <v>1450</v>
      </c>
      <c r="E7" s="21">
        <f t="shared" si="1"/>
        <v>1</v>
      </c>
      <c r="F7" s="22">
        <f>IF(SUM($C$4:C7)-SUM($D$4:D7)&gt;0, (SUM($C$4:C7)-SUM($D$4:D7))/SUM($C$4:C7), 0)</f>
        <v>0</v>
      </c>
      <c r="G7" s="42">
        <f t="shared" si="2"/>
        <v>0</v>
      </c>
      <c r="I7" s="4" t="s">
        <v>23</v>
      </c>
      <c r="J7" s="4">
        <f>SUM(Table28[[#All],[Didiferencia Absoluta]])</f>
        <v>-3000</v>
      </c>
    </row>
    <row r="8" spans="1:13" x14ac:dyDescent="0.2">
      <c r="A8" s="43">
        <v>5</v>
      </c>
      <c r="B8" s="20">
        <v>45614</v>
      </c>
      <c r="C8" s="4">
        <v>1450</v>
      </c>
      <c r="D8" s="4">
        <v>1450</v>
      </c>
      <c r="E8" s="21">
        <f t="shared" si="1"/>
        <v>1</v>
      </c>
      <c r="F8" s="22">
        <f>IF(SUM($C$4:C8)-SUM($D$4:D8)&gt;0, (SUM($C$4:C8)-SUM($D$4:D8))/SUM($C$4:C8), 0)</f>
        <v>0</v>
      </c>
      <c r="G8" s="42">
        <f t="shared" si="2"/>
        <v>0</v>
      </c>
      <c r="I8" t="s">
        <v>24</v>
      </c>
      <c r="J8" s="16">
        <f>(J7/J5)*-1</f>
        <v>4.398826979472141E-2</v>
      </c>
    </row>
    <row r="9" spans="1:13" x14ac:dyDescent="0.2">
      <c r="A9" s="43">
        <v>6</v>
      </c>
      <c r="B9" s="20">
        <v>45621</v>
      </c>
      <c r="C9" s="4">
        <v>1450</v>
      </c>
      <c r="D9" s="4">
        <v>1450</v>
      </c>
      <c r="E9" s="21">
        <f t="shared" si="1"/>
        <v>1</v>
      </c>
      <c r="F9" s="22">
        <f>IF(SUM($C$4:C9)-SUM($D$4:D9)&gt;0, (SUM($C$4:C9)-SUM($D$4:D9))/SUM($C$4:C9), 0)</f>
        <v>0</v>
      </c>
      <c r="G9" s="42">
        <f t="shared" si="2"/>
        <v>0</v>
      </c>
    </row>
    <row r="10" spans="1:13" x14ac:dyDescent="0.2">
      <c r="A10" s="43">
        <v>7</v>
      </c>
      <c r="B10" s="20">
        <v>45628</v>
      </c>
      <c r="C10" s="4">
        <v>2500</v>
      </c>
      <c r="D10" s="4">
        <v>2800</v>
      </c>
      <c r="E10" s="21">
        <f t="shared" si="1"/>
        <v>1.1200000000000001</v>
      </c>
      <c r="F10" s="22">
        <f>IF(SUM($C$4:C10)-SUM($D$4:D10)&gt;0, (SUM($C$4:C10)-SUM($D$4:D10))/SUM($C$4:C10), 0)</f>
        <v>0</v>
      </c>
      <c r="G10" s="42">
        <f t="shared" si="2"/>
        <v>300</v>
      </c>
    </row>
    <row r="11" spans="1:13" x14ac:dyDescent="0.2">
      <c r="A11" s="43">
        <v>8</v>
      </c>
      <c r="B11" s="20">
        <v>45635</v>
      </c>
      <c r="C11" s="4">
        <v>3400</v>
      </c>
      <c r="D11" s="4">
        <v>3100</v>
      </c>
      <c r="E11" s="21">
        <f t="shared" si="1"/>
        <v>0.91176470588235292</v>
      </c>
      <c r="F11" s="22">
        <f>IF(SUM($C$4:C11)-SUM($D$4:D11)&gt;0, (SUM($C$4:C11)-SUM($D$4:D11))/SUM($C$4:C11), 0)</f>
        <v>0</v>
      </c>
      <c r="G11" s="42">
        <f t="shared" si="2"/>
        <v>-300</v>
      </c>
    </row>
    <row r="12" spans="1:13" x14ac:dyDescent="0.2">
      <c r="A12" s="43">
        <v>9</v>
      </c>
      <c r="B12" s="20">
        <v>45642</v>
      </c>
      <c r="C12" s="4">
        <v>3400</v>
      </c>
      <c r="D12" s="4">
        <v>4550</v>
      </c>
      <c r="E12" s="21">
        <f t="shared" si="1"/>
        <v>1.338235294117647</v>
      </c>
      <c r="F12" s="22">
        <f>IF(SUM($C$4:C12)-SUM($D$4:D12)&gt;0, (SUM($C$4:C12)-SUM($D$4:D12))/SUM($C$4:C12), 0)</f>
        <v>0</v>
      </c>
      <c r="G12" s="42">
        <f t="shared" si="2"/>
        <v>1150</v>
      </c>
    </row>
    <row r="13" spans="1:13" x14ac:dyDescent="0.2">
      <c r="A13" s="43">
        <v>10</v>
      </c>
      <c r="B13" s="20">
        <v>45649</v>
      </c>
      <c r="C13" s="4">
        <v>3800</v>
      </c>
      <c r="D13" s="4">
        <v>3800</v>
      </c>
      <c r="E13" s="21">
        <f t="shared" si="1"/>
        <v>1</v>
      </c>
      <c r="F13" s="22">
        <f>IF(SUM($C$4:C13)-SUM($D$4:D13)&gt;0, (SUM($C$4:C13)-SUM($D$4:D13))/SUM($C$4:C13), 0)</f>
        <v>0</v>
      </c>
      <c r="G13" s="42">
        <f t="shared" si="2"/>
        <v>0</v>
      </c>
    </row>
    <row r="14" spans="1:13" x14ac:dyDescent="0.2">
      <c r="A14" s="43">
        <v>11</v>
      </c>
      <c r="B14" s="20">
        <v>45656</v>
      </c>
      <c r="C14" s="4">
        <v>3800</v>
      </c>
      <c r="D14" s="4">
        <v>3800</v>
      </c>
      <c r="E14" s="21">
        <f t="shared" si="1"/>
        <v>1</v>
      </c>
      <c r="F14" s="22">
        <f>IF(SUM($C$4:C14)-SUM($D$4:D14)&gt;0, (SUM($C$4:C14)-SUM($D$4:D14))/SUM($C$4:C14), 0)</f>
        <v>0</v>
      </c>
      <c r="G14" s="42">
        <f t="shared" si="2"/>
        <v>0</v>
      </c>
    </row>
    <row r="15" spans="1:13" x14ac:dyDescent="0.2">
      <c r="A15" s="43">
        <v>12</v>
      </c>
      <c r="B15" s="20">
        <v>45663</v>
      </c>
      <c r="C15" s="4">
        <v>3800</v>
      </c>
      <c r="D15" s="4">
        <v>2850</v>
      </c>
      <c r="E15" s="21">
        <f t="shared" si="1"/>
        <v>0.75</v>
      </c>
      <c r="F15" s="22">
        <f>IF(SUM($C$4:C15)-SUM($D$4:D15)&gt;0, (SUM($C$4:C15)-SUM($D$4:D15))/SUM($C$4:C15), 0)</f>
        <v>0</v>
      </c>
      <c r="G15" s="42">
        <f t="shared" si="2"/>
        <v>-950</v>
      </c>
    </row>
    <row r="16" spans="1:13" x14ac:dyDescent="0.2">
      <c r="A16" s="43">
        <v>13</v>
      </c>
      <c r="B16" s="20">
        <v>45670</v>
      </c>
      <c r="C16" s="4">
        <v>3800</v>
      </c>
      <c r="D16" s="4">
        <v>3800</v>
      </c>
      <c r="E16" s="21">
        <f t="shared" si="1"/>
        <v>1</v>
      </c>
      <c r="F16" s="22">
        <f>IF(SUM($C$4:C16)-SUM($D$4:D16)&gt;0, (SUM($C$4:C16)-SUM($D$4:D16))/SUM($C$4:C16), 0)</f>
        <v>0</v>
      </c>
      <c r="G16" s="42">
        <f t="shared" si="2"/>
        <v>0</v>
      </c>
    </row>
    <row r="17" spans="1:7" x14ac:dyDescent="0.2">
      <c r="A17" s="43">
        <v>14</v>
      </c>
      <c r="B17" s="20">
        <v>45677</v>
      </c>
      <c r="C17" s="4">
        <v>3850</v>
      </c>
      <c r="D17" s="4">
        <v>3850</v>
      </c>
      <c r="E17" s="21">
        <f t="shared" si="1"/>
        <v>1</v>
      </c>
      <c r="F17" s="22">
        <f>IF(SUM($C$4:C17)-SUM($D$4:D17)&gt;0, (SUM($C$4:C17)-SUM($D$4:D17))/SUM($C$4:C17), 0)</f>
        <v>0</v>
      </c>
      <c r="G17" s="42">
        <f t="shared" si="2"/>
        <v>0</v>
      </c>
    </row>
    <row r="18" spans="1:7" x14ac:dyDescent="0.2">
      <c r="A18" s="43">
        <v>15</v>
      </c>
      <c r="B18" s="20">
        <v>45684</v>
      </c>
      <c r="C18" s="4">
        <v>3850</v>
      </c>
      <c r="D18" s="4">
        <v>4300</v>
      </c>
      <c r="E18" s="21">
        <f t="shared" si="1"/>
        <v>1.1168831168831168</v>
      </c>
      <c r="F18" s="22">
        <f>IF(SUM($C$4:C18)-SUM($D$4:D18)&gt;0, (SUM($C$4:C18)-SUM($D$4:D18))/SUM($C$4:C18), 0)</f>
        <v>0</v>
      </c>
      <c r="G18" s="42">
        <f t="shared" si="2"/>
        <v>450</v>
      </c>
    </row>
    <row r="19" spans="1:7" x14ac:dyDescent="0.2">
      <c r="A19" s="43">
        <v>16</v>
      </c>
      <c r="B19" s="20">
        <v>45691</v>
      </c>
      <c r="C19" s="4">
        <v>4000</v>
      </c>
      <c r="D19" s="4">
        <v>4650</v>
      </c>
      <c r="E19" s="21">
        <f t="shared" si="1"/>
        <v>1.1625000000000001</v>
      </c>
      <c r="F19" s="22">
        <f>IF(SUM($C$4:C19)-SUM($D$4:D19)&gt;0, (SUM($C$4:C19)-SUM($D$4:D19))/SUM($C$4:C19), 0)</f>
        <v>0</v>
      </c>
      <c r="G19" s="42">
        <f t="shared" si="2"/>
        <v>650</v>
      </c>
    </row>
    <row r="20" spans="1:7" x14ac:dyDescent="0.2">
      <c r="A20" s="43">
        <v>17</v>
      </c>
      <c r="B20" s="20">
        <v>45698</v>
      </c>
      <c r="C20" s="4">
        <v>3750</v>
      </c>
      <c r="D20" s="4">
        <v>4300</v>
      </c>
      <c r="E20" s="21">
        <f>D20/C20</f>
        <v>1.1466666666666667</v>
      </c>
      <c r="F20" s="22">
        <f>IF(SUM($C$4:C20)-SUM($D$4:D20)&gt;0, (SUM($C$4:C20)-SUM($D$4:D20))/SUM($C$4:C20), 0)</f>
        <v>0</v>
      </c>
      <c r="G20" s="42">
        <f>D20-C20</f>
        <v>550</v>
      </c>
    </row>
    <row r="21" spans="1:7" x14ac:dyDescent="0.2">
      <c r="A21" s="43">
        <v>18</v>
      </c>
      <c r="B21" s="20">
        <v>45705</v>
      </c>
      <c r="C21" s="4">
        <v>4400</v>
      </c>
      <c r="D21" s="4">
        <v>4300</v>
      </c>
      <c r="E21" s="21">
        <f>D21/C21</f>
        <v>0.97727272727272729</v>
      </c>
      <c r="F21" s="22">
        <f>IF(SUM($C$4:C21)-SUM($D$4:D21)&gt;0, (SUM($C$4:C21)-SUM($D$4:D21))/SUM($C$4:C21), 0)</f>
        <v>0</v>
      </c>
      <c r="G21" s="42">
        <f>D21-C21</f>
        <v>-100</v>
      </c>
    </row>
    <row r="22" spans="1:7" x14ac:dyDescent="0.2">
      <c r="A22" s="43">
        <v>19</v>
      </c>
      <c r="B22" s="20">
        <v>45712</v>
      </c>
      <c r="C22" s="4">
        <v>4400</v>
      </c>
      <c r="D22" s="4">
        <v>4100</v>
      </c>
      <c r="E22" s="21">
        <f>D22/C22</f>
        <v>0.93181818181818177</v>
      </c>
      <c r="F22" s="22">
        <f>IF(SUM($C$4:C22)-SUM($D$4:D22)&gt;0, (SUM($C$4:C22)-SUM($D$4:D22))/SUM($C$4:C22), 0)</f>
        <v>0</v>
      </c>
      <c r="G22" s="42">
        <f>D22-C22</f>
        <v>-300</v>
      </c>
    </row>
    <row r="23" spans="1:7" x14ac:dyDescent="0.2">
      <c r="A23" s="43">
        <v>20</v>
      </c>
      <c r="B23" s="20">
        <v>45719</v>
      </c>
      <c r="C23" s="4">
        <v>4150</v>
      </c>
      <c r="D23" s="4">
        <v>5150</v>
      </c>
      <c r="E23" s="21">
        <f>D23/C23</f>
        <v>1.2409638554216869</v>
      </c>
      <c r="F23" s="22">
        <f>IF(SUM($C$4:C23)-SUM($D$4:D23)&gt;0, (SUM($C$4:C23)-SUM($D$4:D23))/SUM($C$4:C23), 0)</f>
        <v>0</v>
      </c>
      <c r="G23" s="42">
        <f>D23-C23</f>
        <v>1000</v>
      </c>
    </row>
    <row r="24" spans="1:7" x14ac:dyDescent="0.2">
      <c r="A24" s="43">
        <v>21</v>
      </c>
      <c r="B24" s="20">
        <v>45726</v>
      </c>
      <c r="C24" s="4">
        <v>5100</v>
      </c>
      <c r="D24" s="4">
        <v>4450</v>
      </c>
      <c r="E24" s="21">
        <f>D24/C24</f>
        <v>0.87254901960784315</v>
      </c>
      <c r="F24" s="22">
        <f>IF(SUM($C$4:C24)-SUM($D$4:D24)&gt;0, (SUM($C$4:C24)-SUM($D$4:D24))/SUM($C$4:C24), 0)</f>
        <v>0</v>
      </c>
      <c r="G24" s="42">
        <f>D24-C24</f>
        <v>-650</v>
      </c>
    </row>
    <row r="25" spans="1:7" x14ac:dyDescent="0.2">
      <c r="A25" s="43">
        <v>22</v>
      </c>
      <c r="B25" s="20">
        <v>45733</v>
      </c>
      <c r="C25" s="4">
        <v>4800</v>
      </c>
      <c r="D25" s="4"/>
      <c r="E25" s="64">
        <f>D25/C25</f>
        <v>0</v>
      </c>
      <c r="F25" s="22">
        <f>IF(SUM($C$4:C25)-SUM($D$4:D25)&gt;0, (SUM($C$4:C25)-SUM($D$4:D25))/SUM($C$4:C25), 0)</f>
        <v>4.398826979472141E-2</v>
      </c>
      <c r="G25" s="69">
        <f>D25-C25</f>
        <v>-4800</v>
      </c>
    </row>
  </sheetData>
  <mergeCells count="2">
    <mergeCell ref="A1:A2"/>
    <mergeCell ref="B1:E2"/>
  </mergeCells>
  <pageMargins left="0.7" right="0.7" top="0.75" bottom="0.75" header="0.3" footer="0.3"/>
  <drawing r:id="rId1"/>
  <tableParts count="1">
    <tablePart r:id="rId2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75E8D-2BD7-2C40-BC39-CFD3E268A59D}">
  <dimension ref="A1:M25"/>
  <sheetViews>
    <sheetView workbookViewId="0">
      <selection activeCell="E29" sqref="E29"/>
    </sheetView>
  </sheetViews>
  <sheetFormatPr baseColWidth="10" defaultRowHeight="16" x14ac:dyDescent="0.2"/>
  <cols>
    <col min="4" max="4" width="11.33203125" customWidth="1"/>
    <col min="5" max="5" width="24" customWidth="1"/>
    <col min="6" max="6" width="13" customWidth="1"/>
    <col min="7" max="7" width="21.33203125" customWidth="1"/>
    <col min="9" max="9" width="31.83203125" bestFit="1" customWidth="1"/>
    <col min="10" max="10" width="12.1640625" bestFit="1" customWidth="1"/>
    <col min="12" max="12" width="17.33203125" bestFit="1" customWidth="1"/>
  </cols>
  <sheetData>
    <row r="1" spans="1:13" x14ac:dyDescent="0.2">
      <c r="A1" s="58" t="s">
        <v>75</v>
      </c>
      <c r="B1" s="55" t="s">
        <v>82</v>
      </c>
      <c r="C1" s="55"/>
      <c r="D1" s="55"/>
      <c r="E1" s="55"/>
    </row>
    <row r="2" spans="1:13" x14ac:dyDescent="0.2">
      <c r="A2" s="58"/>
      <c r="B2" s="60"/>
      <c r="C2" s="60"/>
      <c r="D2" s="60"/>
      <c r="E2" s="60"/>
      <c r="I2" t="s">
        <v>82</v>
      </c>
    </row>
    <row r="3" spans="1:13" x14ac:dyDescent="0.2">
      <c r="A3" s="25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  <c r="I3" s="9" t="s">
        <v>39</v>
      </c>
      <c r="J3" s="16" cm="1">
        <f t="array" ref="J3">AVERAGE(IF(Table29[Cumplimiento de Meta %]&gt;=100%,1,0))</f>
        <v>0.27272727272727271</v>
      </c>
      <c r="L3" t="s">
        <v>41</v>
      </c>
      <c r="M3" s="18">
        <f>(COUNT(Table29[[#All],[Semana]])*7)/30</f>
        <v>5.1333333333333337</v>
      </c>
    </row>
    <row r="4" spans="1:13" x14ac:dyDescent="0.2">
      <c r="A4" s="43">
        <v>1</v>
      </c>
      <c r="B4" s="20">
        <v>45586</v>
      </c>
      <c r="C4" s="4">
        <v>300</v>
      </c>
      <c r="D4" s="4">
        <v>300</v>
      </c>
      <c r="E4" s="21">
        <f>D4/C4</f>
        <v>1</v>
      </c>
      <c r="F4" s="22">
        <f>IF(SUM($C$4:C4)-SUM($D$4:D4)&gt;0, (SUM($C$4:C4)-SUM($D$4:D4))/SUM($C$4:C4), 0)</f>
        <v>0</v>
      </c>
      <c r="G4" s="42">
        <f t="shared" ref="G4" si="0">D4-C4</f>
        <v>0</v>
      </c>
      <c r="I4" s="4"/>
      <c r="J4" s="4"/>
    </row>
    <row r="5" spans="1:13" x14ac:dyDescent="0.2">
      <c r="A5" s="43">
        <v>2</v>
      </c>
      <c r="B5" s="20">
        <v>45593</v>
      </c>
      <c r="C5" s="4">
        <v>1200</v>
      </c>
      <c r="D5" s="4">
        <v>1200</v>
      </c>
      <c r="E5" s="21">
        <f t="shared" ref="E5:E19" si="1">D5/C5</f>
        <v>1</v>
      </c>
      <c r="F5" s="22">
        <f>IF(SUM($C$4:C5)-SUM($D$4:D5)&gt;0, (SUM($C$4:C5)-SUM($D$4:D5))/SUM($C$4:C5), 0)</f>
        <v>0</v>
      </c>
      <c r="G5" s="42">
        <f t="shared" ref="G5:G19" si="2">D5-C5</f>
        <v>0</v>
      </c>
      <c r="I5" s="4" t="s">
        <v>21</v>
      </c>
      <c r="J5" s="4">
        <f>SUM(Table29[[#All],[Meta]])</f>
        <v>84250</v>
      </c>
    </row>
    <row r="6" spans="1:13" x14ac:dyDescent="0.2">
      <c r="A6" s="43">
        <v>3</v>
      </c>
      <c r="B6" s="20">
        <v>45600</v>
      </c>
      <c r="C6" s="4">
        <v>1800</v>
      </c>
      <c r="D6" s="4">
        <v>1800</v>
      </c>
      <c r="E6" s="21">
        <f t="shared" si="1"/>
        <v>1</v>
      </c>
      <c r="F6" s="22">
        <f>IF(SUM($C$4:C6)-SUM($D$4:D6)&gt;0, (SUM($C$4:C6)-SUM($D$4:D6))/SUM($C$4:C6), 0)</f>
        <v>0</v>
      </c>
      <c r="G6" s="42">
        <f t="shared" si="2"/>
        <v>0</v>
      </c>
      <c r="I6" s="4" t="s">
        <v>22</v>
      </c>
      <c r="J6" s="4">
        <f>SUM(Table29[[#All],[Cobranza]])</f>
        <v>43700</v>
      </c>
    </row>
    <row r="7" spans="1:13" x14ac:dyDescent="0.2">
      <c r="A7" s="43">
        <v>4</v>
      </c>
      <c r="B7" s="20">
        <v>45607</v>
      </c>
      <c r="C7" s="4">
        <v>1950</v>
      </c>
      <c r="D7" s="4">
        <v>1950</v>
      </c>
      <c r="E7" s="21">
        <f t="shared" si="1"/>
        <v>1</v>
      </c>
      <c r="F7" s="22">
        <f>IF(SUM($C$4:C7)-SUM($D$4:D7)&gt;0, (SUM($C$4:C7)-SUM($D$4:D7))/SUM($C$4:C7), 0)</f>
        <v>0</v>
      </c>
      <c r="G7" s="42">
        <f t="shared" si="2"/>
        <v>0</v>
      </c>
      <c r="I7" s="4" t="s">
        <v>23</v>
      </c>
      <c r="J7" s="4">
        <f>SUM(Table29[[#All],[Didiferencia Absoluta]])</f>
        <v>-40550</v>
      </c>
    </row>
    <row r="8" spans="1:13" x14ac:dyDescent="0.2">
      <c r="A8" s="43">
        <v>5</v>
      </c>
      <c r="B8" s="20">
        <v>45614</v>
      </c>
      <c r="C8" s="4">
        <v>3350</v>
      </c>
      <c r="D8" s="4">
        <v>3350</v>
      </c>
      <c r="E8" s="21">
        <f t="shared" si="1"/>
        <v>1</v>
      </c>
      <c r="F8" s="22">
        <f>IF(SUM($C$4:C8)-SUM($D$4:D8)&gt;0, (SUM($C$4:C8)-SUM($D$4:D8))/SUM($C$4:C8), 0)</f>
        <v>0</v>
      </c>
      <c r="G8" s="42">
        <f t="shared" si="2"/>
        <v>0</v>
      </c>
      <c r="I8" t="s">
        <v>24</v>
      </c>
      <c r="J8" s="16">
        <f>(J7/J5)*-1</f>
        <v>0.48130563798219583</v>
      </c>
    </row>
    <row r="9" spans="1:13" x14ac:dyDescent="0.2">
      <c r="A9" s="43">
        <v>6</v>
      </c>
      <c r="B9" s="20">
        <v>45621</v>
      </c>
      <c r="C9" s="4">
        <v>3650</v>
      </c>
      <c r="D9" s="4">
        <v>3850</v>
      </c>
      <c r="E9" s="21">
        <f t="shared" si="1"/>
        <v>1.0547945205479452</v>
      </c>
      <c r="F9" s="22">
        <f>IF(SUM($C$4:C9)-SUM($D$4:D9)&gt;0, (SUM($C$4:C9)-SUM($D$4:D9))/SUM($C$4:C9), 0)</f>
        <v>0</v>
      </c>
      <c r="G9" s="42">
        <f t="shared" si="2"/>
        <v>200</v>
      </c>
    </row>
    <row r="10" spans="1:13" x14ac:dyDescent="0.2">
      <c r="A10" s="43">
        <v>7</v>
      </c>
      <c r="B10" s="20">
        <v>45628</v>
      </c>
      <c r="C10" s="4">
        <v>4850</v>
      </c>
      <c r="D10" s="4">
        <v>4650</v>
      </c>
      <c r="E10" s="21">
        <f t="shared" si="1"/>
        <v>0.95876288659793818</v>
      </c>
      <c r="F10" s="22">
        <f>IF(SUM($C$4:C10)-SUM($D$4:D10)&gt;0, (SUM($C$4:C10)-SUM($D$4:D10))/SUM($C$4:C10), 0)</f>
        <v>0</v>
      </c>
      <c r="G10" s="42">
        <f t="shared" si="2"/>
        <v>-200</v>
      </c>
    </row>
    <row r="11" spans="1:13" x14ac:dyDescent="0.2">
      <c r="A11" s="43">
        <v>8</v>
      </c>
      <c r="B11" s="20">
        <v>45635</v>
      </c>
      <c r="C11" s="4">
        <v>5750</v>
      </c>
      <c r="D11" s="4">
        <v>5150</v>
      </c>
      <c r="E11" s="21">
        <f t="shared" si="1"/>
        <v>0.89565217391304353</v>
      </c>
      <c r="F11" s="22">
        <f>IF(SUM($C$4:C11)-SUM($D$4:D11)&gt;0, (SUM($C$4:C11)-SUM($D$4:D11))/SUM($C$4:C11), 0)</f>
        <v>2.6258205689277898E-2</v>
      </c>
      <c r="G11" s="42">
        <f t="shared" si="2"/>
        <v>-600</v>
      </c>
    </row>
    <row r="12" spans="1:13" x14ac:dyDescent="0.2">
      <c r="A12" s="43">
        <v>9</v>
      </c>
      <c r="B12" s="20">
        <v>45642</v>
      </c>
      <c r="C12" s="4">
        <v>6050</v>
      </c>
      <c r="D12" s="4">
        <v>2550</v>
      </c>
      <c r="E12" s="21">
        <f t="shared" si="1"/>
        <v>0.42148760330578511</v>
      </c>
      <c r="F12" s="22">
        <f>IF(SUM($C$4:C12)-SUM($D$4:D12)&gt;0, (SUM($C$4:C12)-SUM($D$4:D12))/SUM($C$4:C12), 0)</f>
        <v>0.14186851211072665</v>
      </c>
      <c r="G12" s="42">
        <f t="shared" si="2"/>
        <v>-3500</v>
      </c>
    </row>
    <row r="13" spans="1:13" x14ac:dyDescent="0.2">
      <c r="A13" s="43">
        <v>10</v>
      </c>
      <c r="B13" s="20">
        <v>45649</v>
      </c>
      <c r="C13" s="4">
        <v>6050</v>
      </c>
      <c r="D13" s="4">
        <v>4250</v>
      </c>
      <c r="E13" s="21">
        <f t="shared" si="1"/>
        <v>0.7024793388429752</v>
      </c>
      <c r="F13" s="22">
        <f>IF(SUM($C$4:C13)-SUM($D$4:D13)&gt;0, (SUM($C$4:C13)-SUM($D$4:D13))/SUM($C$4:C13), 0)</f>
        <v>0.16881258941344779</v>
      </c>
      <c r="G13" s="42">
        <f t="shared" si="2"/>
        <v>-1800</v>
      </c>
    </row>
    <row r="14" spans="1:13" x14ac:dyDescent="0.2">
      <c r="A14" s="43">
        <v>11</v>
      </c>
      <c r="B14" s="20">
        <v>45656</v>
      </c>
      <c r="C14" s="4">
        <v>6050</v>
      </c>
      <c r="D14" s="4">
        <v>2950</v>
      </c>
      <c r="E14" s="21">
        <f t="shared" si="1"/>
        <v>0.48760330578512395</v>
      </c>
      <c r="F14" s="22">
        <f>IF(SUM($C$4:C14)-SUM($D$4:D14)&gt;0, (SUM($C$4:C14)-SUM($D$4:D14))/SUM($C$4:C14), 0)</f>
        <v>0.21951219512195122</v>
      </c>
      <c r="G14" s="42">
        <f t="shared" si="2"/>
        <v>-3100</v>
      </c>
    </row>
    <row r="15" spans="1:13" x14ac:dyDescent="0.2">
      <c r="A15" s="43">
        <v>12</v>
      </c>
      <c r="B15" s="20">
        <v>45663</v>
      </c>
      <c r="C15" s="4">
        <v>6050</v>
      </c>
      <c r="D15" s="4">
        <v>4650</v>
      </c>
      <c r="E15" s="21">
        <f t="shared" si="1"/>
        <v>0.76859504132231404</v>
      </c>
      <c r="F15" s="22">
        <f>IF(SUM($C$4:C15)-SUM($D$4:D15)&gt;0, (SUM($C$4:C15)-SUM($D$4:D15))/SUM($C$4:C15), 0)</f>
        <v>0.22104144527098832</v>
      </c>
      <c r="G15" s="42">
        <f t="shared" si="2"/>
        <v>-1400</v>
      </c>
    </row>
    <row r="16" spans="1:13" x14ac:dyDescent="0.2">
      <c r="A16" s="43">
        <v>13</v>
      </c>
      <c r="B16" s="20">
        <v>45670</v>
      </c>
      <c r="C16" s="4">
        <v>6050</v>
      </c>
      <c r="D16" s="4">
        <v>2750</v>
      </c>
      <c r="E16" s="21">
        <f t="shared" si="1"/>
        <v>0.45454545454545453</v>
      </c>
      <c r="F16" s="22">
        <f>IF(SUM($C$4:C16)-SUM($D$4:D16)&gt;0, (SUM($C$4:C16)-SUM($D$4:D16))/SUM($C$4:C16), 0)</f>
        <v>0.25800376647834272</v>
      </c>
      <c r="G16" s="42">
        <f t="shared" si="2"/>
        <v>-3300</v>
      </c>
    </row>
    <row r="17" spans="1:7" x14ac:dyDescent="0.2">
      <c r="A17" s="43">
        <v>14</v>
      </c>
      <c r="B17" s="20">
        <v>45677</v>
      </c>
      <c r="C17" s="4">
        <v>6050</v>
      </c>
      <c r="D17" s="4">
        <v>1700</v>
      </c>
      <c r="E17" s="21">
        <f t="shared" si="1"/>
        <v>0.28099173553719009</v>
      </c>
      <c r="F17" s="22">
        <f>IF(SUM($C$4:C17)-SUM($D$4:D17)&gt;0, (SUM($C$4:C17)-SUM($D$4:D17))/SUM($C$4:C17), 0)</f>
        <v>0.305156382079459</v>
      </c>
      <c r="G17" s="42">
        <f t="shared" si="2"/>
        <v>-4350</v>
      </c>
    </row>
    <row r="18" spans="1:7" x14ac:dyDescent="0.2">
      <c r="A18" s="43">
        <v>15</v>
      </c>
      <c r="B18" s="20">
        <v>45684</v>
      </c>
      <c r="C18" s="4">
        <v>5600</v>
      </c>
      <c r="D18" s="4">
        <v>1400</v>
      </c>
      <c r="E18" s="21">
        <f t="shared" si="1"/>
        <v>0.25</v>
      </c>
      <c r="F18" s="22">
        <f>IF(SUM($C$4:C18)-SUM($D$4:D18)&gt;0, (SUM($C$4:C18)-SUM($D$4:D18))/SUM($C$4:C18), 0)</f>
        <v>0.34362934362934361</v>
      </c>
      <c r="G18" s="42">
        <f t="shared" si="2"/>
        <v>-4200</v>
      </c>
    </row>
    <row r="19" spans="1:7" x14ac:dyDescent="0.2">
      <c r="A19" s="43">
        <v>16</v>
      </c>
      <c r="B19" s="20">
        <v>45691</v>
      </c>
      <c r="C19" s="4">
        <v>4700</v>
      </c>
      <c r="D19" s="4">
        <v>0</v>
      </c>
      <c r="E19" s="21">
        <f t="shared" si="1"/>
        <v>0</v>
      </c>
      <c r="F19" s="22">
        <f>IF(SUM($C$4:C19)-SUM($D$4:D19)&gt;0, (SUM($C$4:C19)-SUM($D$4:D19))/SUM($C$4:C19), 0)</f>
        <v>0.38804895608351331</v>
      </c>
      <c r="G19" s="42">
        <f t="shared" si="2"/>
        <v>-4700</v>
      </c>
    </row>
    <row r="20" spans="1:7" x14ac:dyDescent="0.2">
      <c r="A20" s="43">
        <v>17</v>
      </c>
      <c r="B20" s="20">
        <v>45698</v>
      </c>
      <c r="C20" s="4">
        <v>4100</v>
      </c>
      <c r="D20" s="4">
        <v>500</v>
      </c>
      <c r="E20" s="21">
        <f>D20/C20</f>
        <v>0.12195121951219512</v>
      </c>
      <c r="F20" s="22">
        <f>IF(SUM($C$4:C20)-SUM($D$4:D20)&gt;0, (SUM($C$4:C20)-SUM($D$4:D20))/SUM($C$4:C20), 0)</f>
        <v>0.41536369816451396</v>
      </c>
      <c r="G20" s="42">
        <f>D20-C20</f>
        <v>-3600</v>
      </c>
    </row>
    <row r="21" spans="1:7" x14ac:dyDescent="0.2">
      <c r="A21" s="43">
        <v>18</v>
      </c>
      <c r="B21" s="20">
        <v>45705</v>
      </c>
      <c r="C21" s="4">
        <v>4100</v>
      </c>
      <c r="D21" s="4">
        <v>700</v>
      </c>
      <c r="E21" s="21">
        <f>D21/C21</f>
        <v>0.17073170731707318</v>
      </c>
      <c r="F21" s="22">
        <f>IF(SUM($C$4:C21)-SUM($D$4:D21)&gt;0, (SUM($C$4:C21)-SUM($D$4:D21))/SUM($C$4:C21), 0)</f>
        <v>0.43721828718609146</v>
      </c>
      <c r="G21" s="42">
        <f>D21-C21</f>
        <v>-3400</v>
      </c>
    </row>
    <row r="22" spans="1:7" x14ac:dyDescent="0.2">
      <c r="A22" s="43">
        <v>19</v>
      </c>
      <c r="B22" s="20">
        <v>45712</v>
      </c>
      <c r="C22" s="4">
        <v>2700</v>
      </c>
      <c r="D22" s="4">
        <v>0</v>
      </c>
      <c r="E22" s="21">
        <f>D22/C22</f>
        <v>0</v>
      </c>
      <c r="F22" s="22">
        <f>IF(SUM($C$4:C22)-SUM($D$4:D22)&gt;0, (SUM($C$4:C22)-SUM($D$4:D22))/SUM($C$4:C22), 0)</f>
        <v>0.45612943372744241</v>
      </c>
      <c r="G22" s="42">
        <f>D22-C22</f>
        <v>-2700</v>
      </c>
    </row>
    <row r="23" spans="1:7" x14ac:dyDescent="0.2">
      <c r="A23" s="43">
        <v>20</v>
      </c>
      <c r="B23" s="20">
        <v>45719</v>
      </c>
      <c r="C23" s="4">
        <v>2400</v>
      </c>
      <c r="D23" s="4">
        <v>0</v>
      </c>
      <c r="E23" s="21">
        <f>D23/C23</f>
        <v>0</v>
      </c>
      <c r="F23" s="22">
        <f>IF(SUM($C$4:C23)-SUM($D$4:D23)&gt;0, (SUM($C$4:C23)-SUM($D$4:D23))/SUM($C$4:C23), 0)</f>
        <v>0.4719033232628399</v>
      </c>
      <c r="G23" s="42">
        <f>D23-C23</f>
        <v>-2400</v>
      </c>
    </row>
    <row r="24" spans="1:7" x14ac:dyDescent="0.2">
      <c r="A24" s="43">
        <v>21</v>
      </c>
      <c r="B24" s="20">
        <v>45726</v>
      </c>
      <c r="C24" s="4">
        <v>1200</v>
      </c>
      <c r="D24" s="4">
        <v>0</v>
      </c>
      <c r="E24" s="21">
        <f>D24/C24</f>
        <v>0</v>
      </c>
      <c r="F24" s="22">
        <f>IF(SUM($C$4:C24)-SUM($D$4:D24)&gt;0, (SUM($C$4:C24)-SUM($D$4:D24))/SUM($C$4:C24), 0)</f>
        <v>0.47945205479452052</v>
      </c>
      <c r="G24" s="42">
        <f>D24-C24</f>
        <v>-1200</v>
      </c>
    </row>
    <row r="25" spans="1:7" x14ac:dyDescent="0.2">
      <c r="A25" s="43">
        <v>22</v>
      </c>
      <c r="B25" s="20">
        <v>45733</v>
      </c>
      <c r="C25" s="4">
        <v>300</v>
      </c>
      <c r="D25" s="4"/>
      <c r="E25" s="64">
        <f>D25/C25</f>
        <v>0</v>
      </c>
      <c r="F25" s="22">
        <f>IF(SUM($C$4:C25)-SUM($D$4:D25)&gt;0, (SUM($C$4:C25)-SUM($D$4:D25))/SUM($C$4:C25), 0)</f>
        <v>0.48130563798219583</v>
      </c>
      <c r="G25" s="69">
        <f>D25-C25</f>
        <v>-300</v>
      </c>
    </row>
  </sheetData>
  <mergeCells count="2">
    <mergeCell ref="A1:A2"/>
    <mergeCell ref="B1:E2"/>
  </mergeCells>
  <pageMargins left="0.7" right="0.7" top="0.75" bottom="0.75" header="0.3" footer="0.3"/>
  <drawing r:id="rId1"/>
  <tableParts count="1">
    <tablePart r:id="rId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53100-8A1B-004D-ACD0-FF1C82F3534E}">
  <dimension ref="A1:M25"/>
  <sheetViews>
    <sheetView workbookViewId="0">
      <selection activeCell="D26" sqref="D26"/>
    </sheetView>
  </sheetViews>
  <sheetFormatPr baseColWidth="10" defaultRowHeight="16" x14ac:dyDescent="0.2"/>
  <cols>
    <col min="4" max="4" width="11.5" bestFit="1" customWidth="1"/>
    <col min="5" max="5" width="24" customWidth="1"/>
    <col min="6" max="6" width="13" customWidth="1"/>
    <col min="7" max="7" width="21.33203125" customWidth="1"/>
    <col min="9" max="9" width="29" bestFit="1" customWidth="1"/>
    <col min="10" max="10" width="12.5" bestFit="1" customWidth="1"/>
    <col min="12" max="12" width="17.33203125" bestFit="1" customWidth="1"/>
  </cols>
  <sheetData>
    <row r="1" spans="1:13" x14ac:dyDescent="0.2">
      <c r="A1" s="58" t="s">
        <v>76</v>
      </c>
      <c r="B1" s="55" t="s">
        <v>83</v>
      </c>
      <c r="C1" s="55"/>
      <c r="D1" s="55"/>
      <c r="E1" s="55"/>
    </row>
    <row r="2" spans="1:13" x14ac:dyDescent="0.2">
      <c r="A2" s="58"/>
      <c r="B2" s="60"/>
      <c r="C2" s="60"/>
      <c r="D2" s="60"/>
      <c r="E2" s="60"/>
      <c r="I2" t="s">
        <v>83</v>
      </c>
    </row>
    <row r="3" spans="1:13" x14ac:dyDescent="0.2">
      <c r="A3" s="25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  <c r="I3" s="9" t="s">
        <v>39</v>
      </c>
      <c r="J3" s="16" t="e" cm="1">
        <f t="array" ref="J3">AVERAGE(IF(Table30[Cumplimiento de Meta %]&gt;=100%,1,0))</f>
        <v>#DIV/0!</v>
      </c>
      <c r="L3" t="s">
        <v>41</v>
      </c>
      <c r="M3" s="18">
        <f>(COUNT(Table30[[#All],[Semana]])*7)/30</f>
        <v>5.1333333333333337</v>
      </c>
    </row>
    <row r="4" spans="1:13" x14ac:dyDescent="0.2">
      <c r="A4" s="43">
        <v>1</v>
      </c>
      <c r="B4" s="20">
        <v>45586</v>
      </c>
      <c r="C4" s="4">
        <v>1500</v>
      </c>
      <c r="D4" s="4">
        <v>1500</v>
      </c>
      <c r="E4" s="21">
        <f>D4/C4</f>
        <v>1</v>
      </c>
      <c r="F4" s="22">
        <f>IF(SUM($C$4:C4)-SUM($D$4:D4)&gt;0, (SUM($C$4:C4)-SUM($D$4:D4))/SUM($C$4:C4), 0)</f>
        <v>0</v>
      </c>
      <c r="G4" s="42">
        <f t="shared" ref="G4" si="0">D4-C4</f>
        <v>0</v>
      </c>
      <c r="I4" s="4"/>
      <c r="J4" s="4"/>
    </row>
    <row r="5" spans="1:13" x14ac:dyDescent="0.2">
      <c r="A5" s="43">
        <v>2</v>
      </c>
      <c r="B5" s="20">
        <v>45593</v>
      </c>
      <c r="C5" s="4">
        <v>3000</v>
      </c>
      <c r="D5" s="4">
        <v>3000</v>
      </c>
      <c r="E5" s="21">
        <f t="shared" ref="E5:E19" si="1">D5/C5</f>
        <v>1</v>
      </c>
      <c r="F5" s="22">
        <f>IF(SUM($C$4:C5)-SUM($D$4:D5)&gt;0, (SUM($C$4:C5)-SUM($D$4:D5))/SUM($C$4:C5), 0)</f>
        <v>0</v>
      </c>
      <c r="G5" s="42">
        <f t="shared" ref="G5:G19" si="2">D5-C5</f>
        <v>0</v>
      </c>
      <c r="I5" s="4" t="s">
        <v>21</v>
      </c>
      <c r="J5" s="4">
        <f>SUM(Table30[[#All],[Meta]])</f>
        <v>107200</v>
      </c>
    </row>
    <row r="6" spans="1:13" x14ac:dyDescent="0.2">
      <c r="A6" s="43">
        <v>3</v>
      </c>
      <c r="B6" s="20">
        <v>45600</v>
      </c>
      <c r="C6" s="4">
        <v>4400</v>
      </c>
      <c r="D6" s="4">
        <v>4200</v>
      </c>
      <c r="E6" s="21">
        <f t="shared" si="1"/>
        <v>0.95454545454545459</v>
      </c>
      <c r="F6" s="22">
        <f>IF(SUM($C$4:C6)-SUM($D$4:D6)&gt;0, (SUM($C$4:C6)-SUM($D$4:D6))/SUM($C$4:C6), 0)</f>
        <v>2.247191011235955E-2</v>
      </c>
      <c r="G6" s="42">
        <f t="shared" si="2"/>
        <v>-200</v>
      </c>
      <c r="I6" s="4" t="s">
        <v>22</v>
      </c>
      <c r="J6" s="4">
        <f>SUM(Table30[[#All],[Cobranza]])</f>
        <v>77900</v>
      </c>
    </row>
    <row r="7" spans="1:13" x14ac:dyDescent="0.2">
      <c r="A7" s="43">
        <v>4</v>
      </c>
      <c r="B7" s="20">
        <v>45607</v>
      </c>
      <c r="C7" s="4">
        <v>5600</v>
      </c>
      <c r="D7" s="4">
        <v>5500</v>
      </c>
      <c r="E7" s="21">
        <f t="shared" si="1"/>
        <v>0.9821428571428571</v>
      </c>
      <c r="F7" s="22">
        <f>IF(SUM($C$4:C7)-SUM($D$4:D7)&gt;0, (SUM($C$4:C7)-SUM($D$4:D7))/SUM($C$4:C7), 0)</f>
        <v>2.0689655172413793E-2</v>
      </c>
      <c r="G7" s="42">
        <f t="shared" si="2"/>
        <v>-100</v>
      </c>
      <c r="I7" s="4" t="s">
        <v>23</v>
      </c>
      <c r="J7" s="4">
        <f>SUM(Table30[[#All],[Didiferencia Absoluta]])</f>
        <v>-29300</v>
      </c>
    </row>
    <row r="8" spans="1:13" x14ac:dyDescent="0.2">
      <c r="A8" s="43">
        <v>5</v>
      </c>
      <c r="B8" s="20">
        <v>45614</v>
      </c>
      <c r="C8" s="4">
        <v>6800</v>
      </c>
      <c r="D8" s="4">
        <v>3800</v>
      </c>
      <c r="E8" s="21">
        <f t="shared" si="1"/>
        <v>0.55882352941176472</v>
      </c>
      <c r="F8" s="22">
        <f>IF(SUM($C$4:C8)-SUM($D$4:D8)&gt;0, (SUM($C$4:C8)-SUM($D$4:D8))/SUM($C$4:C8), 0)</f>
        <v>0.15492957746478872</v>
      </c>
      <c r="G8" s="42">
        <f t="shared" si="2"/>
        <v>-3000</v>
      </c>
      <c r="I8" t="s">
        <v>24</v>
      </c>
      <c r="J8" s="16">
        <f>(J7/J5)*-1</f>
        <v>0.27332089552238809</v>
      </c>
    </row>
    <row r="9" spans="1:13" x14ac:dyDescent="0.2">
      <c r="A9" s="43">
        <v>6</v>
      </c>
      <c r="B9" s="20">
        <v>45621</v>
      </c>
      <c r="C9" s="4">
        <v>6800</v>
      </c>
      <c r="D9" s="4">
        <v>6900</v>
      </c>
      <c r="E9" s="21">
        <f t="shared" si="1"/>
        <v>1.0147058823529411</v>
      </c>
      <c r="F9" s="22">
        <f>IF(SUM($C$4:C9)-SUM($D$4:D9)&gt;0, (SUM($C$4:C9)-SUM($D$4:D9))/SUM($C$4:C9), 0)</f>
        <v>0.11387900355871886</v>
      </c>
      <c r="G9" s="42">
        <f t="shared" si="2"/>
        <v>100</v>
      </c>
    </row>
    <row r="10" spans="1:13" x14ac:dyDescent="0.2">
      <c r="A10" s="43">
        <v>7</v>
      </c>
      <c r="B10" s="20">
        <v>45628</v>
      </c>
      <c r="C10" s="4">
        <v>7700</v>
      </c>
      <c r="D10" s="4">
        <v>7300</v>
      </c>
      <c r="E10" s="21">
        <f t="shared" si="1"/>
        <v>0.94805194805194803</v>
      </c>
      <c r="F10" s="22">
        <f>IF(SUM($C$4:C10)-SUM($D$4:D10)&gt;0, (SUM($C$4:C10)-SUM($D$4:D10))/SUM($C$4:C10), 0)</f>
        <v>0.1005586592178771</v>
      </c>
      <c r="G10" s="42">
        <f t="shared" si="2"/>
        <v>-400</v>
      </c>
    </row>
    <row r="11" spans="1:13" x14ac:dyDescent="0.2">
      <c r="A11" s="43">
        <v>8</v>
      </c>
      <c r="B11" s="20">
        <v>45635</v>
      </c>
      <c r="C11" s="4">
        <v>7700</v>
      </c>
      <c r="D11" s="4">
        <v>6900</v>
      </c>
      <c r="E11" s="21">
        <f t="shared" si="1"/>
        <v>0.89610389610389607</v>
      </c>
      <c r="F11" s="22">
        <f>IF(SUM($C$4:C11)-SUM($D$4:D11)&gt;0, (SUM($C$4:C11)-SUM($D$4:D11))/SUM($C$4:C11), 0)</f>
        <v>0.10114942528735632</v>
      </c>
      <c r="G11" s="42">
        <f t="shared" si="2"/>
        <v>-800</v>
      </c>
    </row>
    <row r="12" spans="1:13" x14ac:dyDescent="0.2">
      <c r="A12" s="43">
        <v>9</v>
      </c>
      <c r="B12" s="20">
        <v>45642</v>
      </c>
      <c r="C12" s="4">
        <v>7700</v>
      </c>
      <c r="D12" s="4">
        <v>7100</v>
      </c>
      <c r="E12" s="21">
        <f t="shared" si="1"/>
        <v>0.92207792207792205</v>
      </c>
      <c r="F12" s="22">
        <f>IF(SUM($C$4:C12)-SUM($D$4:D12)&gt;0, (SUM($C$4:C12)-SUM($D$4:D12))/SUM($C$4:C12), 0)</f>
        <v>9.765625E-2</v>
      </c>
      <c r="G12" s="42">
        <f t="shared" si="2"/>
        <v>-600</v>
      </c>
    </row>
    <row r="13" spans="1:13" x14ac:dyDescent="0.2">
      <c r="A13" s="43">
        <v>10</v>
      </c>
      <c r="B13" s="20">
        <v>45649</v>
      </c>
      <c r="C13" s="4">
        <v>7700</v>
      </c>
      <c r="D13" s="4">
        <v>5400</v>
      </c>
      <c r="E13" s="21">
        <f t="shared" si="1"/>
        <v>0.70129870129870131</v>
      </c>
      <c r="F13" s="22">
        <f>IF(SUM($C$4:C13)-SUM($D$4:D13)&gt;0, (SUM($C$4:C13)-SUM($D$4:D13))/SUM($C$4:C13), 0)</f>
        <v>0.12393887945670629</v>
      </c>
      <c r="G13" s="42">
        <f t="shared" si="2"/>
        <v>-2300</v>
      </c>
    </row>
    <row r="14" spans="1:13" x14ac:dyDescent="0.2">
      <c r="A14" s="43">
        <v>11</v>
      </c>
      <c r="B14" s="20">
        <v>45656</v>
      </c>
      <c r="C14" s="4">
        <v>7700</v>
      </c>
      <c r="D14" s="4">
        <v>4300</v>
      </c>
      <c r="E14" s="21">
        <f t="shared" si="1"/>
        <v>0.55844155844155841</v>
      </c>
      <c r="F14" s="22">
        <f>IF(SUM($C$4:C14)-SUM($D$4:D14)&gt;0, (SUM($C$4:C14)-SUM($D$4:D14))/SUM($C$4:C14), 0)</f>
        <v>0.16066066066066065</v>
      </c>
      <c r="G14" s="42">
        <f t="shared" si="2"/>
        <v>-3400</v>
      </c>
    </row>
    <row r="15" spans="1:13" x14ac:dyDescent="0.2">
      <c r="A15" s="43">
        <v>12</v>
      </c>
      <c r="B15" s="20">
        <v>45663</v>
      </c>
      <c r="C15" s="4">
        <v>7700</v>
      </c>
      <c r="D15" s="4">
        <v>0</v>
      </c>
      <c r="E15" s="21">
        <f t="shared" si="1"/>
        <v>0</v>
      </c>
      <c r="F15" s="22">
        <f>IF(SUM($C$4:C15)-SUM($D$4:D15)&gt;0, (SUM($C$4:C15)-SUM($D$4:D15))/SUM($C$4:C15), 0)</f>
        <v>0.24764468371467024</v>
      </c>
      <c r="G15" s="42">
        <f t="shared" si="2"/>
        <v>-7700</v>
      </c>
    </row>
    <row r="16" spans="1:13" x14ac:dyDescent="0.2">
      <c r="A16" s="43">
        <v>13</v>
      </c>
      <c r="B16" s="20">
        <v>45670</v>
      </c>
      <c r="C16" s="4">
        <v>7700</v>
      </c>
      <c r="D16" s="4">
        <v>0</v>
      </c>
      <c r="E16" s="21">
        <f t="shared" si="1"/>
        <v>0</v>
      </c>
      <c r="F16" s="22">
        <f>IF(SUM($C$4:C16)-SUM($D$4:D16)&gt;0, (SUM($C$4:C16)-SUM($D$4:D16))/SUM($C$4:C16), 0)</f>
        <v>0.31829268292682927</v>
      </c>
      <c r="G16" s="42">
        <f t="shared" si="2"/>
        <v>-7700</v>
      </c>
    </row>
    <row r="17" spans="1:7" x14ac:dyDescent="0.2">
      <c r="A17" s="43">
        <v>14</v>
      </c>
      <c r="B17" s="20">
        <v>45677</v>
      </c>
      <c r="C17" s="4">
        <v>7400</v>
      </c>
      <c r="D17" s="4">
        <v>14600</v>
      </c>
      <c r="E17" s="21">
        <f t="shared" si="1"/>
        <v>1.972972972972973</v>
      </c>
      <c r="F17" s="22">
        <f>IF(SUM($C$4:C17)-SUM($D$4:D17)&gt;0, (SUM($C$4:C17)-SUM($D$4:D17))/SUM($C$4:C17), 0)</f>
        <v>0.21140939597315436</v>
      </c>
      <c r="G17" s="42">
        <f t="shared" si="2"/>
        <v>7200</v>
      </c>
    </row>
    <row r="18" spans="1:7" x14ac:dyDescent="0.2">
      <c r="A18" s="43">
        <v>15</v>
      </c>
      <c r="B18" s="20">
        <v>45684</v>
      </c>
      <c r="C18" s="4">
        <v>5900</v>
      </c>
      <c r="D18" s="4">
        <v>2600</v>
      </c>
      <c r="E18" s="21">
        <f t="shared" si="1"/>
        <v>0.44067796610169491</v>
      </c>
      <c r="F18" s="22">
        <f>IF(SUM($C$4:C18)-SUM($D$4:D18)&gt;0, (SUM($C$4:C18)-SUM($D$4:D18))/SUM($C$4:C18), 0)</f>
        <v>0.23294858342077648</v>
      </c>
      <c r="G18" s="42">
        <f t="shared" si="2"/>
        <v>-3300</v>
      </c>
    </row>
    <row r="19" spans="1:7" x14ac:dyDescent="0.2">
      <c r="A19" s="43">
        <v>16</v>
      </c>
      <c r="B19" s="20">
        <v>45691</v>
      </c>
      <c r="C19" s="4">
        <v>4700</v>
      </c>
      <c r="D19" s="4">
        <v>2100</v>
      </c>
      <c r="E19" s="21">
        <f t="shared" si="1"/>
        <v>0.44680851063829785</v>
      </c>
      <c r="F19" s="22">
        <f>IF(SUM($C$4:C19)-SUM($D$4:D19)&gt;0, (SUM($C$4:C19)-SUM($D$4:D19))/SUM($C$4:C19), 0)</f>
        <v>0.248</v>
      </c>
      <c r="G19" s="42">
        <f t="shared" si="2"/>
        <v>-2600</v>
      </c>
    </row>
    <row r="20" spans="1:7" x14ac:dyDescent="0.2">
      <c r="A20" s="43">
        <v>17</v>
      </c>
      <c r="B20" s="20">
        <v>45698</v>
      </c>
      <c r="C20" s="4">
        <v>3300</v>
      </c>
      <c r="D20" s="4">
        <v>1800</v>
      </c>
      <c r="E20" s="21">
        <f>D20/C20</f>
        <v>0.54545454545454541</v>
      </c>
      <c r="F20" s="22">
        <f>IF(SUM($C$4:C20)-SUM($D$4:D20)&gt;0, (SUM($C$4:C20)-SUM($D$4:D20))/SUM($C$4:C20), 0)</f>
        <v>0.25459825750242016</v>
      </c>
      <c r="G20" s="42">
        <f>D20-C20</f>
        <v>-1500</v>
      </c>
    </row>
    <row r="21" spans="1:7" x14ac:dyDescent="0.2">
      <c r="A21" s="43">
        <v>18</v>
      </c>
      <c r="B21" s="20">
        <v>45705</v>
      </c>
      <c r="C21" s="4">
        <v>2100</v>
      </c>
      <c r="D21" s="4">
        <v>900</v>
      </c>
      <c r="E21" s="21">
        <f>D21/C21</f>
        <v>0.42857142857142855</v>
      </c>
      <c r="F21" s="22">
        <f>IF(SUM($C$4:C21)-SUM($D$4:D21)&gt;0, (SUM($C$4:C21)-SUM($D$4:D21))/SUM($C$4:C21), 0)</f>
        <v>0.26091081593927895</v>
      </c>
      <c r="G21" s="42">
        <f>D21-C21</f>
        <v>-1200</v>
      </c>
    </row>
    <row r="22" spans="1:7" x14ac:dyDescent="0.2">
      <c r="A22" s="43">
        <v>19</v>
      </c>
      <c r="B22" s="20">
        <v>45712</v>
      </c>
      <c r="C22" s="4">
        <v>900</v>
      </c>
      <c r="D22" s="4">
        <v>0</v>
      </c>
      <c r="E22" s="21">
        <f>D22/C22</f>
        <v>0</v>
      </c>
      <c r="F22" s="22">
        <f>IF(SUM($C$4:C25)-SUM($D$4:D25)&gt;0, (SUM($C$4:C25)-SUM($D$4:D25))/SUM($C$4:C25), 0)</f>
        <v>0.27332089552238809</v>
      </c>
      <c r="G22" s="42">
        <f>D22-C22</f>
        <v>-900</v>
      </c>
    </row>
    <row r="23" spans="1:7" x14ac:dyDescent="0.2">
      <c r="A23" s="43">
        <v>20</v>
      </c>
      <c r="B23" s="20">
        <v>45719</v>
      </c>
      <c r="C23" s="4">
        <v>900</v>
      </c>
      <c r="D23" s="4">
        <v>0</v>
      </c>
      <c r="E23" s="21">
        <f>D23/C23</f>
        <v>0</v>
      </c>
      <c r="F23" s="22">
        <f>IF(SUM($C$4:C25)-SUM($D$4:D25)&gt;0, (SUM($C$4:C25)-SUM($D$4:D25))/SUM($C$4:C25), 0)</f>
        <v>0.27332089552238809</v>
      </c>
      <c r="G23" s="42">
        <f>D23-C23</f>
        <v>-900</v>
      </c>
    </row>
    <row r="24" spans="1:7" x14ac:dyDescent="0.2">
      <c r="A24" s="43">
        <v>21</v>
      </c>
      <c r="B24" s="20">
        <v>45726</v>
      </c>
      <c r="C24" s="4">
        <v>0</v>
      </c>
      <c r="D24" s="4">
        <v>0</v>
      </c>
      <c r="E24" s="21" t="e">
        <f>D24/C24</f>
        <v>#DIV/0!</v>
      </c>
      <c r="F24" s="22">
        <f>IF(SUM($C$4:C25)-SUM($D$4:D25)&gt;0, (SUM($C$4:C25)-SUM($D$4:D25))/SUM($C$4:C25), 0)</f>
        <v>0.27332089552238809</v>
      </c>
      <c r="G24" s="42">
        <f>D24-C24</f>
        <v>0</v>
      </c>
    </row>
    <row r="25" spans="1:7" x14ac:dyDescent="0.2">
      <c r="A25" s="43">
        <v>22</v>
      </c>
      <c r="B25" s="20">
        <v>45733</v>
      </c>
      <c r="C25" s="4">
        <v>0</v>
      </c>
      <c r="D25" s="4"/>
      <c r="E25" s="64" t="e">
        <f>D25/C25</f>
        <v>#DIV/0!</v>
      </c>
      <c r="F25" s="22">
        <f>IF(SUM($C$4:C25)-SUM($D$4:D25)&gt;0, (SUM($C$4:C25)-SUM($D$4:D25))/SUM($C$4:C25), 0)</f>
        <v>0.27332089552238809</v>
      </c>
      <c r="G25" s="69">
        <f>D25-C25</f>
        <v>0</v>
      </c>
    </row>
  </sheetData>
  <mergeCells count="2">
    <mergeCell ref="A1:A2"/>
    <mergeCell ref="B1:E2"/>
  </mergeCells>
  <pageMargins left="0.7" right="0.7" top="0.75" bottom="0.75" header="0.3" footer="0.3"/>
  <drawing r:id="rId1"/>
  <tableParts count="1">
    <tablePart r:id="rId2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0C5-A54A-4141-BA23-51E01BCC53F6}">
  <dimension ref="A1:M25"/>
  <sheetViews>
    <sheetView workbookViewId="0">
      <selection activeCell="E30" sqref="E30"/>
    </sheetView>
  </sheetViews>
  <sheetFormatPr baseColWidth="10" defaultRowHeight="16" x14ac:dyDescent="0.2"/>
  <cols>
    <col min="3" max="3" width="13" customWidth="1"/>
    <col min="4" max="4" width="12.5" customWidth="1"/>
    <col min="5" max="5" width="24" customWidth="1"/>
    <col min="6" max="6" width="13" customWidth="1"/>
    <col min="7" max="7" width="21.33203125" customWidth="1"/>
    <col min="9" max="9" width="36.1640625" bestFit="1" customWidth="1"/>
    <col min="10" max="10" width="12.5" bestFit="1" customWidth="1"/>
    <col min="12" max="12" width="17.33203125" bestFit="1" customWidth="1"/>
  </cols>
  <sheetData>
    <row r="1" spans="1:13" x14ac:dyDescent="0.2">
      <c r="A1" s="58" t="s">
        <v>77</v>
      </c>
      <c r="B1" s="55" t="s">
        <v>84</v>
      </c>
      <c r="C1" s="55"/>
      <c r="D1" s="55"/>
      <c r="E1" s="55"/>
    </row>
    <row r="2" spans="1:13" x14ac:dyDescent="0.2">
      <c r="A2" s="58"/>
      <c r="B2" s="60"/>
      <c r="C2" s="60"/>
      <c r="D2" s="60"/>
      <c r="E2" s="60"/>
      <c r="I2" t="s">
        <v>84</v>
      </c>
    </row>
    <row r="3" spans="1:13" x14ac:dyDescent="0.2">
      <c r="A3" s="25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  <c r="I3" s="9" t="s">
        <v>39</v>
      </c>
      <c r="J3" s="16" cm="1">
        <f t="array" ref="J3">AVERAGE(IF(Table31[Cumplimiento de Meta %]&gt;=100%,1,0))</f>
        <v>0.18181818181818182</v>
      </c>
      <c r="L3" t="s">
        <v>41</v>
      </c>
      <c r="M3" s="18">
        <f>(COUNT(Table31[[#All],[Semana]])*7)/30</f>
        <v>5.1333333333333337</v>
      </c>
    </row>
    <row r="4" spans="1:13" x14ac:dyDescent="0.2">
      <c r="A4" s="43">
        <v>1</v>
      </c>
      <c r="B4" s="20">
        <v>45586</v>
      </c>
      <c r="C4" s="4">
        <v>0</v>
      </c>
      <c r="D4" s="4">
        <v>0</v>
      </c>
      <c r="E4" s="21">
        <v>1</v>
      </c>
      <c r="F4" s="22">
        <f>IF(SUM($C$4:C4)-SUM($D$4:D4)&gt;0, (SUM($C$4:C4)-SUM($D$4:D4))/SUM($C$4:C4), 0)</f>
        <v>0</v>
      </c>
      <c r="G4" s="42">
        <f t="shared" ref="G4" si="0">D4-C4</f>
        <v>0</v>
      </c>
      <c r="I4" s="4"/>
      <c r="J4" s="4"/>
    </row>
    <row r="5" spans="1:13" x14ac:dyDescent="0.2">
      <c r="A5" s="43">
        <v>2</v>
      </c>
      <c r="B5" s="20">
        <v>45593</v>
      </c>
      <c r="C5" s="4">
        <v>400</v>
      </c>
      <c r="D5" s="4">
        <v>400</v>
      </c>
      <c r="E5" s="21">
        <f t="shared" ref="E5:E18" si="1">D5/C5</f>
        <v>1</v>
      </c>
      <c r="F5" s="22">
        <f>IF(SUM($C$4:C5)-SUM($D$4:D5)&gt;0, (SUM($C$4:C5)-SUM($D$4:D5))/SUM($C$4:C5), 0)</f>
        <v>0</v>
      </c>
      <c r="G5" s="42">
        <f t="shared" ref="G5:G19" si="2">D5-C5</f>
        <v>0</v>
      </c>
      <c r="I5" s="4" t="s">
        <v>21</v>
      </c>
      <c r="J5" s="4">
        <f>SUM(Table31[[#All],[Meta]])</f>
        <v>5600</v>
      </c>
    </row>
    <row r="6" spans="1:13" x14ac:dyDescent="0.2">
      <c r="A6" s="43">
        <v>3</v>
      </c>
      <c r="B6" s="20">
        <v>45600</v>
      </c>
      <c r="C6" s="4">
        <v>400</v>
      </c>
      <c r="D6" s="4">
        <v>100</v>
      </c>
      <c r="E6" s="21">
        <f t="shared" si="1"/>
        <v>0.25</v>
      </c>
      <c r="F6" s="22">
        <f>IF(SUM($C$4:C6)-SUM($D$4:D6)&gt;0, (SUM($C$4:C6)-SUM($D$4:D6))/SUM($C$4:C6), 0)</f>
        <v>0.375</v>
      </c>
      <c r="G6" s="42">
        <f t="shared" si="2"/>
        <v>-300</v>
      </c>
      <c r="I6" s="4" t="s">
        <v>22</v>
      </c>
      <c r="J6" s="4">
        <f>SUM(Table31[[#All],[Cobranza]])</f>
        <v>1700</v>
      </c>
    </row>
    <row r="7" spans="1:13" x14ac:dyDescent="0.2">
      <c r="A7" s="43">
        <v>4</v>
      </c>
      <c r="B7" s="20">
        <v>45607</v>
      </c>
      <c r="C7" s="4">
        <v>400</v>
      </c>
      <c r="D7" s="4">
        <v>300</v>
      </c>
      <c r="E7" s="21">
        <f t="shared" si="1"/>
        <v>0.75</v>
      </c>
      <c r="F7" s="22">
        <f>IF(SUM($C$4:C7)-SUM($D$4:D7)&gt;0, (SUM($C$4:C7)-SUM($D$4:D7))/SUM($C$4:C7), 0)</f>
        <v>0.33333333333333331</v>
      </c>
      <c r="G7" s="42">
        <f t="shared" si="2"/>
        <v>-100</v>
      </c>
      <c r="I7" s="4" t="s">
        <v>23</v>
      </c>
      <c r="J7" s="4">
        <f>SUM(Table31[[#All],[Didiferencia Absoluta]])</f>
        <v>-3900</v>
      </c>
    </row>
    <row r="8" spans="1:13" x14ac:dyDescent="0.2">
      <c r="A8" s="43">
        <v>5</v>
      </c>
      <c r="B8" s="20">
        <v>45614</v>
      </c>
      <c r="C8" s="4">
        <v>400</v>
      </c>
      <c r="D8" s="4">
        <v>200</v>
      </c>
      <c r="E8" s="21">
        <f t="shared" si="1"/>
        <v>0.5</v>
      </c>
      <c r="F8" s="22">
        <f>IF(SUM($C$4:C8)-SUM($D$4:D8)&gt;0, (SUM($C$4:C8)-SUM($D$4:D8))/SUM($C$4:C8), 0)</f>
        <v>0.375</v>
      </c>
      <c r="G8" s="42">
        <f t="shared" si="2"/>
        <v>-200</v>
      </c>
      <c r="I8" t="s">
        <v>24</v>
      </c>
      <c r="J8" s="16">
        <f>(J7/J5)*-1</f>
        <v>0.6964285714285714</v>
      </c>
    </row>
    <row r="9" spans="1:13" x14ac:dyDescent="0.2">
      <c r="A9" s="43">
        <v>6</v>
      </c>
      <c r="B9" s="20">
        <v>45621</v>
      </c>
      <c r="C9" s="4">
        <v>400</v>
      </c>
      <c r="D9" s="4">
        <v>100</v>
      </c>
      <c r="E9" s="21">
        <f t="shared" si="1"/>
        <v>0.25</v>
      </c>
      <c r="F9" s="22">
        <f>IF(SUM($C$4:C9)-SUM($D$4:D9)&gt;0, (SUM($C$4:C9)-SUM($D$4:D9))/SUM($C$4:C9), 0)</f>
        <v>0.45</v>
      </c>
      <c r="G9" s="42">
        <f t="shared" si="2"/>
        <v>-300</v>
      </c>
    </row>
    <row r="10" spans="1:13" x14ac:dyDescent="0.2">
      <c r="A10" s="43">
        <v>7</v>
      </c>
      <c r="B10" s="20">
        <v>45628</v>
      </c>
      <c r="C10" s="4">
        <v>400</v>
      </c>
      <c r="D10" s="4">
        <v>100</v>
      </c>
      <c r="E10" s="21">
        <f t="shared" si="1"/>
        <v>0.25</v>
      </c>
      <c r="F10" s="22">
        <f>IF(SUM($C$4:C10)-SUM($D$4:D10)&gt;0, (SUM($C$4:C10)-SUM($D$4:D10))/SUM($C$4:C10), 0)</f>
        <v>0.5</v>
      </c>
      <c r="G10" s="42">
        <f t="shared" si="2"/>
        <v>-300</v>
      </c>
    </row>
    <row r="11" spans="1:13" x14ac:dyDescent="0.2">
      <c r="A11" s="43">
        <v>8</v>
      </c>
      <c r="B11" s="20">
        <v>45635</v>
      </c>
      <c r="C11" s="4">
        <v>400</v>
      </c>
      <c r="D11" s="4">
        <v>500</v>
      </c>
      <c r="E11" s="21">
        <f t="shared" si="1"/>
        <v>1.25</v>
      </c>
      <c r="F11" s="22">
        <f>IF(SUM($C$4:C11)-SUM($D$4:D11)&gt;0, (SUM($C$4:C11)-SUM($D$4:D11))/SUM($C$4:C11), 0)</f>
        <v>0.39285714285714285</v>
      </c>
      <c r="G11" s="42">
        <f t="shared" si="2"/>
        <v>100</v>
      </c>
    </row>
    <row r="12" spans="1:13" x14ac:dyDescent="0.2">
      <c r="A12" s="43">
        <v>9</v>
      </c>
      <c r="B12" s="20">
        <v>45642</v>
      </c>
      <c r="C12" s="4">
        <v>400</v>
      </c>
      <c r="D12" s="4">
        <v>0</v>
      </c>
      <c r="E12" s="21">
        <f t="shared" si="1"/>
        <v>0</v>
      </c>
      <c r="F12" s="22">
        <f>IF(SUM($C$4:C12)-SUM($D$4:D12)&gt;0, (SUM($C$4:C12)-SUM($D$4:D12))/SUM($C$4:C12), 0)</f>
        <v>0.46875</v>
      </c>
      <c r="G12" s="42">
        <f t="shared" si="2"/>
        <v>-400</v>
      </c>
    </row>
    <row r="13" spans="1:13" x14ac:dyDescent="0.2">
      <c r="A13" s="43">
        <v>10</v>
      </c>
      <c r="B13" s="20">
        <v>45649</v>
      </c>
      <c r="C13" s="4">
        <v>400</v>
      </c>
      <c r="D13" s="4">
        <v>0</v>
      </c>
      <c r="E13" s="21">
        <f t="shared" si="1"/>
        <v>0</v>
      </c>
      <c r="F13" s="22">
        <f>IF(SUM($C$4:C13)-SUM($D$4:D13)&gt;0, (SUM($C$4:C13)-SUM($D$4:D13))/SUM($C$4:C13), 0)</f>
        <v>0.52777777777777779</v>
      </c>
      <c r="G13" s="42">
        <f t="shared" si="2"/>
        <v>-400</v>
      </c>
    </row>
    <row r="14" spans="1:13" x14ac:dyDescent="0.2">
      <c r="A14" s="43">
        <v>11</v>
      </c>
      <c r="B14" s="20">
        <v>45656</v>
      </c>
      <c r="C14" s="4">
        <v>400</v>
      </c>
      <c r="D14" s="4">
        <v>0</v>
      </c>
      <c r="E14" s="21">
        <f t="shared" si="1"/>
        <v>0</v>
      </c>
      <c r="F14" s="22">
        <f>IF(SUM($C$4:C14)-SUM($D$4:D14)&gt;0, (SUM($C$4:C14)-SUM($D$4:D14))/SUM($C$4:C14), 0)</f>
        <v>0.57499999999999996</v>
      </c>
      <c r="G14" s="42">
        <f t="shared" si="2"/>
        <v>-400</v>
      </c>
    </row>
    <row r="15" spans="1:13" x14ac:dyDescent="0.2">
      <c r="A15" s="43">
        <v>12</v>
      </c>
      <c r="B15" s="20">
        <v>45663</v>
      </c>
      <c r="C15" s="4">
        <v>400</v>
      </c>
      <c r="D15" s="4">
        <v>0</v>
      </c>
      <c r="E15" s="21">
        <f t="shared" si="1"/>
        <v>0</v>
      </c>
      <c r="F15" s="22">
        <f>IF(SUM($C$4:C15)-SUM($D$4:D15)&gt;0, (SUM($C$4:C15)-SUM($D$4:D15))/SUM($C$4:C15), 0)</f>
        <v>0.61363636363636365</v>
      </c>
      <c r="G15" s="42">
        <f t="shared" si="2"/>
        <v>-400</v>
      </c>
    </row>
    <row r="16" spans="1:13" x14ac:dyDescent="0.2">
      <c r="A16" s="43">
        <v>13</v>
      </c>
      <c r="B16" s="20">
        <v>45670</v>
      </c>
      <c r="C16" s="4">
        <v>400</v>
      </c>
      <c r="D16" s="4">
        <v>0</v>
      </c>
      <c r="E16" s="21">
        <f t="shared" si="1"/>
        <v>0</v>
      </c>
      <c r="F16" s="22">
        <f>IF(SUM($C$4:C16)-SUM($D$4:D16)&gt;0, (SUM($C$4:C16)-SUM($D$4:D16))/SUM($C$4:C16), 0)</f>
        <v>0.64583333333333337</v>
      </c>
      <c r="G16" s="42">
        <f t="shared" si="2"/>
        <v>-400</v>
      </c>
    </row>
    <row r="17" spans="1:7" x14ac:dyDescent="0.2">
      <c r="A17" s="43">
        <v>14</v>
      </c>
      <c r="B17" s="20">
        <v>45677</v>
      </c>
      <c r="C17" s="4">
        <v>400</v>
      </c>
      <c r="D17" s="4">
        <v>0</v>
      </c>
      <c r="E17" s="21">
        <f t="shared" si="1"/>
        <v>0</v>
      </c>
      <c r="F17" s="22">
        <f>IF(SUM($C$4:C17)-SUM($D$4:D17)&gt;0, (SUM($C$4:C17)-SUM($D$4:D17))/SUM($C$4:C17), 0)</f>
        <v>0.67307692307692313</v>
      </c>
      <c r="G17" s="42">
        <f t="shared" si="2"/>
        <v>-400</v>
      </c>
    </row>
    <row r="18" spans="1:7" x14ac:dyDescent="0.2">
      <c r="A18" s="43">
        <v>15</v>
      </c>
      <c r="B18" s="20">
        <v>45684</v>
      </c>
      <c r="C18" s="4">
        <v>400</v>
      </c>
      <c r="D18" s="4">
        <v>0</v>
      </c>
      <c r="E18" s="21">
        <f t="shared" si="1"/>
        <v>0</v>
      </c>
      <c r="F18" s="22">
        <f>IF(SUM($C$4:C18)-SUM($D$4:D18)&gt;0, (SUM($C$4:C18)-SUM($D$4:D18))/SUM($C$4:C18), 0)</f>
        <v>0.6964285714285714</v>
      </c>
      <c r="G18" s="42">
        <f t="shared" si="2"/>
        <v>-400</v>
      </c>
    </row>
    <row r="19" spans="1:7" x14ac:dyDescent="0.2">
      <c r="A19" s="43">
        <v>16</v>
      </c>
      <c r="B19" s="20">
        <v>45691</v>
      </c>
      <c r="C19" s="4">
        <v>0</v>
      </c>
      <c r="D19" s="4">
        <v>0</v>
      </c>
      <c r="E19" s="21">
        <v>1</v>
      </c>
      <c r="F19" s="22">
        <f>IF(SUM($C$4:C19)-SUM($D$4:D19)&gt;0, (SUM($C$4:C19)-SUM($D$4:D19))/SUM($C$4:C19), 0)</f>
        <v>0.6964285714285714</v>
      </c>
      <c r="G19" s="42">
        <f t="shared" si="2"/>
        <v>0</v>
      </c>
    </row>
    <row r="20" spans="1:7" x14ac:dyDescent="0.2">
      <c r="A20" s="43">
        <v>17</v>
      </c>
      <c r="B20" s="20">
        <v>45698</v>
      </c>
      <c r="C20" s="4">
        <v>0</v>
      </c>
      <c r="D20" s="4">
        <v>0</v>
      </c>
      <c r="E20" s="21"/>
      <c r="F20" s="22">
        <f>IF(SUM($C$4:C20)-SUM($D$4:D20)&gt;0, (SUM($C$4:C20)-SUM($D$4:D20))/SUM($C$4:C20), 0)</f>
        <v>0.6964285714285714</v>
      </c>
      <c r="G20" s="42">
        <f>D20-C20</f>
        <v>0</v>
      </c>
    </row>
    <row r="21" spans="1:7" x14ac:dyDescent="0.2">
      <c r="A21" s="43">
        <v>18</v>
      </c>
      <c r="B21" s="20">
        <v>45705</v>
      </c>
      <c r="C21" s="4">
        <v>0</v>
      </c>
      <c r="D21" s="4">
        <v>0</v>
      </c>
      <c r="E21" s="21"/>
      <c r="F21" s="22">
        <f>IF(SUM($C$4:C21)-SUM($D$4:D21)&gt;0, (SUM($C$4:C21)-SUM($D$4:D21))/SUM($C$4:C21), 0)</f>
        <v>0.6964285714285714</v>
      </c>
      <c r="G21" s="42">
        <f>D21-C21</f>
        <v>0</v>
      </c>
    </row>
    <row r="22" spans="1:7" x14ac:dyDescent="0.2">
      <c r="A22" s="43">
        <v>19</v>
      </c>
      <c r="B22" s="20">
        <v>45712</v>
      </c>
      <c r="C22" s="4">
        <v>0</v>
      </c>
      <c r="D22" s="4">
        <v>0</v>
      </c>
      <c r="E22" s="21"/>
      <c r="F22" s="22">
        <f>IF(SUM($C$4:C22)-SUM($D$4:D22)&gt;0, (SUM($C$4:C22)-SUM($D$4:D22))/SUM($C$4:C22), 0)</f>
        <v>0.6964285714285714</v>
      </c>
      <c r="G22" s="42">
        <f>D22-C22</f>
        <v>0</v>
      </c>
    </row>
    <row r="23" spans="1:7" x14ac:dyDescent="0.2">
      <c r="A23" s="43">
        <v>20</v>
      </c>
      <c r="B23" s="20">
        <v>45719</v>
      </c>
      <c r="C23" s="4">
        <v>0</v>
      </c>
      <c r="D23" s="4">
        <v>0</v>
      </c>
      <c r="E23" s="21"/>
      <c r="F23" s="22">
        <f>IF(SUM($C$4:C23)-SUM($D$4:D23)&gt;0, (SUM($C$4:C23)-SUM($D$4:D23))/SUM($C$4:C23), 0)</f>
        <v>0.6964285714285714</v>
      </c>
      <c r="G23" s="42">
        <f>D23-C23</f>
        <v>0</v>
      </c>
    </row>
    <row r="24" spans="1:7" x14ac:dyDescent="0.2">
      <c r="A24" s="43">
        <v>21</v>
      </c>
      <c r="B24" s="20">
        <v>45726</v>
      </c>
      <c r="C24" s="4">
        <v>0</v>
      </c>
      <c r="D24" s="4">
        <v>0</v>
      </c>
      <c r="E24" s="21"/>
      <c r="F24" s="22">
        <f>IF(SUM($C$4:C24)-SUM($D$4:D24)&gt;0, (SUM($C$4:C24)-SUM($D$4:D24))/SUM($C$4:C24), 0)</f>
        <v>0.6964285714285714</v>
      </c>
      <c r="G24" s="42">
        <f>D24-C24</f>
        <v>0</v>
      </c>
    </row>
    <row r="25" spans="1:7" x14ac:dyDescent="0.2">
      <c r="A25" s="43">
        <v>22</v>
      </c>
      <c r="B25" s="20">
        <v>45733</v>
      </c>
      <c r="C25" s="4">
        <v>0</v>
      </c>
      <c r="D25" s="4"/>
      <c r="E25" s="64"/>
      <c r="F25" s="22">
        <f>IF(SUM($C$4:C25)-SUM($D$4:D25)&gt;0, (SUM($C$4:C25)-SUM($D$4:D25))/SUM($C$4:C25), 0)</f>
        <v>0.6964285714285714</v>
      </c>
      <c r="G25" s="69">
        <f>D25-C25</f>
        <v>0</v>
      </c>
    </row>
  </sheetData>
  <mergeCells count="2">
    <mergeCell ref="A1:A2"/>
    <mergeCell ref="B1:E2"/>
  </mergeCells>
  <pageMargins left="0.7" right="0.7" top="0.75" bottom="0.75" header="0.3" footer="0.3"/>
  <drawing r:id="rId1"/>
  <tableParts count="1">
    <tablePart r:id="rId2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65AED-1E27-1E44-871C-EA70C0E71D4F}">
  <dimension ref="A1:M21"/>
  <sheetViews>
    <sheetView workbookViewId="0">
      <selection activeCell="E28" sqref="E28"/>
    </sheetView>
  </sheetViews>
  <sheetFormatPr baseColWidth="10" defaultRowHeight="16" x14ac:dyDescent="0.2"/>
  <cols>
    <col min="4" max="4" width="11.33203125" customWidth="1"/>
    <col min="5" max="5" width="24" customWidth="1"/>
    <col min="6" max="6" width="13" customWidth="1"/>
    <col min="7" max="7" width="21.33203125" customWidth="1"/>
    <col min="9" max="9" width="29.33203125" bestFit="1" customWidth="1"/>
    <col min="10" max="10" width="11.5" bestFit="1" customWidth="1"/>
    <col min="12" max="12" width="17.33203125" bestFit="1" customWidth="1"/>
  </cols>
  <sheetData>
    <row r="1" spans="1:13" x14ac:dyDescent="0.2">
      <c r="A1" s="58" t="s">
        <v>78</v>
      </c>
      <c r="B1" s="55" t="s">
        <v>85</v>
      </c>
      <c r="C1" s="55"/>
      <c r="D1" s="55"/>
      <c r="E1" s="55"/>
    </row>
    <row r="2" spans="1:13" x14ac:dyDescent="0.2">
      <c r="A2" s="58"/>
      <c r="B2" s="60"/>
      <c r="C2" s="60"/>
      <c r="D2" s="60"/>
      <c r="E2" s="60"/>
      <c r="I2" t="s">
        <v>85</v>
      </c>
    </row>
    <row r="3" spans="1:13" x14ac:dyDescent="0.2">
      <c r="A3" s="25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  <c r="I3" s="9" t="s">
        <v>39</v>
      </c>
      <c r="J3" s="16" cm="1">
        <f t="array" ref="J3">AVERAGE(IF(Table32[Cumplimiento de Meta %]&gt;=100%,1,0))</f>
        <v>0.77777777777777779</v>
      </c>
      <c r="L3" t="s">
        <v>41</v>
      </c>
      <c r="M3" s="18">
        <f>(COUNT(Table32[[#All],[Semana]])*7)/30</f>
        <v>4.2</v>
      </c>
    </row>
    <row r="4" spans="1:13" x14ac:dyDescent="0.2">
      <c r="A4">
        <v>1</v>
      </c>
      <c r="B4" s="20">
        <v>45614</v>
      </c>
      <c r="C4" s="4">
        <v>600</v>
      </c>
      <c r="D4" s="4">
        <v>600</v>
      </c>
      <c r="E4" s="21">
        <f t="shared" ref="E4" si="0">D4/C4</f>
        <v>1</v>
      </c>
      <c r="F4" s="22">
        <f>IF(SUM($C$4:C4)-SUM($D$4:D4)&gt;0, (SUM($C$4:C4)-SUM($D$4:D4))/SUM($C$4:C4), 0)</f>
        <v>0</v>
      </c>
      <c r="G4" s="42">
        <f t="shared" ref="G4" si="1">D4-C4</f>
        <v>0</v>
      </c>
      <c r="I4" s="4"/>
      <c r="J4" s="4"/>
    </row>
    <row r="5" spans="1:13" x14ac:dyDescent="0.2">
      <c r="A5">
        <v>2</v>
      </c>
      <c r="B5" s="20">
        <v>45621</v>
      </c>
      <c r="C5" s="4">
        <v>900</v>
      </c>
      <c r="D5" s="4">
        <v>900</v>
      </c>
      <c r="E5" s="21">
        <f t="shared" ref="E5:E15" si="2">D5/C5</f>
        <v>1</v>
      </c>
      <c r="F5" s="22">
        <f>IF(SUM($C$4:C5)-SUM($D$4:D5)&gt;0, (SUM($C$4:C5)-SUM($D$4:D5))/SUM($C$4:C5), 0)</f>
        <v>0</v>
      </c>
      <c r="G5" s="42">
        <f t="shared" ref="G5:G15" si="3">D5-C5</f>
        <v>0</v>
      </c>
      <c r="I5" s="4" t="s">
        <v>21</v>
      </c>
      <c r="J5" s="4">
        <f>SUM(Table32[[#All],[Meta]])</f>
        <v>40650</v>
      </c>
    </row>
    <row r="6" spans="1:13" x14ac:dyDescent="0.2">
      <c r="A6">
        <v>3</v>
      </c>
      <c r="B6" s="20">
        <v>45628</v>
      </c>
      <c r="C6" s="4">
        <v>900</v>
      </c>
      <c r="D6" s="4">
        <v>900</v>
      </c>
      <c r="E6" s="21">
        <f t="shared" si="2"/>
        <v>1</v>
      </c>
      <c r="F6" s="22">
        <f>IF(SUM($C$4:C6)-SUM($D$4:D6)&gt;0, (SUM($C$4:C6)-SUM($D$4:D6))/SUM($C$4:C6), 0)</f>
        <v>0</v>
      </c>
      <c r="G6" s="42">
        <f t="shared" si="3"/>
        <v>0</v>
      </c>
      <c r="I6" s="4" t="s">
        <v>22</v>
      </c>
      <c r="J6" s="4">
        <f>SUM(Table32[[#All],[Cobranza]])</f>
        <v>36600</v>
      </c>
    </row>
    <row r="7" spans="1:13" x14ac:dyDescent="0.2">
      <c r="A7">
        <v>4</v>
      </c>
      <c r="B7" s="20">
        <v>45635</v>
      </c>
      <c r="C7" s="4">
        <v>900</v>
      </c>
      <c r="D7" s="4">
        <v>900</v>
      </c>
      <c r="E7" s="21">
        <f t="shared" si="2"/>
        <v>1</v>
      </c>
      <c r="F7" s="22">
        <f>IF(SUM($C$4:C7)-SUM($D$4:D7)&gt;0, (SUM($C$4:C7)-SUM($D$4:D7))/SUM($C$4:C7), 0)</f>
        <v>0</v>
      </c>
      <c r="G7" s="42">
        <f t="shared" si="3"/>
        <v>0</v>
      </c>
      <c r="I7" s="4" t="s">
        <v>23</v>
      </c>
      <c r="J7" s="4">
        <f>SUM(Table32[[#All],[Didiferencia Absoluta]])</f>
        <v>-4050</v>
      </c>
    </row>
    <row r="8" spans="1:13" x14ac:dyDescent="0.2">
      <c r="A8">
        <v>5</v>
      </c>
      <c r="B8" s="20">
        <v>45642</v>
      </c>
      <c r="C8" s="4">
        <v>900</v>
      </c>
      <c r="D8" s="4">
        <v>900</v>
      </c>
      <c r="E8" s="21">
        <f t="shared" si="2"/>
        <v>1</v>
      </c>
      <c r="F8" s="22">
        <f>IF(SUM($C$4:C8)-SUM($D$4:D8)&gt;0, (SUM($C$4:C8)-SUM($D$4:D8))/SUM($C$4:C8), 0)</f>
        <v>0</v>
      </c>
      <c r="G8" s="42">
        <f t="shared" si="3"/>
        <v>0</v>
      </c>
      <c r="I8" t="s">
        <v>24</v>
      </c>
      <c r="J8" s="16">
        <f>(J7/J5)*-1</f>
        <v>9.9630996309963096E-2</v>
      </c>
    </row>
    <row r="9" spans="1:13" x14ac:dyDescent="0.2">
      <c r="A9">
        <v>6</v>
      </c>
      <c r="B9" s="20">
        <v>45649</v>
      </c>
      <c r="C9" s="4">
        <v>1800</v>
      </c>
      <c r="D9" s="4">
        <v>1800</v>
      </c>
      <c r="E9" s="21">
        <f t="shared" si="2"/>
        <v>1</v>
      </c>
      <c r="F9" s="22">
        <f>IF(SUM($C$4:C9)-SUM($D$4:D9)&gt;0, (SUM($C$4:C9)-SUM($D$4:D9))/SUM($C$4:C9), 0)</f>
        <v>0</v>
      </c>
      <c r="G9" s="42">
        <f t="shared" si="3"/>
        <v>0</v>
      </c>
    </row>
    <row r="10" spans="1:13" x14ac:dyDescent="0.2">
      <c r="A10">
        <v>7</v>
      </c>
      <c r="B10" s="20">
        <v>45656</v>
      </c>
      <c r="C10" s="4">
        <v>1800</v>
      </c>
      <c r="D10" s="4">
        <v>1800</v>
      </c>
      <c r="E10" s="21">
        <f t="shared" si="2"/>
        <v>1</v>
      </c>
      <c r="F10" s="22">
        <f>IF(SUM($C$4:C10)-SUM($D$4:D10)&gt;0, (SUM($C$4:C10)-SUM($D$4:D10))/SUM($C$4:C10), 0)</f>
        <v>0</v>
      </c>
      <c r="G10" s="42">
        <f t="shared" si="3"/>
        <v>0</v>
      </c>
    </row>
    <row r="11" spans="1:13" x14ac:dyDescent="0.2">
      <c r="A11">
        <v>8</v>
      </c>
      <c r="B11" s="20">
        <v>45663</v>
      </c>
      <c r="C11" s="4">
        <v>1800</v>
      </c>
      <c r="D11" s="4">
        <v>1800</v>
      </c>
      <c r="E11" s="21">
        <f>D11/C11</f>
        <v>1</v>
      </c>
      <c r="F11" s="22">
        <f>IF(SUM($C$4:C11)-SUM($D$4:D11)&gt;0, (SUM($C$4:C11)-SUM($D$4:D11))/SUM($C$4:C11), 0)</f>
        <v>0</v>
      </c>
      <c r="G11" s="42">
        <f t="shared" si="3"/>
        <v>0</v>
      </c>
    </row>
    <row r="12" spans="1:13" x14ac:dyDescent="0.2">
      <c r="A12">
        <v>9</v>
      </c>
      <c r="B12" s="20">
        <v>45670</v>
      </c>
      <c r="C12" s="4">
        <v>1800</v>
      </c>
      <c r="D12" s="4">
        <v>1800</v>
      </c>
      <c r="E12" s="21">
        <f t="shared" si="2"/>
        <v>1</v>
      </c>
      <c r="F12" s="22">
        <f>IF(SUM($C$4:C12)-SUM($D$4:D12)&gt;0, (SUM($C$4:C12)-SUM($D$4:D12))/SUM($C$4:C12), 0)</f>
        <v>0</v>
      </c>
      <c r="G12" s="42">
        <f t="shared" si="3"/>
        <v>0</v>
      </c>
    </row>
    <row r="13" spans="1:13" x14ac:dyDescent="0.2">
      <c r="A13">
        <v>10</v>
      </c>
      <c r="B13" s="20">
        <v>45677</v>
      </c>
      <c r="C13" s="4">
        <v>2400</v>
      </c>
      <c r="D13" s="4">
        <v>2400</v>
      </c>
      <c r="E13" s="21">
        <f t="shared" si="2"/>
        <v>1</v>
      </c>
      <c r="F13" s="22">
        <f>IF(SUM($C$4:C13)-SUM($D$4:D13)&gt;0, (SUM($C$4:C13)-SUM($D$4:D13))/SUM($C$4:C13), 0)</f>
        <v>0</v>
      </c>
      <c r="G13" s="42">
        <f t="shared" si="3"/>
        <v>0</v>
      </c>
    </row>
    <row r="14" spans="1:13" x14ac:dyDescent="0.2">
      <c r="A14">
        <v>11</v>
      </c>
      <c r="B14" s="20">
        <v>45684</v>
      </c>
      <c r="C14" s="4">
        <v>2700</v>
      </c>
      <c r="D14" s="4">
        <v>2700</v>
      </c>
      <c r="E14" s="21">
        <f t="shared" si="2"/>
        <v>1</v>
      </c>
      <c r="F14" s="22">
        <f>IF(SUM($C$4:C14)-SUM($D$4:D14)&gt;0, (SUM($C$4:C14)-SUM($D$4:D14))/SUM($C$4:C14), 0)</f>
        <v>0</v>
      </c>
      <c r="G14" s="42">
        <f t="shared" si="3"/>
        <v>0</v>
      </c>
    </row>
    <row r="15" spans="1:13" x14ac:dyDescent="0.2">
      <c r="A15">
        <v>12</v>
      </c>
      <c r="B15" s="20">
        <v>45691</v>
      </c>
      <c r="C15" s="4">
        <v>3000</v>
      </c>
      <c r="D15" s="4">
        <v>2700</v>
      </c>
      <c r="E15" s="21">
        <f t="shared" si="2"/>
        <v>0.9</v>
      </c>
      <c r="F15" s="22">
        <f>IF(SUM($C$4:C15)-SUM($D$4:D15)&gt;0, (SUM($C$4:C15)-SUM($D$4:D15))/SUM($C$4:C15), 0)</f>
        <v>1.5384615384615385E-2</v>
      </c>
      <c r="G15" s="42">
        <f t="shared" si="3"/>
        <v>-300</v>
      </c>
    </row>
    <row r="16" spans="1:13" x14ac:dyDescent="0.2">
      <c r="A16">
        <v>13</v>
      </c>
      <c r="B16" s="20">
        <v>45698</v>
      </c>
      <c r="C16" s="4">
        <v>3350</v>
      </c>
      <c r="D16" s="4">
        <v>3650</v>
      </c>
      <c r="E16" s="21">
        <f>D16/C16</f>
        <v>1.0895522388059702</v>
      </c>
      <c r="F16" s="22">
        <f>IF(SUM($C$4:C16)-SUM($D$4:D16)&gt;0, (SUM($C$4:C16)-SUM($D$4:D16))/SUM($C$4:C16), 0)</f>
        <v>0</v>
      </c>
      <c r="G16" s="42">
        <f>D16-C16</f>
        <v>300</v>
      </c>
    </row>
    <row r="17" spans="1:7" x14ac:dyDescent="0.2">
      <c r="A17">
        <v>14</v>
      </c>
      <c r="B17" s="20">
        <v>45705</v>
      </c>
      <c r="C17" s="4">
        <v>3350</v>
      </c>
      <c r="D17" s="4">
        <v>3050</v>
      </c>
      <c r="E17" s="21">
        <f>D17/C17</f>
        <v>0.91044776119402981</v>
      </c>
      <c r="F17" s="22">
        <f>IF(SUM($C$4:C17)-SUM($D$4:D17)&gt;0, (SUM($C$4:C17)-SUM($D$4:D17))/SUM($C$4:C17), 0)</f>
        <v>1.1450381679389313E-2</v>
      </c>
      <c r="G17" s="42">
        <f>D17-C17</f>
        <v>-300</v>
      </c>
    </row>
    <row r="18" spans="1:7" x14ac:dyDescent="0.2">
      <c r="A18">
        <v>15</v>
      </c>
      <c r="B18" s="20">
        <v>45712</v>
      </c>
      <c r="C18" s="4">
        <v>3650</v>
      </c>
      <c r="D18" s="4">
        <v>3650</v>
      </c>
      <c r="E18" s="21">
        <f>D18/C18</f>
        <v>1</v>
      </c>
      <c r="F18" s="22">
        <f>IF(SUM($C$4:C18)-SUM($D$4:D18)&gt;0, (SUM($C$4:C18)-SUM($D$4:D18))/SUM($C$4:C18), 0)</f>
        <v>1.0050251256281407E-2</v>
      </c>
      <c r="G18" s="42">
        <f>D18-C18</f>
        <v>0</v>
      </c>
    </row>
    <row r="19" spans="1:7" x14ac:dyDescent="0.2">
      <c r="A19">
        <v>16</v>
      </c>
      <c r="B19" s="20">
        <v>45719</v>
      </c>
      <c r="C19" s="4">
        <v>3350</v>
      </c>
      <c r="D19" s="4">
        <v>4000</v>
      </c>
      <c r="E19" s="21">
        <f>D19/C19</f>
        <v>1.1940298507462686</v>
      </c>
      <c r="F19" s="22">
        <f>IF(SUM($C$4:C19)-SUM($D$4:D19)&gt;0, (SUM($C$4:C19)-SUM($D$4:D19))/SUM($C$4:C19), 0)</f>
        <v>0</v>
      </c>
      <c r="G19" s="42">
        <f>D19-C19</f>
        <v>650</v>
      </c>
    </row>
    <row r="20" spans="1:7" x14ac:dyDescent="0.2">
      <c r="A20">
        <v>17</v>
      </c>
      <c r="B20" s="20">
        <v>45726</v>
      </c>
      <c r="C20" s="4">
        <v>3400</v>
      </c>
      <c r="D20" s="4">
        <v>3050</v>
      </c>
      <c r="E20" s="21">
        <f>D20/C20</f>
        <v>0.8970588235294118</v>
      </c>
      <c r="F20" s="22">
        <f>IF(SUM($C$4:C20)-SUM($D$4:D20)&gt;0, (SUM($C$4:C20)-SUM($D$4:D20))/SUM($C$4:C20), 0)</f>
        <v>0</v>
      </c>
      <c r="G20" s="42">
        <f>D20-C20</f>
        <v>-350</v>
      </c>
    </row>
    <row r="21" spans="1:7" x14ac:dyDescent="0.2">
      <c r="A21">
        <v>18</v>
      </c>
      <c r="B21" s="20">
        <v>45733</v>
      </c>
      <c r="C21" s="4">
        <v>4050</v>
      </c>
      <c r="D21" s="4"/>
      <c r="E21" s="64">
        <f>D21/C21</f>
        <v>0</v>
      </c>
      <c r="F21" s="22">
        <f>IF(SUM($C$4:C21)-SUM($D$4:D21)&gt;0, (SUM($C$4:C21)-SUM($D$4:D21))/SUM($C$4:C21), 0)</f>
        <v>9.9630996309963096E-2</v>
      </c>
      <c r="G21" s="69">
        <f>D21-C21</f>
        <v>-4050</v>
      </c>
    </row>
  </sheetData>
  <mergeCells count="2">
    <mergeCell ref="A1:A2"/>
    <mergeCell ref="B1:E2"/>
  </mergeCells>
  <pageMargins left="0.7" right="0.7" top="0.75" bottom="0.75" header="0.3" footer="0.3"/>
  <drawing r:id="rId1"/>
  <tableParts count="1">
    <tablePart r:id="rId2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88B33-6CF3-6741-B3A1-3B6C9DBC2ECD}">
  <dimension ref="A1:M21"/>
  <sheetViews>
    <sheetView workbookViewId="0">
      <selection activeCell="F25" sqref="F25"/>
    </sheetView>
  </sheetViews>
  <sheetFormatPr baseColWidth="10" defaultRowHeight="16" x14ac:dyDescent="0.2"/>
  <cols>
    <col min="4" max="4" width="11.33203125" customWidth="1"/>
    <col min="5" max="5" width="24" customWidth="1"/>
    <col min="6" max="6" width="13" customWidth="1"/>
    <col min="7" max="7" width="21.33203125" customWidth="1"/>
    <col min="9" max="9" width="26.6640625" customWidth="1"/>
    <col min="10" max="10" width="11.5" bestFit="1" customWidth="1"/>
    <col min="12" max="12" width="17.33203125" bestFit="1" customWidth="1"/>
  </cols>
  <sheetData>
    <row r="1" spans="1:13" ht="16" customHeight="1" x14ac:dyDescent="0.2">
      <c r="A1" s="58" t="s">
        <v>86</v>
      </c>
      <c r="B1" s="55" t="s">
        <v>99</v>
      </c>
      <c r="C1" s="55"/>
      <c r="D1" s="55"/>
      <c r="E1" s="55"/>
    </row>
    <row r="2" spans="1:13" ht="16" customHeight="1" x14ac:dyDescent="0.2">
      <c r="A2" s="58"/>
      <c r="B2" s="60"/>
      <c r="C2" s="60"/>
      <c r="D2" s="60"/>
      <c r="E2" s="60"/>
      <c r="I2" t="s">
        <v>99</v>
      </c>
    </row>
    <row r="3" spans="1:13" x14ac:dyDescent="0.2">
      <c r="A3" s="25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  <c r="I3" s="9" t="s">
        <v>39</v>
      </c>
      <c r="J3" s="16" cm="1">
        <f t="array" ref="J3">AVERAGE(IF(Table33[Cumplimiento de Meta %]&gt;=100%,1,0))</f>
        <v>0.83333333333333337</v>
      </c>
      <c r="L3" t="s">
        <v>41</v>
      </c>
      <c r="M3" s="18">
        <f>(COUNT(Table33[[#All],[Semana]])*7)/30</f>
        <v>4.2</v>
      </c>
    </row>
    <row r="4" spans="1:13" x14ac:dyDescent="0.2">
      <c r="A4" s="43">
        <v>1</v>
      </c>
      <c r="B4" s="20">
        <v>45614</v>
      </c>
      <c r="C4" s="4">
        <v>600</v>
      </c>
      <c r="D4" s="4">
        <v>600</v>
      </c>
      <c r="E4" s="21">
        <f t="shared" ref="E4" si="0">D4/C4</f>
        <v>1</v>
      </c>
      <c r="F4" s="22">
        <f>IF(SUM($C$4:C4)-SUM($D$4:D4)&gt;0, (SUM($C$4:C4)-SUM($D$4:D4))/SUM($C$4:C4), 0)</f>
        <v>0</v>
      </c>
      <c r="G4" s="42">
        <f t="shared" ref="G4" si="1">D4-C4</f>
        <v>0</v>
      </c>
      <c r="I4" s="4"/>
      <c r="J4" s="4"/>
    </row>
    <row r="5" spans="1:13" x14ac:dyDescent="0.2">
      <c r="A5" s="43">
        <v>2</v>
      </c>
      <c r="B5" s="20">
        <v>45621</v>
      </c>
      <c r="C5" s="4">
        <v>1200</v>
      </c>
      <c r="D5" s="4">
        <v>1500</v>
      </c>
      <c r="E5" s="21">
        <f t="shared" ref="E5:E15" si="2">D5/C5</f>
        <v>1.25</v>
      </c>
      <c r="F5" s="22">
        <f>IF(SUM($C$4:C5)-SUM($D$4:D5)&gt;0, (SUM($C$4:C5)-SUM($D$4:D5))/SUM($C$4:C5), 0)</f>
        <v>0</v>
      </c>
      <c r="G5" s="42">
        <f t="shared" ref="G5:G15" si="3">D5-C5</f>
        <v>300</v>
      </c>
      <c r="I5" s="4" t="s">
        <v>21</v>
      </c>
      <c r="J5" s="4">
        <f>SUM(Table33[[#All],[Meta]])</f>
        <v>25500</v>
      </c>
    </row>
    <row r="6" spans="1:13" x14ac:dyDescent="0.2">
      <c r="A6" s="43">
        <v>3</v>
      </c>
      <c r="B6" s="20">
        <v>45628</v>
      </c>
      <c r="C6" s="4">
        <v>1200</v>
      </c>
      <c r="D6" s="4">
        <v>900</v>
      </c>
      <c r="E6" s="21">
        <f t="shared" si="2"/>
        <v>0.75</v>
      </c>
      <c r="F6" s="22">
        <f>IF(SUM($C$4:C6)-SUM($D$4:D6)&gt;0, (SUM($C$4:C6)-SUM($D$4:D6))/SUM($C$4:C6), 0)</f>
        <v>0</v>
      </c>
      <c r="G6" s="42">
        <f t="shared" si="3"/>
        <v>-300</v>
      </c>
      <c r="I6" s="4" t="s">
        <v>22</v>
      </c>
      <c r="J6" s="4">
        <f>SUM(Table33[[#All],[Cobranza]])</f>
        <v>24000</v>
      </c>
    </row>
    <row r="7" spans="1:13" x14ac:dyDescent="0.2">
      <c r="A7" s="43">
        <v>4</v>
      </c>
      <c r="B7" s="20">
        <v>45635</v>
      </c>
      <c r="C7" s="4">
        <v>1200</v>
      </c>
      <c r="D7" s="4">
        <v>1200</v>
      </c>
      <c r="E7" s="21">
        <f t="shared" si="2"/>
        <v>1</v>
      </c>
      <c r="F7" s="22">
        <f>IF(SUM($C$4:C7)-SUM($D$4:D7)&gt;0, (SUM($C$4:C7)-SUM($D$4:D7))/SUM($C$4:C7), 0)</f>
        <v>0</v>
      </c>
      <c r="G7" s="42">
        <f t="shared" si="3"/>
        <v>0</v>
      </c>
      <c r="I7" s="4" t="s">
        <v>23</v>
      </c>
      <c r="J7" s="4">
        <f>SUM(Table33[[#All],[Didiferencia Absoluta]])</f>
        <v>-1500</v>
      </c>
    </row>
    <row r="8" spans="1:13" x14ac:dyDescent="0.2">
      <c r="A8" s="43">
        <v>5</v>
      </c>
      <c r="B8" s="20">
        <v>45642</v>
      </c>
      <c r="C8" s="4">
        <v>1200</v>
      </c>
      <c r="D8" s="4">
        <v>1200</v>
      </c>
      <c r="E8" s="21">
        <f t="shared" si="2"/>
        <v>1</v>
      </c>
      <c r="F8" s="22">
        <f>IF(SUM($C$4:C8)-SUM($D$4:D8)&gt;0, (SUM($C$4:C8)-SUM($D$4:D8))/SUM($C$4:C8), 0)</f>
        <v>0</v>
      </c>
      <c r="G8" s="42">
        <f t="shared" si="3"/>
        <v>0</v>
      </c>
      <c r="I8" t="s">
        <v>24</v>
      </c>
      <c r="J8" s="16">
        <f>(J7/J5)*-1</f>
        <v>5.8823529411764705E-2</v>
      </c>
    </row>
    <row r="9" spans="1:13" x14ac:dyDescent="0.2">
      <c r="A9" s="43">
        <v>6</v>
      </c>
      <c r="B9" s="20">
        <v>45649</v>
      </c>
      <c r="C9" s="4">
        <v>1500</v>
      </c>
      <c r="D9" s="4">
        <v>1800</v>
      </c>
      <c r="E9" s="21">
        <f t="shared" si="2"/>
        <v>1.2</v>
      </c>
      <c r="F9" s="22">
        <f>IF(SUM($C$4:C9)-SUM($D$4:D9)&gt;0, (SUM($C$4:C9)-SUM($D$4:D9))/SUM($C$4:C9), 0)</f>
        <v>0</v>
      </c>
      <c r="G9" s="42">
        <f t="shared" si="3"/>
        <v>300</v>
      </c>
    </row>
    <row r="10" spans="1:13" x14ac:dyDescent="0.2">
      <c r="A10" s="43">
        <v>7</v>
      </c>
      <c r="B10" s="20">
        <v>45656</v>
      </c>
      <c r="C10" s="4">
        <v>1500</v>
      </c>
      <c r="D10" s="4">
        <v>1200</v>
      </c>
      <c r="E10" s="21">
        <f t="shared" si="2"/>
        <v>0.8</v>
      </c>
      <c r="F10" s="22">
        <f>IF(SUM($C$4:C10)-SUM($D$4:D10)&gt;0, (SUM($C$4:C10)-SUM($D$4:D10))/SUM($C$4:C10), 0)</f>
        <v>0</v>
      </c>
      <c r="G10" s="42">
        <f t="shared" si="3"/>
        <v>-300</v>
      </c>
    </row>
    <row r="11" spans="1:13" x14ac:dyDescent="0.2">
      <c r="A11" s="43">
        <v>8</v>
      </c>
      <c r="B11" s="20">
        <v>45663</v>
      </c>
      <c r="C11" s="4">
        <v>1500</v>
      </c>
      <c r="D11" s="4">
        <v>1500</v>
      </c>
      <c r="E11" s="21">
        <f t="shared" si="2"/>
        <v>1</v>
      </c>
      <c r="F11" s="22">
        <f>IF(SUM($C$4:C11)-SUM($D$4:D11)&gt;0, (SUM($C$4:C11)-SUM($D$4:D11))/SUM($C$4:C11), 0)</f>
        <v>0</v>
      </c>
      <c r="G11" s="42">
        <f t="shared" si="3"/>
        <v>0</v>
      </c>
    </row>
    <row r="12" spans="1:13" x14ac:dyDescent="0.2">
      <c r="A12" s="43">
        <v>9</v>
      </c>
      <c r="B12" s="20">
        <v>45670</v>
      </c>
      <c r="C12" s="4">
        <v>1500</v>
      </c>
      <c r="D12" s="4">
        <v>1500</v>
      </c>
      <c r="E12" s="21">
        <f t="shared" si="2"/>
        <v>1</v>
      </c>
      <c r="F12" s="22">
        <f>IF(SUM($C$4:C12)-SUM($D$4:D12)&gt;0, (SUM($C$4:C12)-SUM($D$4:D12))/SUM($C$4:C12), 0)</f>
        <v>0</v>
      </c>
      <c r="G12" s="42">
        <f t="shared" si="3"/>
        <v>0</v>
      </c>
    </row>
    <row r="13" spans="1:13" x14ac:dyDescent="0.2">
      <c r="A13" s="43">
        <v>10</v>
      </c>
      <c r="B13" s="20">
        <v>45677</v>
      </c>
      <c r="C13" s="4">
        <v>1500</v>
      </c>
      <c r="D13" s="4">
        <v>1500</v>
      </c>
      <c r="E13" s="21">
        <f t="shared" si="2"/>
        <v>1</v>
      </c>
      <c r="F13" s="22">
        <f>IF(SUM($C$4:C13)-SUM($D$4:D13)&gt;0, (SUM($C$4:C13)-SUM($D$4:D13))/SUM($C$4:C13), 0)</f>
        <v>0</v>
      </c>
      <c r="G13" s="42">
        <f t="shared" si="3"/>
        <v>0</v>
      </c>
    </row>
    <row r="14" spans="1:13" x14ac:dyDescent="0.2">
      <c r="A14" s="43">
        <v>11</v>
      </c>
      <c r="B14" s="20">
        <v>45684</v>
      </c>
      <c r="C14" s="4">
        <v>1800</v>
      </c>
      <c r="D14" s="4">
        <v>1800</v>
      </c>
      <c r="E14" s="21">
        <f t="shared" si="2"/>
        <v>1</v>
      </c>
      <c r="F14" s="22">
        <f>IF(SUM($C$4:C14)-SUM($D$4:D14)&gt;0, (SUM($C$4:C14)-SUM($D$4:D14))/SUM($C$4:C14), 0)</f>
        <v>0</v>
      </c>
      <c r="G14" s="42">
        <f t="shared" si="3"/>
        <v>0</v>
      </c>
    </row>
    <row r="15" spans="1:13" x14ac:dyDescent="0.2">
      <c r="A15" s="43">
        <v>12</v>
      </c>
      <c r="B15" s="20">
        <v>45691</v>
      </c>
      <c r="C15" s="4">
        <v>1800</v>
      </c>
      <c r="D15" s="4">
        <v>1800</v>
      </c>
      <c r="E15" s="21">
        <f t="shared" si="2"/>
        <v>1</v>
      </c>
      <c r="F15" s="22">
        <f>IF(SUM($C$4:C15)-SUM($D$4:D15)&gt;0, (SUM($C$4:C15)-SUM($D$4:D15))/SUM($C$4:C15), 0)</f>
        <v>0</v>
      </c>
      <c r="G15" s="42">
        <f t="shared" si="3"/>
        <v>0</v>
      </c>
    </row>
    <row r="16" spans="1:13" x14ac:dyDescent="0.2">
      <c r="A16" s="43">
        <v>13</v>
      </c>
      <c r="B16" s="20">
        <v>45698</v>
      </c>
      <c r="C16" s="4">
        <v>1800</v>
      </c>
      <c r="D16" s="4">
        <v>1800</v>
      </c>
      <c r="E16" s="21">
        <f>D16/C16</f>
        <v>1</v>
      </c>
      <c r="F16" s="22">
        <f>IF(SUM($C$4:C16)-SUM($D$4:D16)&gt;0, (SUM($C$4:C16)-SUM($D$4:D16))/SUM($C$4:C16), 0)</f>
        <v>0</v>
      </c>
      <c r="G16" s="42">
        <f>D16-C16</f>
        <v>0</v>
      </c>
    </row>
    <row r="17" spans="1:7" x14ac:dyDescent="0.2">
      <c r="A17" s="43">
        <v>14</v>
      </c>
      <c r="B17" s="20">
        <v>45705</v>
      </c>
      <c r="C17" s="4">
        <v>1800</v>
      </c>
      <c r="D17" s="4">
        <v>1800</v>
      </c>
      <c r="E17" s="21">
        <f>D17/C17</f>
        <v>1</v>
      </c>
      <c r="F17" s="22">
        <f>IF(SUM($C$4:C17)-SUM($D$4:D17)&gt;0, (SUM($C$4:C17)-SUM($D$4:D17))/SUM($C$4:C17), 0)</f>
        <v>0</v>
      </c>
      <c r="G17" s="42">
        <f>D17-C17</f>
        <v>0</v>
      </c>
    </row>
    <row r="18" spans="1:7" x14ac:dyDescent="0.2">
      <c r="A18" s="43">
        <v>15</v>
      </c>
      <c r="B18" s="20">
        <v>45712</v>
      </c>
      <c r="C18" s="4">
        <v>1500</v>
      </c>
      <c r="D18" s="4">
        <v>1500</v>
      </c>
      <c r="E18" s="21">
        <f>D18/C18</f>
        <v>1</v>
      </c>
      <c r="F18" s="22">
        <f>IF(SUM($C$4:C18)-SUM($D$4:D18)&gt;0, (SUM($C$4:C18)-SUM($D$4:D18))/SUM($C$4:C18), 0)</f>
        <v>0</v>
      </c>
      <c r="G18" s="42">
        <f>D18-C18</f>
        <v>0</v>
      </c>
    </row>
    <row r="19" spans="1:7" x14ac:dyDescent="0.2">
      <c r="A19" s="43">
        <v>16</v>
      </c>
      <c r="B19" s="20">
        <v>45719</v>
      </c>
      <c r="C19" s="4">
        <v>1200</v>
      </c>
      <c r="D19" s="4">
        <v>1200</v>
      </c>
      <c r="E19" s="21">
        <f>D19/C19</f>
        <v>1</v>
      </c>
      <c r="F19" s="22">
        <f>IF(SUM($C$4:C19)-SUM($D$4:D19)&gt;0, (SUM($C$4:C19)-SUM($D$4:D19))/SUM($C$4:C19), 0)</f>
        <v>0</v>
      </c>
      <c r="G19" s="42">
        <f>D19-C19</f>
        <v>0</v>
      </c>
    </row>
    <row r="20" spans="1:7" x14ac:dyDescent="0.2">
      <c r="A20" s="43">
        <v>17</v>
      </c>
      <c r="B20" s="20">
        <v>45726</v>
      </c>
      <c r="C20" s="4">
        <v>1200</v>
      </c>
      <c r="D20" s="4">
        <v>1200</v>
      </c>
      <c r="E20" s="21">
        <f>D20/C20</f>
        <v>1</v>
      </c>
      <c r="F20" s="22">
        <f>IF(SUM($C$4:C20)-SUM($D$4:D20)&gt;0, (SUM($C$4:C20)-SUM($D$4:D20))/SUM($C$4:C20), 0)</f>
        <v>0</v>
      </c>
      <c r="G20" s="42">
        <f>D20-C20</f>
        <v>0</v>
      </c>
    </row>
    <row r="21" spans="1:7" x14ac:dyDescent="0.2">
      <c r="A21" s="43">
        <v>18</v>
      </c>
      <c r="B21" s="20">
        <v>45733</v>
      </c>
      <c r="C21" s="4">
        <v>1500</v>
      </c>
      <c r="D21" s="4"/>
      <c r="E21" s="64">
        <f>D21/C21</f>
        <v>0</v>
      </c>
      <c r="F21" s="22">
        <f>IF(SUM($C$4:C21)-SUM($D$4:D21)&gt;0, (SUM($C$4:C21)-SUM($D$4:D21))/SUM($C$4:C21), 0)</f>
        <v>5.8823529411764705E-2</v>
      </c>
      <c r="G21" s="69">
        <f>D21-C21</f>
        <v>-1500</v>
      </c>
    </row>
  </sheetData>
  <mergeCells count="2">
    <mergeCell ref="A1:A2"/>
    <mergeCell ref="B1:E2"/>
  </mergeCells>
  <pageMargins left="0.7" right="0.7" top="0.75" bottom="0.75" header="0.3" footer="0.3"/>
  <drawing r:id="rId1"/>
  <tableParts count="1">
    <tablePart r:id="rId2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8458E-9334-FF41-A5A2-62D336D14717}">
  <dimension ref="A1:M21"/>
  <sheetViews>
    <sheetView workbookViewId="0">
      <selection activeCell="E24" sqref="E24"/>
    </sheetView>
  </sheetViews>
  <sheetFormatPr baseColWidth="10" defaultRowHeight="16" x14ac:dyDescent="0.2"/>
  <cols>
    <col min="4" max="4" width="11.33203125" customWidth="1"/>
    <col min="5" max="5" width="24" customWidth="1"/>
    <col min="6" max="6" width="13" customWidth="1"/>
    <col min="7" max="7" width="21.33203125" customWidth="1"/>
    <col min="9" max="9" width="26.33203125" bestFit="1" customWidth="1"/>
    <col min="10" max="10" width="11.5" bestFit="1" customWidth="1"/>
    <col min="12" max="12" width="17.33203125" bestFit="1" customWidth="1"/>
  </cols>
  <sheetData>
    <row r="1" spans="1:13" x14ac:dyDescent="0.2">
      <c r="A1" s="58" t="s">
        <v>87</v>
      </c>
      <c r="B1" s="55" t="s">
        <v>100</v>
      </c>
      <c r="C1" s="55"/>
      <c r="D1" s="55"/>
      <c r="E1" s="55"/>
    </row>
    <row r="2" spans="1:13" x14ac:dyDescent="0.2">
      <c r="A2" s="58"/>
      <c r="B2" s="60"/>
      <c r="C2" s="60"/>
      <c r="D2" s="60"/>
      <c r="E2" s="60"/>
      <c r="I2" t="s">
        <v>100</v>
      </c>
    </row>
    <row r="3" spans="1:13" x14ac:dyDescent="0.2">
      <c r="A3" s="25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  <c r="I3" s="9" t="s">
        <v>39</v>
      </c>
      <c r="J3" s="16" cm="1">
        <f t="array" ref="J3">AVERAGE(IF(Table34[Cumplimiento de Meta %]&gt;=100%,1,0))</f>
        <v>0.83333333333333337</v>
      </c>
      <c r="L3" t="s">
        <v>41</v>
      </c>
      <c r="M3" s="18">
        <f>(COUNT(Table34[[#All],[Semana]])*7)/30</f>
        <v>4.2</v>
      </c>
    </row>
    <row r="4" spans="1:13" x14ac:dyDescent="0.2">
      <c r="A4" s="43">
        <v>1</v>
      </c>
      <c r="B4" s="20">
        <v>45614</v>
      </c>
      <c r="C4" s="4">
        <v>600</v>
      </c>
      <c r="D4" s="4">
        <v>600</v>
      </c>
      <c r="E4" s="21">
        <f t="shared" ref="E4" si="0">D4/C4</f>
        <v>1</v>
      </c>
      <c r="F4" s="22">
        <f>IF(SUM($C$4:C4)-SUM($D$4:D4)&gt;0, (SUM($C$4:C4)-SUM($D$4:D4))/SUM($C$4:C4), 0)</f>
        <v>0</v>
      </c>
      <c r="G4" s="42">
        <f t="shared" ref="G4" si="1">D4-C4</f>
        <v>0</v>
      </c>
      <c r="I4" s="4"/>
      <c r="J4" s="4"/>
    </row>
    <row r="5" spans="1:13" x14ac:dyDescent="0.2">
      <c r="A5" s="43">
        <v>2</v>
      </c>
      <c r="B5" s="20">
        <v>45621</v>
      </c>
      <c r="C5" s="4">
        <v>1200</v>
      </c>
      <c r="D5" s="4">
        <v>1200</v>
      </c>
      <c r="E5" s="21">
        <f t="shared" ref="E5:E15" si="2">D5/C5</f>
        <v>1</v>
      </c>
      <c r="F5" s="22">
        <f>IF(SUM($C$4:C5)-SUM($D$4:D5)&gt;0, (SUM($C$4:C5)-SUM($D$4:D5))/SUM($C$4:C5), 0)</f>
        <v>0</v>
      </c>
      <c r="G5" s="42">
        <f t="shared" ref="G5:G15" si="3">D5-C5</f>
        <v>0</v>
      </c>
      <c r="I5" s="4" t="s">
        <v>21</v>
      </c>
      <c r="J5" s="4">
        <f>SUM(Table34[[#All],[Meta]])</f>
        <v>53750</v>
      </c>
    </row>
    <row r="6" spans="1:13" x14ac:dyDescent="0.2">
      <c r="A6" s="43">
        <v>3</v>
      </c>
      <c r="B6" s="20">
        <v>45628</v>
      </c>
      <c r="C6" s="4">
        <v>1500</v>
      </c>
      <c r="D6" s="4">
        <v>1500</v>
      </c>
      <c r="E6" s="21">
        <f t="shared" si="2"/>
        <v>1</v>
      </c>
      <c r="F6" s="22">
        <f>IF(SUM($C$4:C6)-SUM($D$4:D6)&gt;0, (SUM($C$4:C6)-SUM($D$4:D6))/SUM($C$4:C6), 0)</f>
        <v>0</v>
      </c>
      <c r="G6" s="42">
        <f t="shared" si="3"/>
        <v>0</v>
      </c>
      <c r="I6" s="4" t="s">
        <v>22</v>
      </c>
      <c r="J6" s="4">
        <f>SUM(Table34[[#All],[Cobranza]])</f>
        <v>49700</v>
      </c>
    </row>
    <row r="7" spans="1:13" x14ac:dyDescent="0.2">
      <c r="A7" s="43">
        <v>4</v>
      </c>
      <c r="B7" s="20">
        <v>45635</v>
      </c>
      <c r="C7" s="4">
        <v>2100</v>
      </c>
      <c r="D7" s="4">
        <v>2100</v>
      </c>
      <c r="E7" s="21">
        <f t="shared" si="2"/>
        <v>1</v>
      </c>
      <c r="F7" s="22">
        <f>IF(SUM($C$4:C7)-SUM($D$4:D7)&gt;0, (SUM($C$4:C7)-SUM($D$4:D7))/SUM($C$4:C7), 0)</f>
        <v>0</v>
      </c>
      <c r="G7" s="42">
        <f t="shared" si="3"/>
        <v>0</v>
      </c>
      <c r="I7" s="4" t="s">
        <v>23</v>
      </c>
      <c r="J7" s="4">
        <f>SUM(Table34[[#All],[Didiferencia Absoluta]])</f>
        <v>-4050</v>
      </c>
    </row>
    <row r="8" spans="1:13" x14ac:dyDescent="0.2">
      <c r="A8" s="43">
        <v>5</v>
      </c>
      <c r="B8" s="20">
        <v>45642</v>
      </c>
      <c r="C8" s="4">
        <v>2400</v>
      </c>
      <c r="D8" s="4">
        <v>2400</v>
      </c>
      <c r="E8" s="21">
        <f t="shared" si="2"/>
        <v>1</v>
      </c>
      <c r="F8" s="22">
        <f>IF(SUM($C$4:C8)-SUM($D$4:D8)&gt;0, (SUM($C$4:C8)-SUM($D$4:D8))/SUM($C$4:C8), 0)</f>
        <v>0</v>
      </c>
      <c r="G8" s="42">
        <f t="shared" si="3"/>
        <v>0</v>
      </c>
      <c r="I8" t="s">
        <v>24</v>
      </c>
      <c r="J8" s="16">
        <f>(J7/J5)*-1</f>
        <v>7.5348837209302327E-2</v>
      </c>
    </row>
    <row r="9" spans="1:13" x14ac:dyDescent="0.2">
      <c r="A9" s="43">
        <v>6</v>
      </c>
      <c r="B9" s="20">
        <v>45649</v>
      </c>
      <c r="C9" s="4">
        <v>2700</v>
      </c>
      <c r="D9" s="4">
        <v>2700</v>
      </c>
      <c r="E9" s="21">
        <f t="shared" si="2"/>
        <v>1</v>
      </c>
      <c r="F9" s="22">
        <f>IF(SUM($C$4:C9)-SUM($D$4:D9)&gt;0, (SUM($C$4:C9)-SUM($D$4:D9))/SUM($C$4:C9), 0)</f>
        <v>0</v>
      </c>
      <c r="G9" s="42">
        <f t="shared" si="3"/>
        <v>0</v>
      </c>
    </row>
    <row r="10" spans="1:13" x14ac:dyDescent="0.2">
      <c r="A10" s="43">
        <v>7</v>
      </c>
      <c r="B10" s="20">
        <v>45656</v>
      </c>
      <c r="C10" s="4">
        <v>2700</v>
      </c>
      <c r="D10" s="4">
        <v>2700</v>
      </c>
      <c r="E10" s="21">
        <f t="shared" si="2"/>
        <v>1</v>
      </c>
      <c r="F10" s="22">
        <f>IF(SUM($C$4:C10)-SUM($D$4:D10)&gt;0, (SUM($C$4:C10)-SUM($D$4:D10))/SUM($C$4:C10), 0)</f>
        <v>0</v>
      </c>
      <c r="G10" s="42">
        <f t="shared" si="3"/>
        <v>0</v>
      </c>
    </row>
    <row r="11" spans="1:13" x14ac:dyDescent="0.2">
      <c r="A11" s="43">
        <v>8</v>
      </c>
      <c r="B11" s="20">
        <v>45663</v>
      </c>
      <c r="C11" s="4">
        <v>3000</v>
      </c>
      <c r="D11" s="4">
        <v>3000</v>
      </c>
      <c r="E11" s="21">
        <f t="shared" si="2"/>
        <v>1</v>
      </c>
      <c r="F11" s="22">
        <f>IF(SUM($C$4:C11)-SUM($D$4:D11)&gt;0, (SUM($C$4:C11)-SUM($D$4:D11))/SUM($C$4:C11), 0)</f>
        <v>0</v>
      </c>
      <c r="G11" s="42">
        <f t="shared" si="3"/>
        <v>0</v>
      </c>
    </row>
    <row r="12" spans="1:13" x14ac:dyDescent="0.2">
      <c r="A12" s="43">
        <v>9</v>
      </c>
      <c r="B12" s="20">
        <v>45670</v>
      </c>
      <c r="C12" s="4">
        <v>3500</v>
      </c>
      <c r="D12" s="4">
        <v>3500</v>
      </c>
      <c r="E12" s="21">
        <f t="shared" si="2"/>
        <v>1</v>
      </c>
      <c r="F12" s="22">
        <f>IF(SUM($C$4:C12)-SUM($D$4:D12)&gt;0, (SUM($C$4:C12)-SUM($D$4:D12))/SUM($C$4:C12), 0)</f>
        <v>0</v>
      </c>
      <c r="G12" s="42">
        <f t="shared" si="3"/>
        <v>0</v>
      </c>
    </row>
    <row r="13" spans="1:13" x14ac:dyDescent="0.2">
      <c r="A13" s="43">
        <v>10</v>
      </c>
      <c r="B13" s="20">
        <v>45677</v>
      </c>
      <c r="C13" s="4">
        <v>3800</v>
      </c>
      <c r="D13" s="4">
        <v>3800</v>
      </c>
      <c r="E13" s="21">
        <f t="shared" si="2"/>
        <v>1</v>
      </c>
      <c r="F13" s="22">
        <f>IF(SUM($C$4:C13)-SUM($D$4:D13)&gt;0, (SUM($C$4:C13)-SUM($D$4:D13))/SUM($C$4:C13), 0)</f>
        <v>0</v>
      </c>
      <c r="G13" s="42">
        <f t="shared" si="3"/>
        <v>0</v>
      </c>
    </row>
    <row r="14" spans="1:13" x14ac:dyDescent="0.2">
      <c r="A14" s="43">
        <v>11</v>
      </c>
      <c r="B14" s="20">
        <v>45684</v>
      </c>
      <c r="C14" s="4">
        <v>3850</v>
      </c>
      <c r="D14" s="4">
        <v>3850</v>
      </c>
      <c r="E14" s="21">
        <f t="shared" si="2"/>
        <v>1</v>
      </c>
      <c r="F14" s="22">
        <f>IF(SUM($C$4:C14)-SUM($D$4:D14)&gt;0, (SUM($C$4:C14)-SUM($D$4:D14))/SUM($C$4:C14), 0)</f>
        <v>0</v>
      </c>
      <c r="G14" s="42">
        <f t="shared" si="3"/>
        <v>0</v>
      </c>
    </row>
    <row r="15" spans="1:13" x14ac:dyDescent="0.2">
      <c r="A15" s="43">
        <v>12</v>
      </c>
      <c r="B15" s="20">
        <v>45691</v>
      </c>
      <c r="C15" s="4">
        <v>3850</v>
      </c>
      <c r="D15" s="4">
        <v>4150</v>
      </c>
      <c r="E15" s="21">
        <f t="shared" si="2"/>
        <v>1.0779220779220779</v>
      </c>
      <c r="F15" s="22">
        <f>IF(SUM($C$4:C15)-SUM($D$4:D15)&gt;0, (SUM($C$4:C15)-SUM($D$4:D15))/SUM($C$4:C15), 0)</f>
        <v>0</v>
      </c>
      <c r="G15" s="42">
        <f t="shared" si="3"/>
        <v>300</v>
      </c>
    </row>
    <row r="16" spans="1:13" x14ac:dyDescent="0.2">
      <c r="A16" s="43">
        <v>13</v>
      </c>
      <c r="B16" s="20">
        <v>45698</v>
      </c>
      <c r="C16" s="4">
        <v>3850</v>
      </c>
      <c r="D16" s="4">
        <v>3250</v>
      </c>
      <c r="E16" s="21">
        <f>D16/C16</f>
        <v>0.8441558441558441</v>
      </c>
      <c r="F16" s="22">
        <f>IF(SUM($C$4:C16)-SUM($D$4:D16)&gt;0, (SUM($C$4:C16)-SUM($D$4:D16))/SUM($C$4:C16), 0)</f>
        <v>8.5592011412268191E-3</v>
      </c>
      <c r="G16" s="42">
        <f>D16-C16</f>
        <v>-600</v>
      </c>
    </row>
    <row r="17" spans="1:7" x14ac:dyDescent="0.2">
      <c r="A17" s="43">
        <v>14</v>
      </c>
      <c r="B17" s="20">
        <v>45705</v>
      </c>
      <c r="C17" s="4">
        <v>3950</v>
      </c>
      <c r="D17" s="4">
        <v>3650</v>
      </c>
      <c r="E17" s="21">
        <f>D17/C17</f>
        <v>0.92405063291139244</v>
      </c>
      <c r="F17" s="22">
        <f>IF(SUM($C$4:C17)-SUM($D$4:D17)&gt;0, (SUM($C$4:C17)-SUM($D$4:D17))/SUM($C$4:C17), 0)</f>
        <v>1.5384615384615385E-2</v>
      </c>
      <c r="G17" s="42">
        <f>D17-C17</f>
        <v>-300</v>
      </c>
    </row>
    <row r="18" spans="1:7" x14ac:dyDescent="0.2">
      <c r="A18" s="43">
        <v>15</v>
      </c>
      <c r="B18" s="20">
        <v>45712</v>
      </c>
      <c r="C18" s="4">
        <v>3950</v>
      </c>
      <c r="D18" s="4">
        <v>3950</v>
      </c>
      <c r="E18" s="21">
        <f>D18/C18</f>
        <v>1</v>
      </c>
      <c r="F18" s="22">
        <f>IF(SUM($C$4:C18)-SUM($D$4:D18)&gt;0, (SUM($C$4:C18)-SUM($D$4:D18))/SUM($C$4:C18), 0)</f>
        <v>1.3969732246798603E-2</v>
      </c>
      <c r="G18" s="42">
        <f>D18-C18</f>
        <v>0</v>
      </c>
    </row>
    <row r="19" spans="1:7" x14ac:dyDescent="0.2">
      <c r="A19" s="43">
        <v>16</v>
      </c>
      <c r="B19" s="20">
        <v>45719</v>
      </c>
      <c r="C19" s="4">
        <v>3650</v>
      </c>
      <c r="D19" s="4">
        <v>3650</v>
      </c>
      <c r="E19" s="21">
        <f>D19/C19</f>
        <v>1</v>
      </c>
      <c r="F19" s="22">
        <f>IF(SUM($C$4:C19)-SUM($D$4:D19)&gt;0, (SUM($C$4:C19)-SUM($D$4:D19))/SUM($C$4:C19), 0)</f>
        <v>1.2875536480686695E-2</v>
      </c>
      <c r="G19" s="42">
        <f>D19-C19</f>
        <v>0</v>
      </c>
    </row>
    <row r="20" spans="1:7" x14ac:dyDescent="0.2">
      <c r="A20" s="43">
        <v>17</v>
      </c>
      <c r="B20" s="20">
        <v>45726</v>
      </c>
      <c r="C20" s="4">
        <v>3700</v>
      </c>
      <c r="D20" s="4">
        <v>3700</v>
      </c>
      <c r="E20" s="21">
        <f>D20/C20</f>
        <v>1</v>
      </c>
      <c r="F20" s="22">
        <f>IF(SUM($C$4:C20)-SUM($D$4:D20)&gt;0, (SUM($C$4:C20)-SUM($D$4:D20))/SUM($C$4:C20), 0)</f>
        <v>1.1928429423459244E-2</v>
      </c>
      <c r="G20" s="42">
        <f>D20-C20</f>
        <v>0</v>
      </c>
    </row>
    <row r="21" spans="1:7" x14ac:dyDescent="0.2">
      <c r="A21" s="43">
        <v>18</v>
      </c>
      <c r="B21" s="20">
        <v>45733</v>
      </c>
      <c r="C21" s="4">
        <v>3450</v>
      </c>
      <c r="D21" s="4"/>
      <c r="E21" s="64">
        <f>D21/C21</f>
        <v>0</v>
      </c>
      <c r="F21" s="22">
        <f>IF(SUM($C$4:C21)-SUM($D$4:D21)&gt;0, (SUM($C$4:C21)-SUM($D$4:D21))/SUM($C$4:C21), 0)</f>
        <v>7.5348837209302327E-2</v>
      </c>
      <c r="G21" s="69">
        <f>D21-C21</f>
        <v>-3450</v>
      </c>
    </row>
  </sheetData>
  <mergeCells count="2">
    <mergeCell ref="A1:A2"/>
    <mergeCell ref="B1:E2"/>
  </mergeCells>
  <pageMargins left="0.7" right="0.7" top="0.75" bottom="0.75" header="0.3" footer="0.3"/>
  <drawing r:id="rId1"/>
  <tableParts count="1"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3A6B0-16A3-0247-BDE7-41606813F8C3}">
  <dimension ref="A1:M8"/>
  <sheetViews>
    <sheetView workbookViewId="0">
      <selection activeCell="I14" sqref="I14"/>
    </sheetView>
  </sheetViews>
  <sheetFormatPr baseColWidth="10" defaultRowHeight="16" x14ac:dyDescent="0.2"/>
  <cols>
    <col min="4" max="4" width="11.33203125" customWidth="1"/>
    <col min="5" max="5" width="24" customWidth="1"/>
    <col min="6" max="6" width="13" customWidth="1"/>
    <col min="7" max="7" width="21.33203125" customWidth="1"/>
    <col min="9" max="9" width="30.83203125" bestFit="1" customWidth="1"/>
    <col min="10" max="10" width="11.5" bestFit="1" customWidth="1"/>
    <col min="12" max="12" width="17.33203125" bestFit="1" customWidth="1"/>
  </cols>
  <sheetData>
    <row r="1" spans="1:13" x14ac:dyDescent="0.2">
      <c r="A1" s="58" t="s">
        <v>88</v>
      </c>
      <c r="B1" s="55" t="s">
        <v>101</v>
      </c>
      <c r="C1" s="55"/>
      <c r="D1" s="55"/>
      <c r="E1" s="55"/>
    </row>
    <row r="2" spans="1:13" x14ac:dyDescent="0.2">
      <c r="A2" s="58"/>
      <c r="B2" s="60"/>
      <c r="C2" s="60"/>
      <c r="D2" s="60"/>
      <c r="E2" s="60"/>
      <c r="I2" t="s">
        <v>101</v>
      </c>
    </row>
    <row r="3" spans="1:13" x14ac:dyDescent="0.2">
      <c r="A3" s="25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  <c r="I3" s="9"/>
      <c r="J3" s="16"/>
      <c r="M3" s="18"/>
    </row>
    <row r="4" spans="1:13" x14ac:dyDescent="0.2">
      <c r="A4">
        <v>1</v>
      </c>
      <c r="I4" s="4"/>
      <c r="J4" s="4"/>
    </row>
    <row r="5" spans="1:13" x14ac:dyDescent="0.2">
      <c r="I5" s="4"/>
      <c r="J5" s="4"/>
    </row>
    <row r="6" spans="1:13" x14ac:dyDescent="0.2">
      <c r="I6" s="4"/>
      <c r="J6" s="4"/>
    </row>
    <row r="7" spans="1:13" x14ac:dyDescent="0.2">
      <c r="I7" s="4"/>
      <c r="J7" s="4"/>
    </row>
    <row r="8" spans="1:13" x14ac:dyDescent="0.2">
      <c r="J8" s="16"/>
    </row>
  </sheetData>
  <mergeCells count="2">
    <mergeCell ref="A1:A2"/>
    <mergeCell ref="B1:E2"/>
  </mergeCells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363A-2B21-FB4B-B684-E8A4B317E1B1}">
  <dimension ref="A1:M21"/>
  <sheetViews>
    <sheetView workbookViewId="0">
      <selection activeCell="E33" sqref="E33"/>
    </sheetView>
  </sheetViews>
  <sheetFormatPr baseColWidth="10" defaultRowHeight="16" x14ac:dyDescent="0.2"/>
  <cols>
    <col min="3" max="3" width="15" bestFit="1" customWidth="1"/>
    <col min="4" max="4" width="11.33203125" customWidth="1"/>
    <col min="5" max="5" width="24" customWidth="1"/>
    <col min="6" max="6" width="13" customWidth="1"/>
    <col min="7" max="7" width="21.33203125" customWidth="1"/>
    <col min="9" max="9" width="26.1640625" bestFit="1" customWidth="1"/>
    <col min="10" max="10" width="11.5" bestFit="1" customWidth="1"/>
    <col min="12" max="12" width="17.33203125" bestFit="1" customWidth="1"/>
  </cols>
  <sheetData>
    <row r="1" spans="1:13" x14ac:dyDescent="0.2">
      <c r="A1" s="58" t="s">
        <v>89</v>
      </c>
      <c r="B1" s="55" t="s">
        <v>102</v>
      </c>
      <c r="C1" s="55"/>
      <c r="D1" s="55"/>
      <c r="E1" s="55"/>
    </row>
    <row r="2" spans="1:13" x14ac:dyDescent="0.2">
      <c r="A2" s="58"/>
      <c r="B2" s="60"/>
      <c r="C2" s="60"/>
      <c r="D2" s="60"/>
      <c r="E2" s="60"/>
      <c r="I2" t="s">
        <v>102</v>
      </c>
    </row>
    <row r="3" spans="1:13" x14ac:dyDescent="0.2">
      <c r="A3" s="25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  <c r="I3" s="9" t="s">
        <v>39</v>
      </c>
      <c r="J3" s="16" cm="1">
        <f t="array" ref="J3">AVERAGE(IF(Table36[Cumplimiento de Meta %]&gt;=100%,1,0))</f>
        <v>0.61111111111111116</v>
      </c>
      <c r="L3" t="s">
        <v>41</v>
      </c>
      <c r="M3" s="18">
        <f>(COUNT(Table36[[#All],[Semana]])*7)/30</f>
        <v>4.2</v>
      </c>
    </row>
    <row r="4" spans="1:13" x14ac:dyDescent="0.2">
      <c r="A4" s="43">
        <v>1</v>
      </c>
      <c r="B4" s="20">
        <v>45614</v>
      </c>
      <c r="C4" s="4">
        <v>300</v>
      </c>
      <c r="D4" s="4">
        <v>300</v>
      </c>
      <c r="E4" s="21">
        <f t="shared" ref="E4" si="0">D4/C4</f>
        <v>1</v>
      </c>
      <c r="F4" s="22">
        <f>IF(SUM($C$4:C4)-SUM($D$4:D4)&gt;0, (SUM($C$4:C4)-SUM($D$4:D4))/SUM($C$4:C4), 0)</f>
        <v>0</v>
      </c>
      <c r="G4" s="42">
        <f t="shared" ref="G4" si="1">D4-C4</f>
        <v>0</v>
      </c>
      <c r="I4" s="4"/>
      <c r="J4" s="4"/>
    </row>
    <row r="5" spans="1:13" x14ac:dyDescent="0.2">
      <c r="A5" s="43">
        <v>2</v>
      </c>
      <c r="B5" s="20">
        <v>45621</v>
      </c>
      <c r="C5" s="4">
        <v>600</v>
      </c>
      <c r="D5" s="4">
        <v>600</v>
      </c>
      <c r="E5" s="21">
        <f t="shared" ref="E5:E15" si="2">D5/C5</f>
        <v>1</v>
      </c>
      <c r="F5" s="22">
        <f>IF(SUM($C$4:C5)-SUM($D$4:D5)&gt;0, (SUM($C$4:C5)-SUM($D$4:D5))/SUM($C$4:C5), 0)</f>
        <v>0</v>
      </c>
      <c r="G5" s="42">
        <f t="shared" ref="G5:G15" si="3">D5-C5</f>
        <v>0</v>
      </c>
      <c r="I5" s="4" t="s">
        <v>21</v>
      </c>
      <c r="J5" s="4">
        <f>SUM(Table36[[#All],[Meta]])</f>
        <v>36600</v>
      </c>
    </row>
    <row r="6" spans="1:13" x14ac:dyDescent="0.2">
      <c r="A6" s="43">
        <v>3</v>
      </c>
      <c r="B6" s="20">
        <v>45628</v>
      </c>
      <c r="C6" s="4">
        <v>1150</v>
      </c>
      <c r="D6" s="4">
        <v>1150</v>
      </c>
      <c r="E6" s="21">
        <f t="shared" si="2"/>
        <v>1</v>
      </c>
      <c r="F6" s="22">
        <f>IF(SUM($C$4:C6)-SUM($D$4:D6)&gt;0, (SUM($C$4:C6)-SUM($D$4:D6))/SUM($C$4:C6), 0)</f>
        <v>0</v>
      </c>
      <c r="G6" s="42">
        <f t="shared" si="3"/>
        <v>0</v>
      </c>
      <c r="I6" s="4" t="s">
        <v>22</v>
      </c>
      <c r="J6" s="4">
        <f>SUM(Table36[[#All],[Cobranza]])</f>
        <v>30700</v>
      </c>
    </row>
    <row r="7" spans="1:13" x14ac:dyDescent="0.2">
      <c r="A7" s="43">
        <v>4</v>
      </c>
      <c r="B7" s="20">
        <v>45635</v>
      </c>
      <c r="C7" s="4">
        <v>1150</v>
      </c>
      <c r="D7" s="4">
        <v>1400</v>
      </c>
      <c r="E7" s="21">
        <f t="shared" si="2"/>
        <v>1.2173913043478262</v>
      </c>
      <c r="F7" s="22">
        <f>IF(SUM($C$4:C7)-SUM($D$4:D7)&gt;0, (SUM($C$4:C7)-SUM($D$4:D7))/SUM($C$4:C7), 0)</f>
        <v>0</v>
      </c>
      <c r="G7" s="42">
        <f t="shared" si="3"/>
        <v>250</v>
      </c>
      <c r="I7" s="4" t="s">
        <v>23</v>
      </c>
      <c r="J7" s="4">
        <f>SUM(Table36[[#All],[Didiferencia Absoluta]])</f>
        <v>-5900</v>
      </c>
    </row>
    <row r="8" spans="1:13" x14ac:dyDescent="0.2">
      <c r="A8" s="43">
        <v>5</v>
      </c>
      <c r="B8" s="20">
        <v>45642</v>
      </c>
      <c r="C8" s="4">
        <v>1400</v>
      </c>
      <c r="D8" s="4">
        <v>1150</v>
      </c>
      <c r="E8" s="21">
        <f t="shared" si="2"/>
        <v>0.8214285714285714</v>
      </c>
      <c r="F8" s="22">
        <f>IF(SUM($C$4:C8)-SUM($D$4:D8)&gt;0, (SUM($C$4:C8)-SUM($D$4:D8))/SUM($C$4:C8), 0)</f>
        <v>0</v>
      </c>
      <c r="G8" s="42">
        <f t="shared" si="3"/>
        <v>-250</v>
      </c>
      <c r="I8" t="s">
        <v>24</v>
      </c>
      <c r="J8" s="16">
        <f>(J7/J5)*-1</f>
        <v>0.16120218579234974</v>
      </c>
    </row>
    <row r="9" spans="1:13" x14ac:dyDescent="0.2">
      <c r="A9" s="43">
        <v>6</v>
      </c>
      <c r="B9" s="20">
        <v>45649</v>
      </c>
      <c r="C9" s="4">
        <v>1400</v>
      </c>
      <c r="D9" s="4">
        <v>1400</v>
      </c>
      <c r="E9" s="21">
        <f t="shared" si="2"/>
        <v>1</v>
      </c>
      <c r="F9" s="22">
        <f>IF(SUM($C$4:C9)-SUM($D$4:D9)&gt;0, (SUM($C$4:C9)-SUM($D$4:D9))/SUM($C$4:C9), 0)</f>
        <v>0</v>
      </c>
      <c r="G9" s="42">
        <f t="shared" si="3"/>
        <v>0</v>
      </c>
    </row>
    <row r="10" spans="1:13" x14ac:dyDescent="0.2">
      <c r="A10" s="43">
        <v>7</v>
      </c>
      <c r="B10" s="20">
        <v>45656</v>
      </c>
      <c r="C10" s="4">
        <v>1700</v>
      </c>
      <c r="D10" s="4">
        <v>1700</v>
      </c>
      <c r="E10" s="21">
        <f t="shared" si="2"/>
        <v>1</v>
      </c>
      <c r="F10" s="22">
        <f>IF(SUM($C$4:C10)-SUM($D$4:D10)&gt;0, (SUM($C$4:C10)-SUM($D$4:D10))/SUM($C$4:C10), 0)</f>
        <v>0</v>
      </c>
      <c r="G10" s="42">
        <f t="shared" si="3"/>
        <v>0</v>
      </c>
    </row>
    <row r="11" spans="1:13" x14ac:dyDescent="0.2">
      <c r="A11" s="43">
        <v>8</v>
      </c>
      <c r="B11" s="20">
        <v>45663</v>
      </c>
      <c r="C11" s="4">
        <v>2000</v>
      </c>
      <c r="D11" s="4">
        <v>2000</v>
      </c>
      <c r="E11" s="21">
        <f t="shared" si="2"/>
        <v>1</v>
      </c>
      <c r="F11" s="22">
        <f>IF(SUM($C$4:C11)-SUM($D$4:D11)&gt;0, (SUM($C$4:C11)-SUM($D$4:D11))/SUM($C$4:C11), 0)</f>
        <v>0</v>
      </c>
      <c r="G11" s="42">
        <f t="shared" si="3"/>
        <v>0</v>
      </c>
    </row>
    <row r="12" spans="1:13" x14ac:dyDescent="0.2">
      <c r="A12" s="43">
        <v>9</v>
      </c>
      <c r="B12" s="20">
        <v>45670</v>
      </c>
      <c r="C12" s="4">
        <v>2000</v>
      </c>
      <c r="D12" s="4">
        <v>2000</v>
      </c>
      <c r="E12" s="21">
        <f t="shared" si="2"/>
        <v>1</v>
      </c>
      <c r="F12" s="22">
        <f>IF(SUM($C$4:C12)-SUM($D$4:D12)&gt;0, (SUM($C$4:C12)-SUM($D$4:D12))/SUM($C$4:C12), 0)</f>
        <v>0</v>
      </c>
      <c r="G12" s="42">
        <f t="shared" si="3"/>
        <v>0</v>
      </c>
    </row>
    <row r="13" spans="1:13" x14ac:dyDescent="0.2">
      <c r="A13" s="43">
        <v>10</v>
      </c>
      <c r="B13" s="20">
        <v>45677</v>
      </c>
      <c r="C13" s="4">
        <v>2600</v>
      </c>
      <c r="D13" s="4">
        <v>2600</v>
      </c>
      <c r="E13" s="21">
        <f t="shared" si="2"/>
        <v>1</v>
      </c>
      <c r="F13" s="22">
        <f>IF(SUM($C$4:C13)-SUM($D$4:D13)&gt;0, (SUM($C$4:C13)-SUM($D$4:D13))/SUM($C$4:C13), 0)</f>
        <v>0</v>
      </c>
      <c r="G13" s="42">
        <f t="shared" si="3"/>
        <v>0</v>
      </c>
    </row>
    <row r="14" spans="1:13" x14ac:dyDescent="0.2">
      <c r="A14" s="43">
        <v>11</v>
      </c>
      <c r="B14" s="20">
        <v>45684</v>
      </c>
      <c r="C14" s="4">
        <v>2600</v>
      </c>
      <c r="D14" s="4">
        <v>2600</v>
      </c>
      <c r="E14" s="21">
        <f t="shared" si="2"/>
        <v>1</v>
      </c>
      <c r="F14" s="22">
        <f>IF(SUM($C$4:C14)-SUM($D$4:D14)&gt;0, (SUM($C$4:C14)-SUM($D$4:D14))/SUM($C$4:C14), 0)</f>
        <v>0</v>
      </c>
      <c r="G14" s="42">
        <f t="shared" si="3"/>
        <v>0</v>
      </c>
    </row>
    <row r="15" spans="1:13" x14ac:dyDescent="0.2">
      <c r="A15" s="43">
        <v>12</v>
      </c>
      <c r="B15" s="20">
        <v>45691</v>
      </c>
      <c r="C15" s="4">
        <v>2600</v>
      </c>
      <c r="D15" s="4">
        <v>2300</v>
      </c>
      <c r="E15" s="21">
        <f t="shared" si="2"/>
        <v>0.88461538461538458</v>
      </c>
      <c r="F15" s="22">
        <f>IF(SUM($C$4:C15)-SUM($D$4:D15)&gt;0, (SUM($C$4:C15)-SUM($D$4:D15))/SUM($C$4:C15), 0)</f>
        <v>1.5384615384615385E-2</v>
      </c>
      <c r="G15" s="42">
        <f t="shared" si="3"/>
        <v>-300</v>
      </c>
    </row>
    <row r="16" spans="1:13" x14ac:dyDescent="0.2">
      <c r="A16" s="43">
        <v>13</v>
      </c>
      <c r="B16" s="20">
        <v>45698</v>
      </c>
      <c r="C16" s="4">
        <v>2100</v>
      </c>
      <c r="D16" s="4">
        <v>2350</v>
      </c>
      <c r="E16" s="21">
        <f>D16/C16</f>
        <v>1.1190476190476191</v>
      </c>
      <c r="F16" s="22">
        <f>IF(SUM($C$4:C16)-SUM($D$4:D16)&gt;0, (SUM($C$4:C16)-SUM($D$4:D16))/SUM($C$4:C16), 0)</f>
        <v>2.3148148148148147E-3</v>
      </c>
      <c r="G16" s="42">
        <f>D16-C16</f>
        <v>250</v>
      </c>
    </row>
    <row r="17" spans="1:7" x14ac:dyDescent="0.2">
      <c r="A17" s="43">
        <v>14</v>
      </c>
      <c r="B17" s="20">
        <v>45705</v>
      </c>
      <c r="C17" s="4">
        <v>2750</v>
      </c>
      <c r="D17" s="4">
        <v>2150</v>
      </c>
      <c r="E17" s="21">
        <f>D17/C17</f>
        <v>0.78181818181818186</v>
      </c>
      <c r="F17" s="22">
        <f>IF(SUM($C$4:C17)-SUM($D$4:D17)&gt;0, (SUM($C$4:C17)-SUM($D$4:D17))/SUM($C$4:C17), 0)</f>
        <v>2.6694045174537988E-2</v>
      </c>
      <c r="G17" s="42">
        <f>D17-C17</f>
        <v>-600</v>
      </c>
    </row>
    <row r="18" spans="1:7" x14ac:dyDescent="0.2">
      <c r="A18" s="43">
        <v>15</v>
      </c>
      <c r="B18" s="20">
        <v>45712</v>
      </c>
      <c r="C18" s="4">
        <v>2800</v>
      </c>
      <c r="D18" s="4">
        <v>2200</v>
      </c>
      <c r="E18" s="21">
        <f>D18/C18</f>
        <v>0.7857142857142857</v>
      </c>
      <c r="F18" s="22">
        <f>IF(SUM($C$4:C18)-SUM($D$4:D18)&gt;0, (SUM($C$4:C18)-SUM($D$4:D18))/SUM($C$4:C18), 0)</f>
        <v>4.6040515653775323E-2</v>
      </c>
      <c r="G18" s="42">
        <f>D18-C18</f>
        <v>-600</v>
      </c>
    </row>
    <row r="19" spans="1:7" x14ac:dyDescent="0.2">
      <c r="A19" s="43">
        <v>16</v>
      </c>
      <c r="B19" s="20">
        <v>45719</v>
      </c>
      <c r="C19" s="4">
        <v>2850</v>
      </c>
      <c r="D19" s="4">
        <v>2250</v>
      </c>
      <c r="E19" s="21">
        <f>D19/C19</f>
        <v>0.78947368421052633</v>
      </c>
      <c r="F19" s="22">
        <f>IF(SUM($C$4:C19)-SUM($D$4:D19)&gt;0, (SUM($C$4:C19)-SUM($D$4:D19))/SUM($C$4:C19), 0)</f>
        <v>6.1666666666666668E-2</v>
      </c>
      <c r="G19" s="42">
        <f>D19-C19</f>
        <v>-600</v>
      </c>
    </row>
    <row r="20" spans="1:7" x14ac:dyDescent="0.2">
      <c r="A20" s="43">
        <v>17</v>
      </c>
      <c r="B20" s="20">
        <v>45726</v>
      </c>
      <c r="C20" s="4">
        <v>3150</v>
      </c>
      <c r="D20" s="4">
        <v>2550</v>
      </c>
      <c r="E20" s="21">
        <f>D20/C20</f>
        <v>0.80952380952380953</v>
      </c>
      <c r="F20" s="22">
        <f>IF(SUM($C$4:C20)-SUM($D$4:D20)&gt;0, (SUM($C$4:C20)-SUM($D$4:D20))/SUM($C$4:C20), 0)</f>
        <v>7.3906485671191555E-2</v>
      </c>
      <c r="G20" s="42">
        <f>D20-C20</f>
        <v>-600</v>
      </c>
    </row>
    <row r="21" spans="1:7" x14ac:dyDescent="0.2">
      <c r="A21" s="43">
        <v>18</v>
      </c>
      <c r="B21" s="20">
        <v>45733</v>
      </c>
      <c r="C21" s="4">
        <v>3450</v>
      </c>
      <c r="D21" s="4"/>
      <c r="E21" s="64">
        <f>D21/C21</f>
        <v>0</v>
      </c>
      <c r="F21" s="22">
        <f>IF(SUM($C$4:C21)-SUM($D$4:D21)&gt;0, (SUM($C$4:C21)-SUM($D$4:D21))/SUM($C$4:C21), 0)</f>
        <v>0.16120218579234974</v>
      </c>
      <c r="G21" s="69">
        <f>D21-C21</f>
        <v>-3450</v>
      </c>
    </row>
  </sheetData>
  <mergeCells count="2">
    <mergeCell ref="A1:A2"/>
    <mergeCell ref="B1:E2"/>
  </mergeCells>
  <pageMargins left="0.7" right="0.7" top="0.75" bottom="0.75" header="0.3" footer="0.3"/>
  <drawing r:id="rId1"/>
  <tableParts count="1">
    <tablePart r:id="rId2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F2746-D03D-AC4C-A48C-DD4C5AC8BEB2}">
  <dimension ref="A1:M22"/>
  <sheetViews>
    <sheetView workbookViewId="0">
      <selection activeCell="E30" sqref="E30"/>
    </sheetView>
  </sheetViews>
  <sheetFormatPr baseColWidth="10" defaultRowHeight="16" x14ac:dyDescent="0.2"/>
  <cols>
    <col min="3" max="3" width="14.33203125" customWidth="1"/>
    <col min="4" max="4" width="13.6640625" customWidth="1"/>
    <col min="5" max="5" width="24" customWidth="1"/>
    <col min="6" max="6" width="13" customWidth="1"/>
    <col min="7" max="7" width="21.33203125" customWidth="1"/>
    <col min="9" max="9" width="25.33203125" customWidth="1"/>
    <col min="10" max="10" width="11.5" bestFit="1" customWidth="1"/>
    <col min="12" max="12" width="17.33203125" bestFit="1" customWidth="1"/>
  </cols>
  <sheetData>
    <row r="1" spans="1:13" x14ac:dyDescent="0.2">
      <c r="A1" s="58" t="s">
        <v>90</v>
      </c>
      <c r="B1" s="55" t="s">
        <v>103</v>
      </c>
      <c r="C1" s="55"/>
      <c r="D1" s="55"/>
      <c r="E1" s="55"/>
    </row>
    <row r="2" spans="1:13" x14ac:dyDescent="0.2">
      <c r="A2" s="58"/>
      <c r="B2" s="60"/>
      <c r="C2" s="60"/>
      <c r="D2" s="60"/>
      <c r="E2" s="60"/>
      <c r="I2" t="s">
        <v>103</v>
      </c>
    </row>
    <row r="3" spans="1:13" x14ac:dyDescent="0.2">
      <c r="A3" s="25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  <c r="I3" s="9" t="s">
        <v>39</v>
      </c>
      <c r="J3" s="16" cm="1">
        <f t="array" ref="J3">AVERAGE(IF(Table37[Cumplimiento de Meta %]&gt;=100%,1,0))</f>
        <v>0.42105263157894735</v>
      </c>
      <c r="L3" t="s">
        <v>41</v>
      </c>
      <c r="M3" s="18">
        <f>(COUNT(Table37[[#All],[Semana]])*7)/30</f>
        <v>4.4333333333333336</v>
      </c>
    </row>
    <row r="4" spans="1:13" x14ac:dyDescent="0.2">
      <c r="A4">
        <v>1</v>
      </c>
      <c r="B4" s="20">
        <v>45607</v>
      </c>
      <c r="C4" s="4">
        <v>300</v>
      </c>
      <c r="D4" s="4">
        <v>300</v>
      </c>
      <c r="E4" s="21">
        <f t="shared" ref="E4" si="0">D4/C4</f>
        <v>1</v>
      </c>
      <c r="F4" s="22">
        <f>IF(SUM($C$4:C4)-SUM($D$4:D4)&gt;0, (SUM($C$4:C4)-SUM($D$4:D4))/SUM($C$4:C4), 0)</f>
        <v>0</v>
      </c>
      <c r="G4" s="42">
        <f t="shared" ref="G4" si="1">D4-C4</f>
        <v>0</v>
      </c>
      <c r="I4" s="4"/>
      <c r="J4" s="4"/>
    </row>
    <row r="5" spans="1:13" x14ac:dyDescent="0.2">
      <c r="A5">
        <v>2</v>
      </c>
      <c r="B5" s="20">
        <v>45614</v>
      </c>
      <c r="C5" s="4">
        <v>600</v>
      </c>
      <c r="D5" s="4">
        <v>600</v>
      </c>
      <c r="E5" s="21">
        <f t="shared" ref="E5:E16" si="2">D5/C5</f>
        <v>1</v>
      </c>
      <c r="F5" s="22">
        <f>IF(SUM($C$4:C5)-SUM($D$4:D5)&gt;0, (SUM($C$4:C5)-SUM($D$4:D5))/SUM($C$4:C5), 0)</f>
        <v>0</v>
      </c>
      <c r="G5" s="42">
        <f t="shared" ref="G5:G16" si="3">D5-C5</f>
        <v>0</v>
      </c>
      <c r="I5" s="4" t="s">
        <v>21</v>
      </c>
      <c r="J5" s="4">
        <f>SUM(Table37[[#All],[Meta]])</f>
        <v>25550</v>
      </c>
    </row>
    <row r="6" spans="1:13" x14ac:dyDescent="0.2">
      <c r="A6">
        <v>3</v>
      </c>
      <c r="B6" s="20">
        <v>45621</v>
      </c>
      <c r="C6" s="4">
        <v>1500</v>
      </c>
      <c r="D6" s="4">
        <v>1500</v>
      </c>
      <c r="E6" s="21">
        <f t="shared" si="2"/>
        <v>1</v>
      </c>
      <c r="F6" s="22">
        <f>IF(SUM($C$4:C6)-SUM($D$4:D6)&gt;0, (SUM($C$4:C6)-SUM($D$4:D6))/SUM($C$4:C6), 0)</f>
        <v>0</v>
      </c>
      <c r="G6" s="42">
        <f t="shared" si="3"/>
        <v>0</v>
      </c>
      <c r="I6" s="4" t="s">
        <v>22</v>
      </c>
      <c r="J6" s="4">
        <f>SUM(Table37[[#All],[Cobranza]])</f>
        <v>17650</v>
      </c>
    </row>
    <row r="7" spans="1:13" x14ac:dyDescent="0.2">
      <c r="A7">
        <v>4</v>
      </c>
      <c r="B7" s="20">
        <v>45628</v>
      </c>
      <c r="C7" s="4">
        <v>1500</v>
      </c>
      <c r="D7" s="4">
        <v>1800</v>
      </c>
      <c r="E7" s="21">
        <f t="shared" si="2"/>
        <v>1.2</v>
      </c>
      <c r="F7" s="22">
        <f>IF(SUM($C$4:C7)-SUM($D$4:D7)&gt;0, (SUM($C$4:C7)-SUM($D$4:D7))/SUM($C$4:C7), 0)</f>
        <v>0</v>
      </c>
      <c r="G7" s="42">
        <f t="shared" si="3"/>
        <v>300</v>
      </c>
      <c r="I7" s="4" t="s">
        <v>23</v>
      </c>
      <c r="J7" s="4">
        <f>SUM(Table37[[#All],[Didiferencia Absoluta]])</f>
        <v>-7900</v>
      </c>
    </row>
    <row r="8" spans="1:13" x14ac:dyDescent="0.2">
      <c r="A8">
        <v>5</v>
      </c>
      <c r="B8" s="20">
        <v>45635</v>
      </c>
      <c r="C8" s="4">
        <v>1500</v>
      </c>
      <c r="D8" s="4">
        <v>1200</v>
      </c>
      <c r="E8" s="21">
        <f t="shared" si="2"/>
        <v>0.8</v>
      </c>
      <c r="F8" s="22">
        <f>IF(SUM($C$4:C8)-SUM($D$4:D8)&gt;0, (SUM($C$4:C8)-SUM($D$4:D8))/SUM($C$4:C8), 0)</f>
        <v>0</v>
      </c>
      <c r="G8" s="42">
        <f t="shared" si="3"/>
        <v>-300</v>
      </c>
      <c r="I8" t="s">
        <v>24</v>
      </c>
      <c r="J8" s="16">
        <f>(J7/J5)*-1</f>
        <v>0.30919765166340507</v>
      </c>
    </row>
    <row r="9" spans="1:13" x14ac:dyDescent="0.2">
      <c r="A9">
        <v>6</v>
      </c>
      <c r="B9" s="20">
        <v>45642</v>
      </c>
      <c r="C9" s="4">
        <v>1500</v>
      </c>
      <c r="D9" s="4">
        <v>900</v>
      </c>
      <c r="E9" s="21">
        <f t="shared" si="2"/>
        <v>0.6</v>
      </c>
      <c r="F9" s="22">
        <f>IF(SUM($C$4:C9)-SUM($D$4:D9)&gt;0, (SUM($C$4:C9)-SUM($D$4:D9))/SUM($C$4:C9), 0)</f>
        <v>8.6956521739130432E-2</v>
      </c>
      <c r="G9" s="42">
        <f t="shared" si="3"/>
        <v>-600</v>
      </c>
    </row>
    <row r="10" spans="1:13" x14ac:dyDescent="0.2">
      <c r="A10">
        <v>7</v>
      </c>
      <c r="B10" s="20">
        <v>45649</v>
      </c>
      <c r="C10" s="4">
        <v>1500</v>
      </c>
      <c r="D10" s="4">
        <v>1500</v>
      </c>
      <c r="E10" s="21">
        <f t="shared" si="2"/>
        <v>1</v>
      </c>
      <c r="F10" s="22">
        <f>IF(SUM($C$4:C10)-SUM($D$4:D10)&gt;0, (SUM($C$4:C10)-SUM($D$4:D10))/SUM($C$4:C10), 0)</f>
        <v>7.1428571428571425E-2</v>
      </c>
      <c r="G10" s="42">
        <f t="shared" si="3"/>
        <v>0</v>
      </c>
    </row>
    <row r="11" spans="1:13" x14ac:dyDescent="0.2">
      <c r="A11">
        <v>8</v>
      </c>
      <c r="B11" s="20">
        <v>45656</v>
      </c>
      <c r="C11" s="4">
        <v>1500</v>
      </c>
      <c r="D11" s="4">
        <v>1500</v>
      </c>
      <c r="E11" s="21">
        <f t="shared" si="2"/>
        <v>1</v>
      </c>
      <c r="F11" s="22">
        <f>IF(SUM($C$4:C11)-SUM($D$4:D11)&gt;0, (SUM($C$4:C11)-SUM($D$4:D11))/SUM($C$4:C11), 0)</f>
        <v>6.0606060606060608E-2</v>
      </c>
      <c r="G11" s="42">
        <f t="shared" si="3"/>
        <v>0</v>
      </c>
    </row>
    <row r="12" spans="1:13" x14ac:dyDescent="0.2">
      <c r="A12">
        <v>9</v>
      </c>
      <c r="B12" s="20">
        <v>45663</v>
      </c>
      <c r="C12" s="4">
        <v>1500</v>
      </c>
      <c r="D12" s="4">
        <v>1500</v>
      </c>
      <c r="E12" s="21">
        <f t="shared" si="2"/>
        <v>1</v>
      </c>
      <c r="F12" s="22">
        <f>IF(SUM($C$4:C12)-SUM($D$4:D12)&gt;0, (SUM($C$4:C12)-SUM($D$4:D12))/SUM($C$4:C12), 0)</f>
        <v>5.2631578947368418E-2</v>
      </c>
      <c r="G12" s="42">
        <f t="shared" si="3"/>
        <v>0</v>
      </c>
    </row>
    <row r="13" spans="1:13" x14ac:dyDescent="0.2">
      <c r="A13">
        <v>10</v>
      </c>
      <c r="B13" s="20">
        <v>45670</v>
      </c>
      <c r="C13" s="4">
        <v>1800</v>
      </c>
      <c r="D13" s="4">
        <v>1200</v>
      </c>
      <c r="E13" s="21">
        <f t="shared" si="2"/>
        <v>0.66666666666666663</v>
      </c>
      <c r="F13" s="22">
        <f>IF(SUM($C$4:C13)-SUM($D$4:D13)&gt;0, (SUM($C$4:C13)-SUM($D$4:D13))/SUM($C$4:C13), 0)</f>
        <v>9.0909090909090912E-2</v>
      </c>
      <c r="G13" s="42">
        <f t="shared" si="3"/>
        <v>-600</v>
      </c>
    </row>
    <row r="14" spans="1:13" x14ac:dyDescent="0.2">
      <c r="A14">
        <v>11</v>
      </c>
      <c r="B14" s="20">
        <v>45677</v>
      </c>
      <c r="C14" s="4">
        <v>1800</v>
      </c>
      <c r="D14" s="4">
        <v>900</v>
      </c>
      <c r="E14" s="21">
        <f t="shared" si="2"/>
        <v>0.5</v>
      </c>
      <c r="F14" s="22">
        <f>IF(SUM($C$4:C14)-SUM($D$4:D14)&gt;0, (SUM($C$4:C14)-SUM($D$4:D14))/SUM($C$4:C14), 0)</f>
        <v>0.14000000000000001</v>
      </c>
      <c r="G14" s="42">
        <f t="shared" si="3"/>
        <v>-900</v>
      </c>
    </row>
    <row r="15" spans="1:13" x14ac:dyDescent="0.2">
      <c r="A15">
        <v>12</v>
      </c>
      <c r="B15" s="20">
        <v>45684</v>
      </c>
      <c r="C15" s="4">
        <v>1500</v>
      </c>
      <c r="D15" s="4">
        <v>1500</v>
      </c>
      <c r="E15" s="21">
        <f t="shared" si="2"/>
        <v>1</v>
      </c>
      <c r="F15" s="22">
        <f>IF(SUM($C$4:C15)-SUM($D$4:D15)&gt;0, (SUM($C$4:C15)-SUM($D$4:D15))/SUM($C$4:C15), 0)</f>
        <v>0.12727272727272726</v>
      </c>
      <c r="G15" s="42">
        <f t="shared" si="3"/>
        <v>0</v>
      </c>
    </row>
    <row r="16" spans="1:13" x14ac:dyDescent="0.2">
      <c r="A16">
        <v>13</v>
      </c>
      <c r="B16" s="20">
        <v>45691</v>
      </c>
      <c r="C16" s="4">
        <v>1850</v>
      </c>
      <c r="D16" s="4">
        <v>0</v>
      </c>
      <c r="E16" s="21">
        <f t="shared" si="2"/>
        <v>0</v>
      </c>
      <c r="F16" s="22">
        <f>IF(SUM($C$4:C16)-SUM($D$4:D16)&gt;0, (SUM($C$4:C16)-SUM($D$4:D16))/SUM($C$4:C16), 0)</f>
        <v>0.21525885558583105</v>
      </c>
      <c r="G16" s="42">
        <f t="shared" si="3"/>
        <v>-1850</v>
      </c>
    </row>
    <row r="17" spans="1:7" x14ac:dyDescent="0.2">
      <c r="A17">
        <v>14</v>
      </c>
      <c r="B17" s="20">
        <v>45698</v>
      </c>
      <c r="C17" s="4">
        <v>1850</v>
      </c>
      <c r="D17" s="4">
        <v>1600</v>
      </c>
      <c r="E17" s="21">
        <f>D17/C17</f>
        <v>0.86486486486486491</v>
      </c>
      <c r="F17" s="22">
        <f>IF(SUM($C$4:C17)-SUM($D$4:D17)&gt;0, (SUM($C$4:C17)-SUM($D$4:D17))/SUM($C$4:C17), 0)</f>
        <v>0.20792079207920791</v>
      </c>
      <c r="G17" s="42">
        <f>D17-C17</f>
        <v>-250</v>
      </c>
    </row>
    <row r="18" spans="1:7" x14ac:dyDescent="0.2">
      <c r="A18">
        <v>15</v>
      </c>
      <c r="B18" s="20">
        <v>45705</v>
      </c>
      <c r="C18" s="4">
        <v>1850</v>
      </c>
      <c r="D18" s="4">
        <v>1650</v>
      </c>
      <c r="E18" s="21">
        <f>D18/C18</f>
        <v>0.89189189189189189</v>
      </c>
      <c r="F18" s="22">
        <f>IF(SUM($C$4:C18)-SUM($D$4:D18)&gt;0, (SUM($C$4:C18)-SUM($D$4:D18))/SUM($C$4:C18), 0)</f>
        <v>0.19954648526077098</v>
      </c>
      <c r="G18" s="42">
        <f>D18-C18</f>
        <v>-200</v>
      </c>
    </row>
    <row r="19" spans="1:7" x14ac:dyDescent="0.2">
      <c r="A19">
        <v>16</v>
      </c>
      <c r="B19" s="20">
        <v>45712</v>
      </c>
      <c r="C19" s="4">
        <v>1550</v>
      </c>
      <c r="D19" s="4">
        <v>0</v>
      </c>
      <c r="E19" s="21">
        <f>D19/C19</f>
        <v>0</v>
      </c>
      <c r="F19" s="22">
        <f>IF(SUM($C$4:C19)-SUM($D$4:D19)&gt;0, (SUM($C$4:C19)-SUM($D$4:D19))/SUM($C$4:C19), 0)</f>
        <v>0.2521186440677966</v>
      </c>
      <c r="G19" s="42">
        <f>D19-C19</f>
        <v>-1550</v>
      </c>
    </row>
    <row r="20" spans="1:7" x14ac:dyDescent="0.2">
      <c r="A20">
        <v>17</v>
      </c>
      <c r="B20" s="20">
        <v>45719</v>
      </c>
      <c r="C20" s="4">
        <v>650</v>
      </c>
      <c r="D20" s="4">
        <v>0</v>
      </c>
      <c r="E20" s="21">
        <f>D20/C20</f>
        <v>0</v>
      </c>
      <c r="F20" s="22">
        <f>IF(SUM($C$4:C20)-SUM($D$4:D20)&gt;0, (SUM($C$4:C20)-SUM($D$4:D20))/SUM($C$4:C20), 0)</f>
        <v>0.27216494845360822</v>
      </c>
      <c r="G20" s="42">
        <f>D20-C20</f>
        <v>-650</v>
      </c>
    </row>
    <row r="21" spans="1:7" x14ac:dyDescent="0.2">
      <c r="A21">
        <v>18</v>
      </c>
      <c r="B21" s="20">
        <v>45726</v>
      </c>
      <c r="C21" s="4">
        <v>650</v>
      </c>
      <c r="D21" s="4">
        <v>0</v>
      </c>
      <c r="E21" s="21">
        <f>D21/C21</f>
        <v>0</v>
      </c>
      <c r="F21" s="22">
        <f>IF(SUM($C$4:C21)-SUM($D$4:D21)&gt;0, (SUM($C$4:C21)-SUM($D$4:D21))/SUM($C$4:C21), 0)</f>
        <v>0.29116465863453816</v>
      </c>
      <c r="G21" s="42">
        <f>D21-C21</f>
        <v>-650</v>
      </c>
    </row>
    <row r="22" spans="1:7" x14ac:dyDescent="0.2">
      <c r="A22">
        <v>19</v>
      </c>
      <c r="B22" s="20">
        <v>45733</v>
      </c>
      <c r="C22" s="4">
        <v>650</v>
      </c>
      <c r="D22" s="4"/>
      <c r="E22" s="64">
        <f>D22/C22</f>
        <v>0</v>
      </c>
      <c r="F22" s="22">
        <f>IF(SUM($C$4:C22)-SUM($D$4:D22)&gt;0, (SUM($C$4:C22)-SUM($D$4:D22))/SUM($C$4:C22), 0)</f>
        <v>0.30919765166340507</v>
      </c>
      <c r="G22" s="69">
        <f>D22-C22</f>
        <v>-650</v>
      </c>
    </row>
  </sheetData>
  <mergeCells count="2">
    <mergeCell ref="A1:A2"/>
    <mergeCell ref="B1:E2"/>
  </mergeCells>
  <pageMargins left="0.7" right="0.7" top="0.75" bottom="0.75" header="0.3" footer="0.3"/>
  <drawing r:id="rId1"/>
  <tableParts count="1">
    <tablePart r:id="rId2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6F76C-0F26-D042-B404-4B880962224B}">
  <dimension ref="A1:M18"/>
  <sheetViews>
    <sheetView workbookViewId="0">
      <selection activeCell="E27" sqref="E27"/>
    </sheetView>
  </sheetViews>
  <sheetFormatPr baseColWidth="10" defaultRowHeight="16" x14ac:dyDescent="0.2"/>
  <cols>
    <col min="4" max="4" width="11.33203125" customWidth="1"/>
    <col min="5" max="5" width="24" customWidth="1"/>
    <col min="6" max="6" width="13" customWidth="1"/>
    <col min="7" max="7" width="21.33203125" customWidth="1"/>
    <col min="9" max="9" width="25.1640625" customWidth="1"/>
    <col min="10" max="10" width="11.5" bestFit="1" customWidth="1"/>
    <col min="12" max="12" width="17.33203125" bestFit="1" customWidth="1"/>
  </cols>
  <sheetData>
    <row r="1" spans="1:13" x14ac:dyDescent="0.2">
      <c r="A1" s="58" t="s">
        <v>91</v>
      </c>
      <c r="B1" s="55" t="s">
        <v>104</v>
      </c>
      <c r="C1" s="55"/>
      <c r="D1" s="55"/>
      <c r="E1" s="55"/>
    </row>
    <row r="2" spans="1:13" x14ac:dyDescent="0.2">
      <c r="A2" s="58"/>
      <c r="B2" s="60"/>
      <c r="C2" s="60"/>
      <c r="D2" s="60"/>
      <c r="E2" s="60"/>
      <c r="I2" t="s">
        <v>104</v>
      </c>
    </row>
    <row r="3" spans="1:13" x14ac:dyDescent="0.2">
      <c r="A3" s="25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  <c r="I3" s="9" t="s">
        <v>39</v>
      </c>
      <c r="J3" s="16" cm="1">
        <f t="array" ref="J3">AVERAGE(IF(Table38[Cumplimiento de Meta %]&gt;=100%,1,0))</f>
        <v>0.6</v>
      </c>
      <c r="L3" t="s">
        <v>41</v>
      </c>
      <c r="M3" s="18">
        <f>(COUNT(Table38[[#All],[Semana]])*7)/30</f>
        <v>3.5</v>
      </c>
    </row>
    <row r="4" spans="1:13" x14ac:dyDescent="0.2">
      <c r="A4">
        <v>1</v>
      </c>
      <c r="B4" s="20">
        <v>45635</v>
      </c>
      <c r="C4" s="4">
        <v>600</v>
      </c>
      <c r="D4" s="4">
        <v>600</v>
      </c>
      <c r="E4" s="21">
        <f t="shared" ref="E4" si="0">D4/C4</f>
        <v>1</v>
      </c>
      <c r="F4" s="22">
        <f>IF(SUM($C$4:C4)-SUM($D$4:D4)&gt;0, (SUM($C$4:C4)-SUM($D$4:D4))/SUM($C$4:C4), 0)</f>
        <v>0</v>
      </c>
      <c r="G4" s="42">
        <f t="shared" ref="G4" si="1">D4-C4</f>
        <v>0</v>
      </c>
      <c r="I4" s="4"/>
      <c r="J4" s="4"/>
    </row>
    <row r="5" spans="1:13" x14ac:dyDescent="0.2">
      <c r="A5">
        <v>2</v>
      </c>
      <c r="B5" s="20">
        <v>45642</v>
      </c>
      <c r="C5" s="4">
        <v>1500</v>
      </c>
      <c r="D5" s="4">
        <v>1500</v>
      </c>
      <c r="E5" s="21">
        <f t="shared" ref="E5:E12" si="2">D5/C5</f>
        <v>1</v>
      </c>
      <c r="F5" s="22">
        <f>IF(SUM($C$4:C5)-SUM($D$4:D5)&gt;0, (SUM($C$4:C5)-SUM($D$4:D5))/SUM($C$4:C5), 0)</f>
        <v>0</v>
      </c>
      <c r="G5" s="42">
        <f t="shared" ref="G5:G12" si="3">D5-C5</f>
        <v>0</v>
      </c>
      <c r="I5" s="4" t="s">
        <v>21</v>
      </c>
      <c r="J5" s="4">
        <f>SUM(Table38[[#All],[Meta]])</f>
        <v>33900</v>
      </c>
    </row>
    <row r="6" spans="1:13" x14ac:dyDescent="0.2">
      <c r="A6">
        <v>3</v>
      </c>
      <c r="B6" s="20">
        <v>45649</v>
      </c>
      <c r="C6" s="4">
        <v>2100</v>
      </c>
      <c r="D6" s="4">
        <v>2100</v>
      </c>
      <c r="E6" s="21">
        <f t="shared" si="2"/>
        <v>1</v>
      </c>
      <c r="F6" s="22">
        <f>IF(SUM($C$4:C6)-SUM($D$4:D6)&gt;0, (SUM($C$4:C6)-SUM($D$4:D6))/SUM($C$4:C6), 0)</f>
        <v>0</v>
      </c>
      <c r="G6" s="42">
        <f t="shared" si="3"/>
        <v>0</v>
      </c>
      <c r="I6" s="4" t="s">
        <v>22</v>
      </c>
      <c r="J6" s="4">
        <f>SUM(Table38[[#All],[Cobranza]])</f>
        <v>22200</v>
      </c>
    </row>
    <row r="7" spans="1:13" x14ac:dyDescent="0.2">
      <c r="A7">
        <v>4</v>
      </c>
      <c r="B7" s="20">
        <v>45656</v>
      </c>
      <c r="C7" s="4">
        <v>2100</v>
      </c>
      <c r="D7" s="4">
        <v>2100</v>
      </c>
      <c r="E7" s="21">
        <f t="shared" si="2"/>
        <v>1</v>
      </c>
      <c r="F7" s="22">
        <f>IF(SUM($C$4:C7)-SUM($D$4:D7)&gt;0, (SUM($C$4:C7)-SUM($D$4:D7))/SUM($C$4:C7), 0)</f>
        <v>0</v>
      </c>
      <c r="G7" s="42">
        <f t="shared" si="3"/>
        <v>0</v>
      </c>
      <c r="I7" s="4" t="s">
        <v>23</v>
      </c>
      <c r="J7" s="4">
        <f>SUM(Table38[[#All],[Didiferencia Absoluta]])</f>
        <v>-11700</v>
      </c>
    </row>
    <row r="8" spans="1:13" x14ac:dyDescent="0.2">
      <c r="A8">
        <v>5</v>
      </c>
      <c r="B8" s="20">
        <v>45663</v>
      </c>
      <c r="C8" s="4">
        <v>2100</v>
      </c>
      <c r="D8" s="4">
        <v>2100</v>
      </c>
      <c r="E8" s="21">
        <f t="shared" si="2"/>
        <v>1</v>
      </c>
      <c r="F8" s="22">
        <f>IF(SUM($C$4:C8)-SUM($D$4:D8)&gt;0, (SUM($C$4:C8)-SUM($D$4:D8))/SUM($C$4:C8), 0)</f>
        <v>0</v>
      </c>
      <c r="G8" s="42">
        <f t="shared" si="3"/>
        <v>0</v>
      </c>
      <c r="I8" t="s">
        <v>24</v>
      </c>
      <c r="J8" s="16">
        <f>(J7/J5)*-1</f>
        <v>0.34513274336283184</v>
      </c>
    </row>
    <row r="9" spans="1:13" x14ac:dyDescent="0.2">
      <c r="A9">
        <v>6</v>
      </c>
      <c r="B9" s="20">
        <v>45670</v>
      </c>
      <c r="C9" s="4">
        <v>2400</v>
      </c>
      <c r="D9" s="4">
        <v>2400</v>
      </c>
      <c r="E9" s="21">
        <f t="shared" si="2"/>
        <v>1</v>
      </c>
      <c r="F9" s="22">
        <f>IF(SUM($C$4:C9)-SUM($D$4:D9)&gt;0, (SUM($C$4:C9)-SUM($D$4:D9))/SUM($C$4:C9), 0)</f>
        <v>0</v>
      </c>
      <c r="G9" s="42">
        <f t="shared" si="3"/>
        <v>0</v>
      </c>
    </row>
    <row r="10" spans="1:13" x14ac:dyDescent="0.2">
      <c r="A10">
        <v>7</v>
      </c>
      <c r="B10" s="20">
        <v>45677</v>
      </c>
      <c r="C10" s="4">
        <v>2400</v>
      </c>
      <c r="D10" s="4">
        <v>2400</v>
      </c>
      <c r="E10" s="21">
        <f t="shared" si="2"/>
        <v>1</v>
      </c>
      <c r="F10" s="22">
        <f>IF(SUM($C$4:C10)-SUM($D$4:D10)&gt;0, (SUM($C$4:C10)-SUM($D$4:D10))/SUM($C$4:C10), 0)</f>
        <v>0</v>
      </c>
      <c r="G10" s="42">
        <f t="shared" si="3"/>
        <v>0</v>
      </c>
    </row>
    <row r="11" spans="1:13" x14ac:dyDescent="0.2">
      <c r="A11">
        <v>8</v>
      </c>
      <c r="B11" s="20">
        <v>45684</v>
      </c>
      <c r="C11" s="4">
        <v>2400</v>
      </c>
      <c r="D11" s="4">
        <v>2400</v>
      </c>
      <c r="E11" s="21">
        <f t="shared" si="2"/>
        <v>1</v>
      </c>
      <c r="F11" s="22">
        <f>IF(SUM($C$4:C11)-SUM($D$4:D11)&gt;0, (SUM($C$4:C11)-SUM($D$4:D11))/SUM($C$4:C11), 0)</f>
        <v>0</v>
      </c>
      <c r="G11" s="42">
        <f t="shared" si="3"/>
        <v>0</v>
      </c>
    </row>
    <row r="12" spans="1:13" x14ac:dyDescent="0.2">
      <c r="A12">
        <v>9</v>
      </c>
      <c r="B12" s="20">
        <v>45691</v>
      </c>
      <c r="C12" s="4">
        <v>2700</v>
      </c>
      <c r="D12" s="4">
        <v>2100</v>
      </c>
      <c r="E12" s="21">
        <f t="shared" si="2"/>
        <v>0.77777777777777779</v>
      </c>
      <c r="F12" s="22">
        <f>IF(SUM($C$4:C12)-SUM($D$4:D12)&gt;0, (SUM($C$4:C12)-SUM($D$4:D12))/SUM($C$4:C12), 0)</f>
        <v>3.2786885245901641E-2</v>
      </c>
      <c r="G12" s="42">
        <f t="shared" si="3"/>
        <v>-600</v>
      </c>
    </row>
    <row r="13" spans="1:13" x14ac:dyDescent="0.2">
      <c r="A13">
        <v>10</v>
      </c>
      <c r="B13" s="20">
        <v>45698</v>
      </c>
      <c r="C13" s="4">
        <v>2700</v>
      </c>
      <c r="D13" s="4">
        <v>0</v>
      </c>
      <c r="E13" s="21">
        <f>D13/C13</f>
        <v>0</v>
      </c>
      <c r="F13" s="22">
        <f>IF(SUM($C$4:C13)-SUM($D$4:D13)&gt;0, (SUM($C$4:C13)-SUM($D$4:D13))/SUM($C$4:C13), 0)</f>
        <v>0.15714285714285714</v>
      </c>
      <c r="G13" s="42">
        <f>D13-C13</f>
        <v>-2700</v>
      </c>
    </row>
    <row r="14" spans="1:13" x14ac:dyDescent="0.2">
      <c r="A14">
        <v>11</v>
      </c>
      <c r="B14" s="20">
        <v>45705</v>
      </c>
      <c r="C14" s="4">
        <v>2700</v>
      </c>
      <c r="D14" s="4">
        <v>0</v>
      </c>
      <c r="E14" s="21">
        <f>D14/C14</f>
        <v>0</v>
      </c>
      <c r="F14" s="22">
        <f>IF(SUM($C$4:C14)-SUM($D$4:D14)&gt;0, (SUM($C$4:C14)-SUM($D$4:D14))/SUM($C$4:C14), 0)</f>
        <v>0.25316455696202533</v>
      </c>
      <c r="G14" s="42">
        <f>D14-C14</f>
        <v>-2700</v>
      </c>
    </row>
    <row r="15" spans="1:13" x14ac:dyDescent="0.2">
      <c r="A15">
        <v>12</v>
      </c>
      <c r="B15" s="20">
        <v>45712</v>
      </c>
      <c r="C15" s="4">
        <v>2700</v>
      </c>
      <c r="D15" s="4">
        <v>4500</v>
      </c>
      <c r="E15" s="21">
        <f>D15/C15</f>
        <v>1.6666666666666667</v>
      </c>
      <c r="F15" s="22">
        <f>IF(SUM($C$4:C15)-SUM($D$4:D15)&gt;0, (SUM($C$4:C15)-SUM($D$4:D15))/SUM($C$4:C15), 0)</f>
        <v>0.15909090909090909</v>
      </c>
      <c r="G15" s="42">
        <f>D15-C15</f>
        <v>1800</v>
      </c>
    </row>
    <row r="16" spans="1:13" x14ac:dyDescent="0.2">
      <c r="A16">
        <v>13</v>
      </c>
      <c r="B16" s="20">
        <v>45719</v>
      </c>
      <c r="C16" s="4">
        <v>2700</v>
      </c>
      <c r="D16" s="4">
        <v>0</v>
      </c>
      <c r="E16" s="21">
        <f>D16/C16</f>
        <v>0</v>
      </c>
      <c r="F16" s="22">
        <f>IF(SUM($C$4:C16)-SUM($D$4:D16)&gt;0, (SUM($C$4:C16)-SUM($D$4:D16))/SUM($C$4:C16), 0)</f>
        <v>0.23711340206185566</v>
      </c>
      <c r="G16" s="42">
        <f>D16-C16</f>
        <v>-2700</v>
      </c>
    </row>
    <row r="17" spans="1:7" x14ac:dyDescent="0.2">
      <c r="A17">
        <v>14</v>
      </c>
      <c r="B17" s="20">
        <v>45726</v>
      </c>
      <c r="C17" s="4">
        <v>2700</v>
      </c>
      <c r="D17" s="4">
        <v>0</v>
      </c>
      <c r="E17" s="21">
        <f>D17/C17</f>
        <v>0</v>
      </c>
      <c r="F17" s="22">
        <f>IF(SUM($C$4:C17)-SUM($D$4:D17)&gt;0, (SUM($C$4:C17)-SUM($D$4:D17))/SUM($C$4:C17), 0)</f>
        <v>0.30188679245283018</v>
      </c>
      <c r="G17" s="42">
        <f>D17-C17</f>
        <v>-2700</v>
      </c>
    </row>
    <row r="18" spans="1:7" x14ac:dyDescent="0.2">
      <c r="A18">
        <v>15</v>
      </c>
      <c r="B18" s="20">
        <v>45733</v>
      </c>
      <c r="C18" s="4">
        <v>2100</v>
      </c>
      <c r="D18" s="4"/>
      <c r="E18" s="64">
        <f>D18/C18</f>
        <v>0</v>
      </c>
      <c r="F18" s="22">
        <f>IF(SUM($C$4:C18)-SUM($D$4:D18)&gt;0, (SUM($C$4:C18)-SUM($D$4:D18))/SUM($C$4:C18), 0)</f>
        <v>0.34513274336283184</v>
      </c>
      <c r="G18" s="69">
        <f>D18-C18</f>
        <v>-2100</v>
      </c>
    </row>
  </sheetData>
  <mergeCells count="2">
    <mergeCell ref="A1:A2"/>
    <mergeCell ref="B1:E2"/>
  </mergeCells>
  <pageMargins left="0.7" right="0.7" top="0.75" bottom="0.75" header="0.3" footer="0.3"/>
  <drawing r:id="rId1"/>
  <tableParts count="1">
    <tablePart r:id="rId2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2BA2D-4829-D145-9D57-58BCCDFB7E72}">
  <dimension ref="A1:M17"/>
  <sheetViews>
    <sheetView workbookViewId="0">
      <selection activeCell="E21" sqref="E21"/>
    </sheetView>
  </sheetViews>
  <sheetFormatPr baseColWidth="10" defaultRowHeight="16" x14ac:dyDescent="0.2"/>
  <cols>
    <col min="4" max="4" width="11.33203125" customWidth="1"/>
    <col min="5" max="5" width="24" customWidth="1"/>
    <col min="6" max="6" width="13" customWidth="1"/>
    <col min="7" max="7" width="21.33203125" customWidth="1"/>
    <col min="9" max="9" width="26.1640625" bestFit="1" customWidth="1"/>
    <col min="10" max="10" width="11.5" bestFit="1" customWidth="1"/>
    <col min="12" max="12" width="17.33203125" bestFit="1" customWidth="1"/>
  </cols>
  <sheetData>
    <row r="1" spans="1:13" x14ac:dyDescent="0.2">
      <c r="A1" s="58" t="s">
        <v>92</v>
      </c>
      <c r="B1" s="55" t="s">
        <v>105</v>
      </c>
      <c r="C1" s="55"/>
      <c r="D1" s="55"/>
      <c r="E1" s="55"/>
    </row>
    <row r="2" spans="1:13" x14ac:dyDescent="0.2">
      <c r="A2" s="58"/>
      <c r="B2" s="60"/>
      <c r="C2" s="60"/>
      <c r="D2" s="60"/>
      <c r="E2" s="60"/>
      <c r="I2" t="s">
        <v>105</v>
      </c>
    </row>
    <row r="3" spans="1:13" x14ac:dyDescent="0.2">
      <c r="A3" s="25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  <c r="I3" s="9" t="s">
        <v>39</v>
      </c>
      <c r="J3" s="16" cm="1">
        <f t="array" ref="J3">AVERAGE(IF(Table39[Cumplimiento de Meta %]&gt;=100%,1,0))</f>
        <v>0.7142857142857143</v>
      </c>
      <c r="L3" t="s">
        <v>41</v>
      </c>
      <c r="M3" s="18">
        <f>(COUNT(Table39[[#All],[Semana]])*7)/30</f>
        <v>3.2666666666666666</v>
      </c>
    </row>
    <row r="4" spans="1:13" x14ac:dyDescent="0.2">
      <c r="A4">
        <v>1</v>
      </c>
      <c r="B4" s="20">
        <v>45642</v>
      </c>
      <c r="C4" s="4">
        <v>900</v>
      </c>
      <c r="D4" s="4">
        <v>900</v>
      </c>
      <c r="E4" s="21">
        <f t="shared" ref="E4" si="0">D4/C4</f>
        <v>1</v>
      </c>
      <c r="F4" s="22">
        <f>IF(SUM($C$4:C4)-SUM($D$4:D4)&gt;0, (SUM($C$4:C4)-SUM($D$4:D4))/SUM($C$4:C4), 0)</f>
        <v>0</v>
      </c>
      <c r="G4" s="42">
        <f t="shared" ref="G4" si="1">D4-C4</f>
        <v>0</v>
      </c>
      <c r="I4" s="4"/>
      <c r="J4" s="4"/>
    </row>
    <row r="5" spans="1:13" x14ac:dyDescent="0.2">
      <c r="A5">
        <v>2</v>
      </c>
      <c r="B5" s="20">
        <v>45649</v>
      </c>
      <c r="C5" s="4">
        <v>1500</v>
      </c>
      <c r="D5" s="4">
        <v>1500</v>
      </c>
      <c r="E5" s="21">
        <f t="shared" ref="E5:E11" si="2">D5/C5</f>
        <v>1</v>
      </c>
      <c r="F5" s="22">
        <f>IF(SUM($C$4:C5)-SUM($D$4:D5)&gt;0, (SUM($C$4:C5)-SUM($D$4:D5))/SUM($C$4:C5), 0)</f>
        <v>0</v>
      </c>
      <c r="G5" s="42">
        <f t="shared" ref="G5:G11" si="3">D5-C5</f>
        <v>0</v>
      </c>
      <c r="I5" s="4" t="s">
        <v>21</v>
      </c>
      <c r="J5" s="4">
        <f>SUM(Table39[[#All],[Meta]])</f>
        <v>48500</v>
      </c>
    </row>
    <row r="6" spans="1:13" x14ac:dyDescent="0.2">
      <c r="A6">
        <v>3</v>
      </c>
      <c r="B6" s="20">
        <v>45656</v>
      </c>
      <c r="C6" s="4">
        <v>1500</v>
      </c>
      <c r="D6" s="4">
        <v>1500</v>
      </c>
      <c r="E6" s="21">
        <f t="shared" si="2"/>
        <v>1</v>
      </c>
      <c r="F6" s="22">
        <f>IF(SUM($C$4:C6)-SUM($D$4:D6)&gt;0, (SUM($C$4:C6)-SUM($D$4:D6))/SUM($C$4:C6), 0)</f>
        <v>0</v>
      </c>
      <c r="G6" s="42">
        <f t="shared" si="3"/>
        <v>0</v>
      </c>
      <c r="I6" s="4" t="s">
        <v>22</v>
      </c>
      <c r="J6" s="4">
        <f>SUM(Table39[[#All],[Cobranza]])</f>
        <v>42700</v>
      </c>
    </row>
    <row r="7" spans="1:13" x14ac:dyDescent="0.2">
      <c r="A7">
        <v>4</v>
      </c>
      <c r="B7" s="20">
        <v>45663</v>
      </c>
      <c r="C7" s="4">
        <v>2100</v>
      </c>
      <c r="D7" s="4">
        <v>2100</v>
      </c>
      <c r="E7" s="21">
        <f t="shared" si="2"/>
        <v>1</v>
      </c>
      <c r="F7" s="22">
        <f>IF(SUM($C$4:C7)-SUM($D$4:D7)&gt;0, (SUM($C$4:C7)-SUM($D$4:D7))/SUM($C$4:C7), 0)</f>
        <v>0</v>
      </c>
      <c r="G7" s="42">
        <f t="shared" si="3"/>
        <v>0</v>
      </c>
      <c r="I7" s="4" t="s">
        <v>23</v>
      </c>
      <c r="J7" s="4">
        <f>SUM(Table39[[#All],[Didiferencia Absoluta]])</f>
        <v>-5800</v>
      </c>
    </row>
    <row r="8" spans="1:13" x14ac:dyDescent="0.2">
      <c r="A8">
        <v>5</v>
      </c>
      <c r="B8" s="20">
        <v>45670</v>
      </c>
      <c r="C8" s="4">
        <v>3000</v>
      </c>
      <c r="D8" s="4">
        <v>2700</v>
      </c>
      <c r="E8" s="21">
        <f t="shared" si="2"/>
        <v>0.9</v>
      </c>
      <c r="F8" s="22">
        <f>IF(SUM($C$4:C8)-SUM($D$4:D8)&gt;0, (SUM($C$4:C8)-SUM($D$4:D8))/SUM($C$4:C8), 0)</f>
        <v>3.3333333333333333E-2</v>
      </c>
      <c r="G8" s="42">
        <f t="shared" si="3"/>
        <v>-300</v>
      </c>
      <c r="I8" t="s">
        <v>24</v>
      </c>
      <c r="J8" s="16">
        <f>(J7/J5)*-1</f>
        <v>0.11958762886597939</v>
      </c>
    </row>
    <row r="9" spans="1:13" x14ac:dyDescent="0.2">
      <c r="A9">
        <v>6</v>
      </c>
      <c r="B9" s="20">
        <v>45677</v>
      </c>
      <c r="C9" s="4">
        <v>3300</v>
      </c>
      <c r="D9" s="4">
        <v>3000</v>
      </c>
      <c r="E9" s="21">
        <f t="shared" si="2"/>
        <v>0.90909090909090906</v>
      </c>
      <c r="F9" s="22">
        <f>IF(SUM($C$4:C9)-SUM($D$4:D9)&gt;0, (SUM($C$4:C9)-SUM($D$4:D9))/SUM($C$4:C9), 0)</f>
        <v>4.878048780487805E-2</v>
      </c>
      <c r="G9" s="42">
        <f t="shared" si="3"/>
        <v>-300</v>
      </c>
    </row>
    <row r="10" spans="1:13" x14ac:dyDescent="0.2">
      <c r="A10">
        <v>7</v>
      </c>
      <c r="B10" s="20">
        <v>45684</v>
      </c>
      <c r="C10" s="4">
        <v>3600</v>
      </c>
      <c r="D10" s="4">
        <v>3600</v>
      </c>
      <c r="E10" s="21">
        <f t="shared" si="2"/>
        <v>1</v>
      </c>
      <c r="F10" s="22">
        <f>IF(SUM($C$4:C10)-SUM($D$4:D10)&gt;0, (SUM($C$4:C10)-SUM($D$4:D10))/SUM($C$4:C10), 0)</f>
        <v>3.7735849056603772E-2</v>
      </c>
      <c r="G10" s="42">
        <f t="shared" si="3"/>
        <v>0</v>
      </c>
    </row>
    <row r="11" spans="1:13" x14ac:dyDescent="0.2">
      <c r="A11">
        <v>8</v>
      </c>
      <c r="B11" s="20">
        <v>45691</v>
      </c>
      <c r="C11" s="4">
        <v>4200</v>
      </c>
      <c r="D11" s="4">
        <v>3900</v>
      </c>
      <c r="E11" s="21">
        <f t="shared" si="2"/>
        <v>0.9285714285714286</v>
      </c>
      <c r="F11" s="22">
        <f>IF(SUM($C$4:C11)-SUM($D$4:D11)&gt;0, (SUM($C$4:C11)-SUM($D$4:D11))/SUM($C$4:C11), 0)</f>
        <v>4.4776119402985072E-2</v>
      </c>
      <c r="G11" s="42">
        <f t="shared" si="3"/>
        <v>-300</v>
      </c>
    </row>
    <row r="12" spans="1:13" x14ac:dyDescent="0.2">
      <c r="A12">
        <v>9</v>
      </c>
      <c r="B12" s="20">
        <v>45698</v>
      </c>
      <c r="C12" s="4">
        <v>4200</v>
      </c>
      <c r="D12" s="4">
        <v>4200</v>
      </c>
      <c r="E12" s="21">
        <f>D12/C12</f>
        <v>1</v>
      </c>
      <c r="F12" s="22">
        <f>IF(SUM($C$4:C12)-SUM($D$4:D12)&gt;0, (SUM($C$4:C12)-SUM($D$4:D12))/SUM($C$4:C12), 0)</f>
        <v>3.7037037037037035E-2</v>
      </c>
      <c r="G12" s="42">
        <f>D12-C12</f>
        <v>0</v>
      </c>
    </row>
    <row r="13" spans="1:13" x14ac:dyDescent="0.2">
      <c r="A13">
        <v>10</v>
      </c>
      <c r="B13" s="20">
        <v>45705</v>
      </c>
      <c r="C13" s="4">
        <v>4500</v>
      </c>
      <c r="D13" s="4">
        <v>4500</v>
      </c>
      <c r="E13" s="21">
        <f>D13/C13</f>
        <v>1</v>
      </c>
      <c r="F13" s="22">
        <f>IF(SUM($C$4:C13)-SUM($D$4:D13)&gt;0, (SUM($C$4:C13)-SUM($D$4:D13))/SUM($C$4:C13), 0)</f>
        <v>3.125E-2</v>
      </c>
      <c r="G13" s="42">
        <f>D13-C13</f>
        <v>0</v>
      </c>
    </row>
    <row r="14" spans="1:13" x14ac:dyDescent="0.2">
      <c r="A14">
        <v>11</v>
      </c>
      <c r="B14" s="20">
        <v>45712</v>
      </c>
      <c r="C14" s="4">
        <v>4800</v>
      </c>
      <c r="D14" s="4">
        <v>4800</v>
      </c>
      <c r="E14" s="21">
        <f>D14/C14</f>
        <v>1</v>
      </c>
      <c r="F14" s="22">
        <f>IF(SUM($C$4:C14)-SUM($D$4:D14)&gt;0, (SUM($C$4:C14)-SUM($D$4:D14))/SUM($C$4:C14), 0)</f>
        <v>2.6785714285714284E-2</v>
      </c>
      <c r="G14" s="42">
        <f>D14-C14</f>
        <v>0</v>
      </c>
    </row>
    <row r="15" spans="1:13" x14ac:dyDescent="0.2">
      <c r="A15">
        <v>12</v>
      </c>
      <c r="B15" s="20">
        <v>45719</v>
      </c>
      <c r="C15" s="4">
        <v>4850</v>
      </c>
      <c r="D15" s="4">
        <v>4850</v>
      </c>
      <c r="E15" s="21">
        <f>D15/C15</f>
        <v>1</v>
      </c>
      <c r="F15" s="22">
        <f>IF(SUM($C$4:C15)-SUM($D$4:D15)&gt;0, (SUM($C$4:C15)-SUM($D$4:D15))/SUM($C$4:C15), 0)</f>
        <v>2.3407022106631991E-2</v>
      </c>
      <c r="G15" s="42">
        <f>D15-C15</f>
        <v>0</v>
      </c>
    </row>
    <row r="16" spans="1:13" x14ac:dyDescent="0.2">
      <c r="A16">
        <v>13</v>
      </c>
      <c r="B16" s="20">
        <v>45726</v>
      </c>
      <c r="C16" s="4">
        <v>4850</v>
      </c>
      <c r="D16" s="4">
        <v>5150</v>
      </c>
      <c r="E16" s="21">
        <f>D16/C16</f>
        <v>1.0618556701030928</v>
      </c>
      <c r="F16" s="22">
        <f>IF(SUM($C$4:C16)-SUM($D$4:D16)&gt;0, (SUM($C$4:C16)-SUM($D$4:D16))/SUM($C$4:C16), 0)</f>
        <v>1.3856812933025405E-2</v>
      </c>
      <c r="G16" s="42">
        <f>D16-C16</f>
        <v>300</v>
      </c>
    </row>
    <row r="17" spans="1:7" x14ac:dyDescent="0.2">
      <c r="A17">
        <v>14</v>
      </c>
      <c r="B17" s="20">
        <v>45733</v>
      </c>
      <c r="C17" s="4">
        <v>5200</v>
      </c>
      <c r="D17" s="4"/>
      <c r="E17" s="64">
        <f>D17/C17</f>
        <v>0</v>
      </c>
      <c r="F17" s="22">
        <f>IF(SUM($C$4:C17)-SUM($D$4:D17)&gt;0, (SUM($C$4:C17)-SUM($D$4:D17))/SUM($C$4:C17), 0)</f>
        <v>0.11958762886597939</v>
      </c>
      <c r="G17" s="69">
        <f>D17-C17</f>
        <v>-5200</v>
      </c>
    </row>
  </sheetData>
  <mergeCells count="2">
    <mergeCell ref="A1:A2"/>
    <mergeCell ref="B1:E2"/>
  </mergeCells>
  <pageMargins left="0.7" right="0.7" top="0.75" bottom="0.75" header="0.3" footer="0.3"/>
  <drawing r:id="rId1"/>
  <tableParts count="1">
    <tablePart r:id="rId2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1BB5-EB3D-6940-B0DC-E7F3AB71BF3A}">
  <dimension ref="A1:M18"/>
  <sheetViews>
    <sheetView workbookViewId="0">
      <selection activeCell="E27" sqref="E27"/>
    </sheetView>
  </sheetViews>
  <sheetFormatPr baseColWidth="10" defaultRowHeight="16" x14ac:dyDescent="0.2"/>
  <cols>
    <col min="4" max="4" width="11.33203125" customWidth="1"/>
    <col min="5" max="5" width="24" customWidth="1"/>
    <col min="6" max="6" width="13" customWidth="1"/>
    <col min="7" max="7" width="21.33203125" customWidth="1"/>
    <col min="9" max="9" width="27.5" bestFit="1" customWidth="1"/>
    <col min="10" max="10" width="11.5" bestFit="1" customWidth="1"/>
    <col min="12" max="12" width="17.33203125" bestFit="1" customWidth="1"/>
  </cols>
  <sheetData>
    <row r="1" spans="1:13" x14ac:dyDescent="0.2">
      <c r="A1" s="58" t="s">
        <v>93</v>
      </c>
      <c r="B1" s="55" t="s">
        <v>106</v>
      </c>
      <c r="C1" s="55"/>
      <c r="D1" s="55"/>
      <c r="E1" s="55"/>
    </row>
    <row r="2" spans="1:13" x14ac:dyDescent="0.2">
      <c r="A2" s="58"/>
      <c r="B2" s="60"/>
      <c r="C2" s="60"/>
      <c r="D2" s="60"/>
      <c r="E2" s="60"/>
      <c r="I2" t="s">
        <v>106</v>
      </c>
    </row>
    <row r="3" spans="1:13" x14ac:dyDescent="0.2">
      <c r="A3" s="25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  <c r="I3" s="9" t="s">
        <v>39</v>
      </c>
      <c r="J3" s="16" cm="1">
        <f t="array" ref="J3">AVERAGE(IF(Table40[Cumplimiento de Meta %]&gt;=100%,1,0))</f>
        <v>0.8666666666666667</v>
      </c>
      <c r="L3" t="s">
        <v>41</v>
      </c>
      <c r="M3" s="18">
        <f>(COUNT(Table40[[#All],[Semana]])*7)/30</f>
        <v>3.5</v>
      </c>
    </row>
    <row r="4" spans="1:13" x14ac:dyDescent="0.2">
      <c r="A4">
        <v>1</v>
      </c>
      <c r="B4" s="20">
        <v>45635</v>
      </c>
      <c r="C4" s="4">
        <v>1500</v>
      </c>
      <c r="D4" s="4">
        <v>1500</v>
      </c>
      <c r="E4" s="21">
        <f t="shared" ref="E4" si="0">D4/C4</f>
        <v>1</v>
      </c>
      <c r="F4" s="22">
        <f>IF(SUM($C$4:C4)-SUM($D$4:D4)&gt;0, (SUM($C$4:C4)-SUM($D$4:D4))/SUM($C$4:C4), 0)</f>
        <v>0</v>
      </c>
      <c r="G4" s="42">
        <f t="shared" ref="G4" si="1">D4-C4</f>
        <v>0</v>
      </c>
      <c r="I4" s="4"/>
      <c r="J4" s="4"/>
    </row>
    <row r="5" spans="1:13" x14ac:dyDescent="0.2">
      <c r="A5">
        <v>2</v>
      </c>
      <c r="B5" s="20">
        <v>45642</v>
      </c>
      <c r="C5" s="4">
        <v>1800</v>
      </c>
      <c r="D5" s="4">
        <v>1800</v>
      </c>
      <c r="E5" s="21">
        <f t="shared" ref="E5:E13" si="2">D5/C5</f>
        <v>1</v>
      </c>
      <c r="F5" s="22">
        <f>IF(SUM($C$4:C5)-SUM($D$4:D5)&gt;0, (SUM($C$4:C5)-SUM($D$4:D5))/SUM($C$4:C5), 0)</f>
        <v>0</v>
      </c>
      <c r="G5" s="42">
        <f t="shared" ref="G5:G13" si="3">D5-C5</f>
        <v>0</v>
      </c>
      <c r="I5" s="4" t="s">
        <v>21</v>
      </c>
      <c r="J5" s="4">
        <f>SUM(Table40[[#All],[Meta]])</f>
        <v>71450</v>
      </c>
    </row>
    <row r="6" spans="1:13" x14ac:dyDescent="0.2">
      <c r="A6">
        <v>3</v>
      </c>
      <c r="B6" s="20">
        <v>45649</v>
      </c>
      <c r="C6" s="4">
        <v>2700</v>
      </c>
      <c r="D6" s="4">
        <v>2700</v>
      </c>
      <c r="E6" s="21">
        <f t="shared" si="2"/>
        <v>1</v>
      </c>
      <c r="F6" s="22">
        <f>IF(SUM($C$4:C6)-SUM($D$4:D6)&gt;0, (SUM($C$4:C6)-SUM($D$4:D6))/SUM($C$4:C6), 0)</f>
        <v>0</v>
      </c>
      <c r="G6" s="42">
        <f t="shared" si="3"/>
        <v>0</v>
      </c>
      <c r="I6" s="4" t="s">
        <v>22</v>
      </c>
      <c r="J6" s="4">
        <f>SUM(Table40[[#All],[Cobranza]])</f>
        <v>64100</v>
      </c>
    </row>
    <row r="7" spans="1:13" x14ac:dyDescent="0.2">
      <c r="A7">
        <v>4</v>
      </c>
      <c r="B7" s="20">
        <v>45656</v>
      </c>
      <c r="C7" s="4">
        <v>2700</v>
      </c>
      <c r="D7" s="4">
        <v>2700</v>
      </c>
      <c r="E7" s="21">
        <f t="shared" si="2"/>
        <v>1</v>
      </c>
      <c r="F7" s="22">
        <f>IF(SUM($C$4:C7)-SUM($D$4:D7)&gt;0, (SUM($C$4:C7)-SUM($D$4:D7))/SUM($C$4:C7), 0)</f>
        <v>0</v>
      </c>
      <c r="G7" s="42">
        <f t="shared" si="3"/>
        <v>0</v>
      </c>
      <c r="I7" s="4" t="s">
        <v>23</v>
      </c>
      <c r="J7" s="4">
        <f>SUM(Table40[[#All],[Didiferencia Absoluta]])</f>
        <v>-7350</v>
      </c>
    </row>
    <row r="8" spans="1:13" x14ac:dyDescent="0.2">
      <c r="A8">
        <v>5</v>
      </c>
      <c r="B8" s="20">
        <v>45663</v>
      </c>
      <c r="C8" s="4">
        <v>2700</v>
      </c>
      <c r="D8" s="4">
        <v>2700</v>
      </c>
      <c r="E8" s="21">
        <f t="shared" si="2"/>
        <v>1</v>
      </c>
      <c r="F8" s="22">
        <f>IF(SUM($C$4:C8)-SUM($D$4:D8)&gt;0, (SUM($C$4:C8)-SUM($D$4:D8))/SUM($C$4:C8), 0)</f>
        <v>0</v>
      </c>
      <c r="G8" s="42">
        <f t="shared" si="3"/>
        <v>0</v>
      </c>
      <c r="I8" t="s">
        <v>24</v>
      </c>
      <c r="J8" s="16">
        <f>(J7/J5)*-1</f>
        <v>0.10286913925822254</v>
      </c>
    </row>
    <row r="9" spans="1:13" x14ac:dyDescent="0.2">
      <c r="A9">
        <v>6</v>
      </c>
      <c r="B9" s="20">
        <v>45670</v>
      </c>
      <c r="C9" s="4">
        <v>4200</v>
      </c>
      <c r="D9" s="4">
        <v>4200</v>
      </c>
      <c r="E9" s="21">
        <f t="shared" si="2"/>
        <v>1</v>
      </c>
      <c r="F9" s="22">
        <f>IF(SUM($C$4:C9)-SUM($D$4:D9)&gt;0, (SUM($C$4:C9)-SUM($D$4:D9))/SUM($C$4:C9), 0)</f>
        <v>0</v>
      </c>
      <c r="G9" s="42">
        <f t="shared" si="3"/>
        <v>0</v>
      </c>
    </row>
    <row r="10" spans="1:13" x14ac:dyDescent="0.2">
      <c r="A10">
        <v>7</v>
      </c>
      <c r="B10" s="20">
        <v>45677</v>
      </c>
      <c r="C10" s="4">
        <v>4800</v>
      </c>
      <c r="D10" s="4">
        <v>4800</v>
      </c>
      <c r="E10" s="21">
        <f t="shared" si="2"/>
        <v>1</v>
      </c>
      <c r="F10" s="22">
        <f>IF(SUM($C$4:C10)-SUM($D$4:D10)&gt;0, (SUM($C$4:C10)-SUM($D$4:D10))/SUM($C$4:C10), 0)</f>
        <v>0</v>
      </c>
      <c r="G10" s="42">
        <f t="shared" si="3"/>
        <v>0</v>
      </c>
    </row>
    <row r="11" spans="1:13" x14ac:dyDescent="0.2">
      <c r="A11">
        <v>8</v>
      </c>
      <c r="B11" s="20">
        <v>45684</v>
      </c>
      <c r="C11" s="4">
        <v>5100</v>
      </c>
      <c r="D11" s="4">
        <v>5100</v>
      </c>
      <c r="E11" s="21">
        <f t="shared" si="2"/>
        <v>1</v>
      </c>
      <c r="F11" s="22">
        <f>IF(SUM($C$4:C11)-SUM($D$4:D11)&gt;0, (SUM($C$4:C11)-SUM($D$4:D11))/SUM($C$4:C11), 0)</f>
        <v>0</v>
      </c>
      <c r="G11" s="42">
        <f t="shared" si="3"/>
        <v>0</v>
      </c>
    </row>
    <row r="12" spans="1:13" x14ac:dyDescent="0.2">
      <c r="A12">
        <v>9</v>
      </c>
      <c r="B12" s="20">
        <v>45691</v>
      </c>
      <c r="C12" s="4">
        <v>5700</v>
      </c>
      <c r="D12" s="4">
        <v>5700</v>
      </c>
      <c r="E12" s="21">
        <f t="shared" si="2"/>
        <v>1</v>
      </c>
      <c r="F12" s="22">
        <f>IF(SUM($C$4:C12)-SUM($D$4:D12)&gt;0, (SUM($C$4:C12)-SUM($D$4:D12))/SUM($C$4:C12), 0)</f>
        <v>0</v>
      </c>
      <c r="G12" s="42">
        <f t="shared" si="3"/>
        <v>0</v>
      </c>
    </row>
    <row r="13" spans="1:13" x14ac:dyDescent="0.2">
      <c r="A13">
        <v>10</v>
      </c>
      <c r="B13" s="20">
        <v>45698</v>
      </c>
      <c r="C13" s="4">
        <v>6000</v>
      </c>
      <c r="D13" s="4">
        <v>6000</v>
      </c>
      <c r="E13" s="21">
        <f t="shared" si="2"/>
        <v>1</v>
      </c>
      <c r="F13" s="22">
        <f>IF(SUM($C$4:C13)-SUM($D$4:D13)&gt;0, (SUM($C$4:C13)-SUM($D$4:D13))/SUM($C$4:C13), 0)</f>
        <v>0</v>
      </c>
      <c r="G13" s="42">
        <f t="shared" si="3"/>
        <v>0</v>
      </c>
    </row>
    <row r="14" spans="1:13" x14ac:dyDescent="0.2">
      <c r="A14">
        <v>11</v>
      </c>
      <c r="B14" s="20">
        <v>45705</v>
      </c>
      <c r="C14" s="4">
        <v>6400</v>
      </c>
      <c r="D14" s="4">
        <v>6700</v>
      </c>
      <c r="E14" s="21">
        <f>D14/C14</f>
        <v>1.046875</v>
      </c>
      <c r="F14" s="22">
        <f>IF(SUM($C$4:C14)-SUM($D$4:D14)&gt;0, (SUM($C$4:C14)-SUM($D$4:D14))/SUM($C$4:C14), 0)</f>
        <v>0</v>
      </c>
      <c r="G14" s="42">
        <f>D14-C14</f>
        <v>300</v>
      </c>
    </row>
    <row r="15" spans="1:13" x14ac:dyDescent="0.2">
      <c r="A15">
        <v>12</v>
      </c>
      <c r="B15" s="20">
        <v>45712</v>
      </c>
      <c r="C15" s="4">
        <v>6500</v>
      </c>
      <c r="D15" s="4">
        <v>6200</v>
      </c>
      <c r="E15" s="21">
        <f>D15/C15</f>
        <v>0.9538461538461539</v>
      </c>
      <c r="F15" s="22">
        <f>IF(SUM($C$4:C15)-SUM($D$4:D15)&gt;0, (SUM($C$4:C15)-SUM($D$4:D15))/SUM($C$4:C15), 0)</f>
        <v>0</v>
      </c>
      <c r="G15" s="42">
        <f>D15-C15</f>
        <v>-300</v>
      </c>
    </row>
    <row r="16" spans="1:13" x14ac:dyDescent="0.2">
      <c r="A16">
        <v>13</v>
      </c>
      <c r="B16" s="20">
        <v>45719</v>
      </c>
      <c r="C16" s="4">
        <v>6650</v>
      </c>
      <c r="D16" s="4">
        <v>6650</v>
      </c>
      <c r="E16" s="21">
        <f>D16/C16</f>
        <v>1</v>
      </c>
      <c r="F16" s="22">
        <f>IF(SUM($C$4:C16)-SUM($D$4:D16)&gt;0, (SUM($C$4:C16)-SUM($D$4:D16))/SUM($C$4:C16), 0)</f>
        <v>0</v>
      </c>
      <c r="G16" s="42">
        <f>D16-C16</f>
        <v>0</v>
      </c>
    </row>
    <row r="17" spans="1:7" x14ac:dyDescent="0.2">
      <c r="A17">
        <v>14</v>
      </c>
      <c r="B17" s="20">
        <v>45726</v>
      </c>
      <c r="C17" s="4">
        <v>7350</v>
      </c>
      <c r="D17" s="4">
        <v>7350</v>
      </c>
      <c r="E17" s="21">
        <f>D17/C17</f>
        <v>1</v>
      </c>
      <c r="F17" s="22">
        <f>IF(SUM($C$4:C17)-SUM($D$4:D17)&gt;0, (SUM($C$4:C17)-SUM($D$4:D17))/SUM($C$4:C17), 0)</f>
        <v>0</v>
      </c>
      <c r="G17" s="42">
        <f>D17-C17</f>
        <v>0</v>
      </c>
    </row>
    <row r="18" spans="1:7" x14ac:dyDescent="0.2">
      <c r="A18">
        <v>15</v>
      </c>
      <c r="B18" s="20">
        <v>45733</v>
      </c>
      <c r="C18" s="4">
        <v>7350</v>
      </c>
      <c r="D18" s="4"/>
      <c r="E18" s="64">
        <f>D18/C18</f>
        <v>0</v>
      </c>
      <c r="F18" s="22">
        <f>IF(SUM($C$4:C18)-SUM($D$4:D18)&gt;0, (SUM($C$4:C18)-SUM($D$4:D18))/SUM($C$4:C18), 0)</f>
        <v>0.10286913925822254</v>
      </c>
      <c r="G18" s="69">
        <f>D18-C18</f>
        <v>-7350</v>
      </c>
    </row>
  </sheetData>
  <mergeCells count="2">
    <mergeCell ref="A1:A2"/>
    <mergeCell ref="B1:E2"/>
  </mergeCells>
  <pageMargins left="0.7" right="0.7" top="0.75" bottom="0.75" header="0.3" footer="0.3"/>
  <drawing r:id="rId1"/>
  <tableParts count="1">
    <tablePart r:id="rId2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FDF0-E790-274A-B7D6-54CF8C4B65C7}">
  <dimension ref="A1:M18"/>
  <sheetViews>
    <sheetView workbookViewId="0">
      <selection activeCell="E28" sqref="E28"/>
    </sheetView>
  </sheetViews>
  <sheetFormatPr baseColWidth="10" defaultRowHeight="16" x14ac:dyDescent="0.2"/>
  <cols>
    <col min="4" max="4" width="11.33203125" customWidth="1"/>
    <col min="5" max="5" width="24" customWidth="1"/>
    <col min="6" max="6" width="13" customWidth="1"/>
    <col min="7" max="7" width="21.33203125" customWidth="1"/>
    <col min="9" max="9" width="30.1640625" bestFit="1" customWidth="1"/>
    <col min="10" max="10" width="11.5" bestFit="1" customWidth="1"/>
    <col min="12" max="12" width="17.33203125" bestFit="1" customWidth="1"/>
  </cols>
  <sheetData>
    <row r="1" spans="1:13" x14ac:dyDescent="0.2">
      <c r="A1" s="58" t="s">
        <v>94</v>
      </c>
      <c r="B1" s="55" t="s">
        <v>107</v>
      </c>
      <c r="C1" s="55"/>
      <c r="D1" s="55"/>
      <c r="E1" s="55"/>
    </row>
    <row r="2" spans="1:13" x14ac:dyDescent="0.2">
      <c r="A2" s="58"/>
      <c r="B2" s="60"/>
      <c r="C2" s="60"/>
      <c r="D2" s="60"/>
      <c r="E2" s="60"/>
      <c r="I2" t="s">
        <v>107</v>
      </c>
    </row>
    <row r="3" spans="1:13" x14ac:dyDescent="0.2">
      <c r="A3" s="25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  <c r="I3" s="9" t="s">
        <v>39</v>
      </c>
      <c r="J3" s="16" cm="1">
        <f t="array" ref="J3">AVERAGE(IF(Table41[Cumplimiento de Meta %]&gt;=100%,1,0))</f>
        <v>0.8666666666666667</v>
      </c>
      <c r="L3" t="s">
        <v>41</v>
      </c>
      <c r="M3" s="18">
        <f>(COUNT(Table41[[#All],[Semana]])*7)/30</f>
        <v>3.5</v>
      </c>
    </row>
    <row r="4" spans="1:13" x14ac:dyDescent="0.2">
      <c r="A4" s="43">
        <v>1</v>
      </c>
      <c r="B4" s="20">
        <v>45635</v>
      </c>
      <c r="C4" s="4">
        <v>0</v>
      </c>
      <c r="D4" s="4">
        <v>0</v>
      </c>
      <c r="E4" s="21">
        <v>1</v>
      </c>
      <c r="F4" s="22">
        <f>IF(SUM($C$4:C4)-SUM($D$4:D4)&gt;0, (SUM($C$4:C4)-SUM($D$4:D4))/SUM($C$4:C4), 0)</f>
        <v>0</v>
      </c>
      <c r="G4" s="42">
        <f t="shared" ref="G4" si="0">D4-C4</f>
        <v>0</v>
      </c>
      <c r="I4" s="4"/>
      <c r="J4" s="4"/>
    </row>
    <row r="5" spans="1:13" x14ac:dyDescent="0.2">
      <c r="A5" s="43">
        <v>2</v>
      </c>
      <c r="B5" s="20">
        <v>45642</v>
      </c>
      <c r="C5" s="4">
        <v>900</v>
      </c>
      <c r="D5" s="4">
        <v>900</v>
      </c>
      <c r="E5" s="21">
        <f t="shared" ref="E5:E13" si="1">D5/C5</f>
        <v>1</v>
      </c>
      <c r="F5" s="22">
        <f>IF(SUM($C$4:C5)-SUM($D$4:D5)&gt;0, (SUM($C$4:C5)-SUM($D$4:D5))/SUM($C$4:C5), 0)</f>
        <v>0</v>
      </c>
      <c r="G5" s="42">
        <f t="shared" ref="G5:G13" si="2">D5-C5</f>
        <v>0</v>
      </c>
      <c r="I5" s="4" t="s">
        <v>21</v>
      </c>
      <c r="J5" s="4">
        <f>SUM(Table41[[#All],[Meta]])</f>
        <v>31850</v>
      </c>
    </row>
    <row r="6" spans="1:13" x14ac:dyDescent="0.2">
      <c r="A6" s="43">
        <v>3</v>
      </c>
      <c r="B6" s="20">
        <v>45649</v>
      </c>
      <c r="C6" s="4">
        <v>1200</v>
      </c>
      <c r="D6" s="4">
        <v>1200</v>
      </c>
      <c r="E6" s="21">
        <f t="shared" si="1"/>
        <v>1</v>
      </c>
      <c r="F6" s="22">
        <f>IF(SUM($C$4:C6)-SUM($D$4:D6)&gt;0, (SUM($C$4:C6)-SUM($D$4:D6))/SUM($C$4:C6), 0)</f>
        <v>0</v>
      </c>
      <c r="G6" s="42">
        <f t="shared" si="2"/>
        <v>0</v>
      </c>
      <c r="I6" s="4" t="s">
        <v>22</v>
      </c>
      <c r="J6" s="4">
        <f>SUM(Table41[[#All],[Cobranza]])</f>
        <v>29150</v>
      </c>
    </row>
    <row r="7" spans="1:13" x14ac:dyDescent="0.2">
      <c r="A7" s="43">
        <v>4</v>
      </c>
      <c r="B7" s="20">
        <v>45656</v>
      </c>
      <c r="C7" s="4">
        <v>1500</v>
      </c>
      <c r="D7" s="4">
        <v>1500</v>
      </c>
      <c r="E7" s="21">
        <f t="shared" si="1"/>
        <v>1</v>
      </c>
      <c r="F7" s="22">
        <f>IF(SUM($C$4:C7)-SUM($D$4:D7)&gt;0, (SUM($C$4:C7)-SUM($D$4:D7))/SUM($C$4:C7), 0)</f>
        <v>0</v>
      </c>
      <c r="G7" s="42">
        <f t="shared" si="2"/>
        <v>0</v>
      </c>
      <c r="I7" s="4" t="s">
        <v>23</v>
      </c>
      <c r="J7" s="4">
        <f>SUM(Table41[[#All],[Didiferencia Absoluta]])</f>
        <v>-2700</v>
      </c>
    </row>
    <row r="8" spans="1:13" x14ac:dyDescent="0.2">
      <c r="A8" s="43">
        <v>5</v>
      </c>
      <c r="B8" s="20">
        <v>45663</v>
      </c>
      <c r="C8" s="4">
        <v>1500</v>
      </c>
      <c r="D8" s="4">
        <v>1500</v>
      </c>
      <c r="E8" s="21">
        <f t="shared" si="1"/>
        <v>1</v>
      </c>
      <c r="F8" s="22">
        <f>IF(SUM($C$4:C8)-SUM($D$4:D8)&gt;0, (SUM($C$4:C8)-SUM($D$4:D8))/SUM($C$4:C8), 0)</f>
        <v>0</v>
      </c>
      <c r="G8" s="42">
        <f t="shared" si="2"/>
        <v>0</v>
      </c>
      <c r="I8" t="s">
        <v>24</v>
      </c>
      <c r="J8" s="16">
        <f>(J7/J5)*-1</f>
        <v>8.4772370486656201E-2</v>
      </c>
    </row>
    <row r="9" spans="1:13" x14ac:dyDescent="0.2">
      <c r="A9" s="43">
        <v>6</v>
      </c>
      <c r="B9" s="20">
        <v>45670</v>
      </c>
      <c r="C9" s="4">
        <v>1800</v>
      </c>
      <c r="D9" s="4">
        <v>1800</v>
      </c>
      <c r="E9" s="21">
        <f t="shared" si="1"/>
        <v>1</v>
      </c>
      <c r="F9" s="22">
        <f>IF(SUM($C$4:C9)-SUM($D$4:D9)&gt;0, (SUM($C$4:C9)-SUM($D$4:D9))/SUM($C$4:C9), 0)</f>
        <v>0</v>
      </c>
      <c r="G9" s="42">
        <f t="shared" si="2"/>
        <v>0</v>
      </c>
    </row>
    <row r="10" spans="1:13" x14ac:dyDescent="0.2">
      <c r="A10" s="43">
        <v>7</v>
      </c>
      <c r="B10" s="20">
        <v>45677</v>
      </c>
      <c r="C10" s="4">
        <v>2600</v>
      </c>
      <c r="D10" s="4">
        <v>2600</v>
      </c>
      <c r="E10" s="21">
        <f t="shared" si="1"/>
        <v>1</v>
      </c>
      <c r="F10" s="22">
        <f>IF(SUM($C$4:C10)-SUM($D$4:D10)&gt;0, (SUM($C$4:C10)-SUM($D$4:D10))/SUM($C$4:C10), 0)</f>
        <v>0</v>
      </c>
      <c r="G10" s="42">
        <f t="shared" si="2"/>
        <v>0</v>
      </c>
    </row>
    <row r="11" spans="1:13" x14ac:dyDescent="0.2">
      <c r="A11" s="43">
        <v>8</v>
      </c>
      <c r="B11" s="20">
        <v>45684</v>
      </c>
      <c r="C11" s="4">
        <v>2600</v>
      </c>
      <c r="D11" s="4">
        <v>2600</v>
      </c>
      <c r="E11" s="21">
        <f t="shared" si="1"/>
        <v>1</v>
      </c>
      <c r="F11" s="22">
        <f>IF(SUM($C$4:C11)-SUM($D$4:D11)&gt;0, (SUM($C$4:C11)-SUM($D$4:D11))/SUM($C$4:C11), 0)</f>
        <v>0</v>
      </c>
      <c r="G11" s="42">
        <f t="shared" si="2"/>
        <v>0</v>
      </c>
    </row>
    <row r="12" spans="1:13" x14ac:dyDescent="0.2">
      <c r="A12" s="43">
        <v>9</v>
      </c>
      <c r="B12" s="20">
        <v>45691</v>
      </c>
      <c r="C12" s="4">
        <v>2600</v>
      </c>
      <c r="D12" s="4">
        <v>2600</v>
      </c>
      <c r="E12" s="21">
        <f t="shared" si="1"/>
        <v>1</v>
      </c>
      <c r="F12" s="22">
        <f>IF(SUM($C$4:C12)-SUM($D$4:D12)&gt;0, (SUM($C$4:C12)-SUM($D$4:D12))/SUM($C$4:C12), 0)</f>
        <v>0</v>
      </c>
      <c r="G12" s="42">
        <f t="shared" si="2"/>
        <v>0</v>
      </c>
    </row>
    <row r="13" spans="1:13" x14ac:dyDescent="0.2">
      <c r="A13" s="43">
        <v>10</v>
      </c>
      <c r="B13" s="20">
        <v>45698</v>
      </c>
      <c r="C13" s="4">
        <v>2750</v>
      </c>
      <c r="D13" s="4">
        <v>2750</v>
      </c>
      <c r="E13" s="21">
        <f t="shared" si="1"/>
        <v>1</v>
      </c>
      <c r="F13" s="22">
        <f>IF(SUM($C$4:C13)-SUM($D$4:D13)&gt;0, (SUM($C$4:C13)-SUM($D$4:D13))/SUM($C$4:C13), 0)</f>
        <v>0</v>
      </c>
      <c r="G13" s="42">
        <f t="shared" si="2"/>
        <v>0</v>
      </c>
    </row>
    <row r="14" spans="1:13" x14ac:dyDescent="0.2">
      <c r="A14" s="43">
        <v>11</v>
      </c>
      <c r="B14" s="20">
        <v>45705</v>
      </c>
      <c r="C14" s="4">
        <v>2750</v>
      </c>
      <c r="D14" s="4">
        <v>2750</v>
      </c>
      <c r="E14" s="21">
        <f>D14/C14</f>
        <v>1</v>
      </c>
      <c r="F14" s="22">
        <f>IF(SUM($C$4:C14)-SUM($D$4:D14)&gt;0, (SUM($C$4:C14)-SUM($D$4:D14))/SUM($C$4:C14), 0)</f>
        <v>0</v>
      </c>
      <c r="G14" s="42">
        <f>D14-C14</f>
        <v>0</v>
      </c>
    </row>
    <row r="15" spans="1:13" x14ac:dyDescent="0.2">
      <c r="A15" s="43">
        <v>12</v>
      </c>
      <c r="B15" s="20">
        <v>45712</v>
      </c>
      <c r="C15" s="4">
        <v>2800</v>
      </c>
      <c r="D15" s="4">
        <v>2800</v>
      </c>
      <c r="E15" s="21">
        <f>D15/C15</f>
        <v>1</v>
      </c>
      <c r="F15" s="22">
        <f>IF(SUM($C$4:C15)-SUM($D$4:D15)&gt;0, (SUM($C$4:C15)-SUM($D$4:D15))/SUM($C$4:C15), 0)</f>
        <v>0</v>
      </c>
      <c r="G15" s="42">
        <f>D15-C15</f>
        <v>0</v>
      </c>
    </row>
    <row r="16" spans="1:13" x14ac:dyDescent="0.2">
      <c r="A16" s="43">
        <v>13</v>
      </c>
      <c r="B16" s="20">
        <v>45719</v>
      </c>
      <c r="C16" s="4">
        <v>2900</v>
      </c>
      <c r="D16" s="4">
        <v>3500</v>
      </c>
      <c r="E16" s="21">
        <f>D16/C16</f>
        <v>1.2068965517241379</v>
      </c>
      <c r="F16" s="22">
        <f>IF(SUM($C$4:C16)-SUM($D$4:D16)&gt;0, (SUM($C$4:C16)-SUM($D$4:D16))/SUM($C$4:C16), 0)</f>
        <v>0</v>
      </c>
      <c r="G16" s="42">
        <f>D16-C16</f>
        <v>600</v>
      </c>
    </row>
    <row r="17" spans="1:7" x14ac:dyDescent="0.2">
      <c r="A17" s="43">
        <v>14</v>
      </c>
      <c r="B17" s="20">
        <v>45726</v>
      </c>
      <c r="C17" s="4">
        <v>2950</v>
      </c>
      <c r="D17" s="4">
        <v>2650</v>
      </c>
      <c r="E17" s="21">
        <f>D17/C17</f>
        <v>0.89830508474576276</v>
      </c>
      <c r="F17" s="22">
        <f>IF(SUM($C$4:C17)-SUM($D$4:D17)&gt;0, (SUM($C$4:C17)-SUM($D$4:D17))/SUM($C$4:C17), 0)</f>
        <v>0</v>
      </c>
      <c r="G17" s="42">
        <f>D17-C17</f>
        <v>-300</v>
      </c>
    </row>
    <row r="18" spans="1:7" x14ac:dyDescent="0.2">
      <c r="A18" s="43">
        <v>15</v>
      </c>
      <c r="B18" s="20">
        <v>45733</v>
      </c>
      <c r="C18" s="4">
        <v>3000</v>
      </c>
      <c r="D18" s="4"/>
      <c r="E18" s="64">
        <f>D18/C18</f>
        <v>0</v>
      </c>
      <c r="F18" s="22">
        <f>IF(SUM($C$4:C18)-SUM($D$4:D18)&gt;0, (SUM($C$4:C18)-SUM($D$4:D18))/SUM($C$4:C18), 0)</f>
        <v>8.4772370486656201E-2</v>
      </c>
      <c r="G18" s="69">
        <f>D18-C18</f>
        <v>-3000</v>
      </c>
    </row>
  </sheetData>
  <mergeCells count="2">
    <mergeCell ref="A1:A2"/>
    <mergeCell ref="B1:E2"/>
  </mergeCells>
  <pageMargins left="0.7" right="0.7" top="0.75" bottom="0.75" header="0.3" footer="0.3"/>
  <drawing r:id="rId1"/>
  <tableParts count="1">
    <tablePart r:id="rId2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BD5E7-C951-1B48-8798-1E166D9F7C47}">
  <dimension ref="A1:I4"/>
  <sheetViews>
    <sheetView workbookViewId="0">
      <selection activeCell="E16" sqref="E16"/>
    </sheetView>
  </sheetViews>
  <sheetFormatPr baseColWidth="10" defaultRowHeight="16" x14ac:dyDescent="0.2"/>
  <cols>
    <col min="4" max="4" width="11.33203125" customWidth="1"/>
    <col min="5" max="5" width="24" customWidth="1"/>
    <col min="6" max="6" width="13" customWidth="1"/>
    <col min="7" max="7" width="21.33203125" customWidth="1"/>
  </cols>
  <sheetData>
    <row r="1" spans="1:9" x14ac:dyDescent="0.2">
      <c r="A1" s="58" t="s">
        <v>95</v>
      </c>
      <c r="B1" s="55" t="s">
        <v>108</v>
      </c>
      <c r="C1" s="55"/>
      <c r="D1" s="55"/>
      <c r="E1" s="55"/>
    </row>
    <row r="2" spans="1:9" x14ac:dyDescent="0.2">
      <c r="A2" s="58"/>
      <c r="B2" s="60"/>
      <c r="C2" s="60"/>
      <c r="D2" s="60"/>
      <c r="E2" s="60"/>
      <c r="I2" t="s">
        <v>108</v>
      </c>
    </row>
    <row r="3" spans="1:9" x14ac:dyDescent="0.2">
      <c r="A3" s="25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</row>
    <row r="4" spans="1:9" x14ac:dyDescent="0.2">
      <c r="A4">
        <v>1</v>
      </c>
    </row>
  </sheetData>
  <mergeCells count="2">
    <mergeCell ref="A1:A2"/>
    <mergeCell ref="B1:E2"/>
  </mergeCells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3F3A0-FE30-9E42-88F4-CC38A1069E8C}">
  <dimension ref="A1:M16"/>
  <sheetViews>
    <sheetView workbookViewId="0">
      <selection activeCell="E19" sqref="E19"/>
    </sheetView>
  </sheetViews>
  <sheetFormatPr baseColWidth="10" defaultRowHeight="16" x14ac:dyDescent="0.2"/>
  <cols>
    <col min="4" max="4" width="11.33203125" customWidth="1"/>
    <col min="5" max="5" width="24" customWidth="1"/>
    <col min="6" max="6" width="13" customWidth="1"/>
    <col min="7" max="7" width="21.33203125" customWidth="1"/>
    <col min="9" max="9" width="28.1640625" bestFit="1" customWidth="1"/>
    <col min="10" max="10" width="11.5" bestFit="1" customWidth="1"/>
    <col min="12" max="12" width="17.33203125" bestFit="1" customWidth="1"/>
  </cols>
  <sheetData>
    <row r="1" spans="1:13" x14ac:dyDescent="0.2">
      <c r="A1" s="58" t="s">
        <v>96</v>
      </c>
      <c r="B1" s="55" t="s">
        <v>109</v>
      </c>
      <c r="C1" s="55"/>
      <c r="D1" s="55"/>
      <c r="E1" s="55"/>
    </row>
    <row r="2" spans="1:13" x14ac:dyDescent="0.2">
      <c r="A2" s="58"/>
      <c r="B2" s="60"/>
      <c r="C2" s="60"/>
      <c r="D2" s="60"/>
      <c r="E2" s="60"/>
      <c r="I2" t="s">
        <v>109</v>
      </c>
    </row>
    <row r="3" spans="1:13" x14ac:dyDescent="0.2">
      <c r="A3" s="25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  <c r="I3" s="9" t="s">
        <v>39</v>
      </c>
      <c r="J3" s="16" cm="1">
        <f t="array" ref="J3">AVERAGE(IF(Table43[Cumplimiento de Meta %]&gt;=100%,1,0))</f>
        <v>0.92307692307692313</v>
      </c>
      <c r="L3" t="s">
        <v>41</v>
      </c>
      <c r="M3" s="18">
        <f>(COUNT(Table43[[#All],[Semana]])*7)/30</f>
        <v>3.0333333333333332</v>
      </c>
    </row>
    <row r="4" spans="1:13" x14ac:dyDescent="0.2">
      <c r="A4">
        <v>1</v>
      </c>
      <c r="B4" s="20">
        <v>45649</v>
      </c>
      <c r="C4" s="4">
        <v>600</v>
      </c>
      <c r="D4" s="4">
        <v>600</v>
      </c>
      <c r="E4" s="45">
        <f t="shared" ref="E4" si="0">D4/C4</f>
        <v>1</v>
      </c>
      <c r="F4" s="46">
        <f>IF(SUM($C$4:C4)-SUM($D$4:D4)&gt;0, (SUM($C$4:C4)-SUM($D$4:D4))/SUM($C$4:C4), 0)</f>
        <v>0</v>
      </c>
      <c r="G4" s="42">
        <f t="shared" ref="G4" si="1">D4-C4</f>
        <v>0</v>
      </c>
      <c r="I4" s="4"/>
      <c r="J4" s="4"/>
    </row>
    <row r="5" spans="1:13" x14ac:dyDescent="0.2">
      <c r="A5">
        <v>2</v>
      </c>
      <c r="B5" s="20">
        <v>45656</v>
      </c>
      <c r="C5" s="4">
        <v>1500</v>
      </c>
      <c r="D5" s="4">
        <v>1500</v>
      </c>
      <c r="E5" s="45">
        <f t="shared" ref="E5:E11" si="2">D5/C5</f>
        <v>1</v>
      </c>
      <c r="F5" s="46">
        <f>IF(SUM($C$4:C5)-SUM($D$4:D5)&gt;0, (SUM($C$4:C5)-SUM($D$4:D5))/SUM($C$4:C5), 0)</f>
        <v>0</v>
      </c>
      <c r="G5" s="42">
        <f t="shared" ref="G5:G11" si="3">D5-C5</f>
        <v>0</v>
      </c>
      <c r="I5" s="4" t="s">
        <v>21</v>
      </c>
      <c r="J5" s="4">
        <f>SUM(Table43[[#All],[Meta]])</f>
        <v>46140</v>
      </c>
    </row>
    <row r="6" spans="1:13" x14ac:dyDescent="0.2">
      <c r="A6">
        <v>3</v>
      </c>
      <c r="B6" s="20">
        <v>45663</v>
      </c>
      <c r="C6" s="4">
        <v>1800</v>
      </c>
      <c r="D6" s="4">
        <v>1800</v>
      </c>
      <c r="E6" s="45">
        <f t="shared" si="2"/>
        <v>1</v>
      </c>
      <c r="F6" s="46">
        <f>IF(SUM($C$4:C6)-SUM($D$4:D6)&gt;0, (SUM($C$4:C6)-SUM($D$4:D6))/SUM($C$4:C6), 0)</f>
        <v>0</v>
      </c>
      <c r="G6" s="42">
        <f t="shared" si="3"/>
        <v>0</v>
      </c>
      <c r="I6" s="4" t="s">
        <v>22</v>
      </c>
      <c r="J6" s="4">
        <f>SUM(Table43[[#All],[Cobranza]])</f>
        <v>41650</v>
      </c>
    </row>
    <row r="7" spans="1:13" x14ac:dyDescent="0.2">
      <c r="A7">
        <v>4</v>
      </c>
      <c r="B7" s="20">
        <v>45670</v>
      </c>
      <c r="C7" s="4">
        <v>2400</v>
      </c>
      <c r="D7" s="4">
        <v>2400</v>
      </c>
      <c r="E7" s="45">
        <f t="shared" si="2"/>
        <v>1</v>
      </c>
      <c r="F7" s="46">
        <f>IF(SUM($C$4:C7)-SUM($D$4:D7)&gt;0, (SUM($C$4:C7)-SUM($D$4:D7))/SUM($C$4:C7), 0)</f>
        <v>0</v>
      </c>
      <c r="G7" s="42">
        <f t="shared" si="3"/>
        <v>0</v>
      </c>
      <c r="I7" s="4" t="s">
        <v>23</v>
      </c>
      <c r="J7" s="4">
        <f>SUM(Table43[[#All],[Didiferencia Absoluta]])</f>
        <v>-4490</v>
      </c>
    </row>
    <row r="8" spans="1:13" x14ac:dyDescent="0.2">
      <c r="A8">
        <v>5</v>
      </c>
      <c r="B8" s="20">
        <v>45677</v>
      </c>
      <c r="C8" s="4">
        <v>3300</v>
      </c>
      <c r="D8" s="4">
        <v>3300</v>
      </c>
      <c r="E8" s="45">
        <f t="shared" si="2"/>
        <v>1</v>
      </c>
      <c r="F8" s="46">
        <f>IF(SUM($C$4:C8)-SUM($D$4:D8)&gt;0, (SUM($C$4:C8)-SUM($D$4:D8))/SUM($C$4:C8), 0)</f>
        <v>0</v>
      </c>
      <c r="G8" s="42">
        <f t="shared" si="3"/>
        <v>0</v>
      </c>
      <c r="I8" t="s">
        <v>24</v>
      </c>
      <c r="J8" s="16">
        <f>(J7/J5)*-1</f>
        <v>9.7312527091460765E-2</v>
      </c>
    </row>
    <row r="9" spans="1:13" x14ac:dyDescent="0.2">
      <c r="A9">
        <v>6</v>
      </c>
      <c r="B9" s="20">
        <v>45684</v>
      </c>
      <c r="C9" s="4">
        <v>3900</v>
      </c>
      <c r="D9" s="4">
        <v>3900</v>
      </c>
      <c r="E9" s="45">
        <f t="shared" si="2"/>
        <v>1</v>
      </c>
      <c r="F9" s="46">
        <f>IF(SUM($C$4:C9)-SUM($D$4:D9)&gt;0, (SUM($C$4:C9)-SUM($D$4:D9))/SUM($C$4:C9), 0)</f>
        <v>0</v>
      </c>
      <c r="G9" s="42">
        <f t="shared" si="3"/>
        <v>0</v>
      </c>
    </row>
    <row r="10" spans="1:13" x14ac:dyDescent="0.2">
      <c r="A10">
        <v>7</v>
      </c>
      <c r="B10" s="20">
        <v>45691</v>
      </c>
      <c r="C10" s="4">
        <v>4200</v>
      </c>
      <c r="D10" s="4">
        <v>4200</v>
      </c>
      <c r="E10" s="45">
        <f t="shared" si="2"/>
        <v>1</v>
      </c>
      <c r="F10" s="46">
        <f>IF(SUM($C$4:C10)-SUM($D$4:D10)&gt;0, (SUM($C$4:C10)-SUM($D$4:D10))/SUM($C$4:C10), 0)</f>
        <v>0</v>
      </c>
      <c r="G10" s="42">
        <f t="shared" si="3"/>
        <v>0</v>
      </c>
    </row>
    <row r="11" spans="1:13" x14ac:dyDescent="0.2">
      <c r="A11">
        <v>8</v>
      </c>
      <c r="B11" s="20">
        <v>45698</v>
      </c>
      <c r="C11" s="4">
        <v>4700</v>
      </c>
      <c r="D11" s="4">
        <v>4700</v>
      </c>
      <c r="E11" s="45">
        <f t="shared" si="2"/>
        <v>1</v>
      </c>
      <c r="F11" s="46">
        <f>IF(SUM($C$4:C11)-SUM($D$4:D11)&gt;0, (SUM($C$4:C11)-SUM($D$4:D11))/SUM($C$4:C11), 0)</f>
        <v>0</v>
      </c>
      <c r="G11" s="42">
        <f t="shared" si="3"/>
        <v>0</v>
      </c>
    </row>
    <row r="12" spans="1:13" x14ac:dyDescent="0.2">
      <c r="A12">
        <v>9</v>
      </c>
      <c r="B12" s="20">
        <v>45705</v>
      </c>
      <c r="C12" s="4">
        <v>4700</v>
      </c>
      <c r="D12" s="4">
        <v>5000</v>
      </c>
      <c r="E12" s="45">
        <f>D12/C12</f>
        <v>1.0638297872340425</v>
      </c>
      <c r="F12" s="46">
        <f>IF(SUM($C$4:C12)-SUM($D$4:D12)&gt;0, (SUM($C$4:C12)-SUM($D$4:D12))/SUM($C$4:C12), 0)</f>
        <v>0</v>
      </c>
      <c r="G12" s="42">
        <f>D12-C12</f>
        <v>300</v>
      </c>
    </row>
    <row r="13" spans="1:13" x14ac:dyDescent="0.2">
      <c r="A13">
        <v>10</v>
      </c>
      <c r="B13" s="20">
        <v>45712</v>
      </c>
      <c r="C13" s="4">
        <v>4740</v>
      </c>
      <c r="D13" s="4">
        <v>4750</v>
      </c>
      <c r="E13" s="45">
        <f>D13/C13</f>
        <v>1.0021097046413503</v>
      </c>
      <c r="F13" s="46">
        <f>IF(SUM($C$4:C13)-SUM($D$4:D13)&gt;0, (SUM($C$4:C13)-SUM($D$4:D13))/SUM($C$4:C13), 0)</f>
        <v>0</v>
      </c>
      <c r="G13" s="42">
        <f>D13-C13</f>
        <v>10</v>
      </c>
    </row>
    <row r="14" spans="1:13" x14ac:dyDescent="0.2">
      <c r="A14">
        <v>11</v>
      </c>
      <c r="B14" s="20">
        <v>45719</v>
      </c>
      <c r="C14" s="4">
        <v>4750</v>
      </c>
      <c r="D14" s="4">
        <v>4750</v>
      </c>
      <c r="E14" s="45">
        <f>D14/C14</f>
        <v>1</v>
      </c>
      <c r="F14" s="46">
        <f>IF(SUM($C$4:C14)-SUM($D$4:D14)&gt;0, (SUM($C$4:C14)-SUM($D$4:D14))/SUM($C$4:C14), 0)</f>
        <v>0</v>
      </c>
      <c r="G14" s="42">
        <f>D14-C14</f>
        <v>0</v>
      </c>
    </row>
    <row r="15" spans="1:13" x14ac:dyDescent="0.2">
      <c r="A15">
        <v>12</v>
      </c>
      <c r="B15" s="20">
        <v>45726</v>
      </c>
      <c r="C15" s="4">
        <v>4750</v>
      </c>
      <c r="D15" s="4">
        <v>4750</v>
      </c>
      <c r="E15" s="45">
        <f>D15/C15</f>
        <v>1</v>
      </c>
      <c r="F15" s="46">
        <f>IF(SUM($C$4:C15)-SUM($D$4:D15)&gt;0, (SUM($C$4:C15)-SUM($D$4:D15))/SUM($C$4:C15), 0)</f>
        <v>0</v>
      </c>
      <c r="G15" s="42">
        <f>D15-C15</f>
        <v>0</v>
      </c>
    </row>
    <row r="16" spans="1:13" x14ac:dyDescent="0.2">
      <c r="A16">
        <v>13</v>
      </c>
      <c r="B16" s="20">
        <v>45733</v>
      </c>
      <c r="C16" s="4">
        <v>4800</v>
      </c>
      <c r="D16" s="4"/>
      <c r="E16" s="70">
        <f>D16/C16</f>
        <v>0</v>
      </c>
      <c r="F16" s="46">
        <f>IF(SUM($C$4:C16)-SUM($D$4:D16)&gt;0, (SUM($C$4:C16)-SUM($D$4:D16))/SUM($C$4:C16), 0)</f>
        <v>9.7312527091460765E-2</v>
      </c>
      <c r="G16" s="71">
        <f>D16-C16</f>
        <v>-4800</v>
      </c>
    </row>
  </sheetData>
  <mergeCells count="2">
    <mergeCell ref="A1:A2"/>
    <mergeCell ref="B1:E2"/>
  </mergeCells>
  <pageMargins left="0.7" right="0.7" top="0.75" bottom="0.75" header="0.3" footer="0.3"/>
  <drawing r:id="rId1"/>
  <tableParts count="1">
    <tablePart r:id="rId2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C81A-36FB-2740-85D4-CD44EEDE5470}">
  <dimension ref="A1:M16"/>
  <sheetViews>
    <sheetView workbookViewId="0">
      <selection activeCell="E24" sqref="E24"/>
    </sheetView>
  </sheetViews>
  <sheetFormatPr baseColWidth="10" defaultRowHeight="16" x14ac:dyDescent="0.2"/>
  <cols>
    <col min="4" max="4" width="11.33203125" customWidth="1"/>
    <col min="5" max="5" width="24" customWidth="1"/>
    <col min="6" max="6" width="13" customWidth="1"/>
    <col min="7" max="7" width="21.33203125" customWidth="1"/>
    <col min="9" max="9" width="28.5" bestFit="1" customWidth="1"/>
    <col min="10" max="10" width="11.5" bestFit="1" customWidth="1"/>
    <col min="12" max="12" width="17.33203125" bestFit="1" customWidth="1"/>
  </cols>
  <sheetData>
    <row r="1" spans="1:13" x14ac:dyDescent="0.2">
      <c r="A1" s="58" t="s">
        <v>97</v>
      </c>
      <c r="B1" s="55" t="s">
        <v>110</v>
      </c>
      <c r="C1" s="55"/>
      <c r="D1" s="55"/>
      <c r="E1" s="55"/>
    </row>
    <row r="2" spans="1:13" x14ac:dyDescent="0.2">
      <c r="A2" s="58"/>
      <c r="B2" s="60"/>
      <c r="C2" s="60"/>
      <c r="D2" s="60"/>
      <c r="E2" s="60"/>
      <c r="I2" t="s">
        <v>110</v>
      </c>
    </row>
    <row r="3" spans="1:13" x14ac:dyDescent="0.2">
      <c r="A3" s="25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  <c r="I3" s="9" t="s">
        <v>39</v>
      </c>
      <c r="J3" s="16" cm="1">
        <f t="array" ref="J3">AVERAGE(IF(Table44[Cumplimiento de Meta %]&gt;=100%,1,0))</f>
        <v>0.61538461538461542</v>
      </c>
      <c r="L3" t="s">
        <v>41</v>
      </c>
      <c r="M3" s="18">
        <f>(COUNT(Table44[[#All],[Semana]])*7)/30</f>
        <v>3.0333333333333332</v>
      </c>
    </row>
    <row r="4" spans="1:13" x14ac:dyDescent="0.2">
      <c r="A4" s="43">
        <v>1</v>
      </c>
      <c r="B4" s="20">
        <v>45649</v>
      </c>
      <c r="C4" s="4">
        <v>600</v>
      </c>
      <c r="D4" s="4">
        <v>600</v>
      </c>
      <c r="E4" s="21">
        <f>D4/C4</f>
        <v>1</v>
      </c>
      <c r="F4" s="22">
        <f>IF(SUM($C$4:C4)-SUM($D$4:D4)&gt;0, (SUM($C$4:C4)-SUM($D$4:D4))/SUM($C$4:C4), 0)</f>
        <v>0</v>
      </c>
      <c r="G4" s="42">
        <f>D4-C4</f>
        <v>0</v>
      </c>
      <c r="I4" s="4"/>
      <c r="J4" s="4"/>
    </row>
    <row r="5" spans="1:13" x14ac:dyDescent="0.2">
      <c r="A5" s="43">
        <v>2</v>
      </c>
      <c r="B5" s="20">
        <v>45656</v>
      </c>
      <c r="C5" s="4">
        <v>900</v>
      </c>
      <c r="D5" s="4">
        <v>900</v>
      </c>
      <c r="E5" s="21">
        <f t="shared" ref="E5:E11" si="0">D5/C5</f>
        <v>1</v>
      </c>
      <c r="F5" s="22">
        <f>IF(SUM($C$4:C5)-SUM($D$4:D5)&gt;0, (SUM($C$4:C5)-SUM($D$4:D5))/SUM($C$4:C5), 0)</f>
        <v>0</v>
      </c>
      <c r="G5" s="42">
        <f t="shared" ref="G5:G11" si="1">D5-C5</f>
        <v>0</v>
      </c>
      <c r="I5" s="4" t="s">
        <v>21</v>
      </c>
      <c r="J5" s="4">
        <f>SUM(Table44[[#All],[Meta]])</f>
        <v>32700</v>
      </c>
    </row>
    <row r="6" spans="1:13" x14ac:dyDescent="0.2">
      <c r="A6" s="43">
        <v>3</v>
      </c>
      <c r="B6" s="20">
        <v>45663</v>
      </c>
      <c r="C6" s="4">
        <v>1800</v>
      </c>
      <c r="D6" s="4">
        <v>1800</v>
      </c>
      <c r="E6" s="21">
        <f t="shared" si="0"/>
        <v>1</v>
      </c>
      <c r="F6" s="22">
        <f>IF(SUM($C$4:C6)-SUM($D$4:D6)&gt;0, (SUM($C$4:C6)-SUM($D$4:D6))/SUM($C$4:C6), 0)</f>
        <v>0</v>
      </c>
      <c r="G6" s="42">
        <f t="shared" si="1"/>
        <v>0</v>
      </c>
      <c r="I6" s="4" t="s">
        <v>22</v>
      </c>
      <c r="J6" s="4">
        <f>SUM(Table44[[#All],[Cobranza]])</f>
        <v>25500</v>
      </c>
    </row>
    <row r="7" spans="1:13" x14ac:dyDescent="0.2">
      <c r="A7" s="43">
        <v>4</v>
      </c>
      <c r="B7" s="20">
        <v>45670</v>
      </c>
      <c r="C7" s="4">
        <v>2400</v>
      </c>
      <c r="D7" s="4">
        <v>2400</v>
      </c>
      <c r="E7" s="21">
        <f t="shared" si="0"/>
        <v>1</v>
      </c>
      <c r="F7" s="22">
        <f>IF(SUM($C$4:C7)-SUM($D$4:D7)&gt;0, (SUM($C$4:C7)-SUM($D$4:D7))/SUM($C$4:C7), 0)</f>
        <v>0</v>
      </c>
      <c r="G7" s="42">
        <f t="shared" si="1"/>
        <v>0</v>
      </c>
      <c r="I7" s="4" t="s">
        <v>23</v>
      </c>
      <c r="J7" s="4">
        <f>SUM(Table44[[#All],[Didiferencia Absoluta]])</f>
        <v>-7200</v>
      </c>
    </row>
    <row r="8" spans="1:13" x14ac:dyDescent="0.2">
      <c r="A8" s="43">
        <v>5</v>
      </c>
      <c r="B8" s="20">
        <v>45677</v>
      </c>
      <c r="C8" s="4">
        <v>3000</v>
      </c>
      <c r="D8" s="4">
        <v>3000</v>
      </c>
      <c r="E8" s="21">
        <f t="shared" si="0"/>
        <v>1</v>
      </c>
      <c r="F8" s="22">
        <f>IF(SUM($C$4:C8)-SUM($D$4:D8)&gt;0, (SUM($C$4:C8)-SUM($D$4:D8))/SUM($C$4:C8), 0)</f>
        <v>0</v>
      </c>
      <c r="G8" s="42">
        <f t="shared" si="1"/>
        <v>0</v>
      </c>
      <c r="I8" t="s">
        <v>24</v>
      </c>
      <c r="J8" s="16">
        <f>(J7/J5)*-1</f>
        <v>0.22018348623853212</v>
      </c>
    </row>
    <row r="9" spans="1:13" x14ac:dyDescent="0.2">
      <c r="A9" s="43">
        <v>6</v>
      </c>
      <c r="B9" s="20">
        <v>45684</v>
      </c>
      <c r="C9" s="4">
        <v>3000</v>
      </c>
      <c r="D9" s="4">
        <v>0</v>
      </c>
      <c r="E9" s="21">
        <f t="shared" si="0"/>
        <v>0</v>
      </c>
      <c r="F9" s="22">
        <f>IF(SUM($C$4:C9)-SUM($D$4:D9)&gt;0, (SUM($C$4:C9)-SUM($D$4:D9))/SUM($C$4:C9), 0)</f>
        <v>0.25641025641025639</v>
      </c>
      <c r="G9" s="42">
        <f t="shared" si="1"/>
        <v>-3000</v>
      </c>
    </row>
    <row r="10" spans="1:13" x14ac:dyDescent="0.2">
      <c r="A10" s="43">
        <v>7</v>
      </c>
      <c r="B10" s="20">
        <v>45691</v>
      </c>
      <c r="C10" s="4">
        <v>3000</v>
      </c>
      <c r="D10" s="4">
        <v>6000</v>
      </c>
      <c r="E10" s="21">
        <f t="shared" si="0"/>
        <v>2</v>
      </c>
      <c r="F10" s="22">
        <f>IF(SUM($C$4:C10)-SUM($D$4:D10)&gt;0, (SUM($C$4:C10)-SUM($D$4:D10))/SUM($C$4:C10), 0)</f>
        <v>0</v>
      </c>
      <c r="G10" s="42">
        <f t="shared" si="1"/>
        <v>3000</v>
      </c>
    </row>
    <row r="11" spans="1:13" x14ac:dyDescent="0.2">
      <c r="A11" s="43">
        <v>8</v>
      </c>
      <c r="B11" s="20">
        <v>45698</v>
      </c>
      <c r="C11" s="4">
        <v>3000</v>
      </c>
      <c r="D11" s="4">
        <v>0</v>
      </c>
      <c r="E11" s="21">
        <f t="shared" si="0"/>
        <v>0</v>
      </c>
      <c r="F11" s="22">
        <f>IF(SUM($C$4:C11)-SUM($D$4:D11)&gt;0, (SUM($C$4:C11)-SUM($D$4:D11))/SUM($C$4:C11), 0)</f>
        <v>0.16949152542372881</v>
      </c>
      <c r="G11" s="42">
        <f t="shared" si="1"/>
        <v>-3000</v>
      </c>
    </row>
    <row r="12" spans="1:13" x14ac:dyDescent="0.2">
      <c r="A12" s="43">
        <v>9</v>
      </c>
      <c r="B12" s="20">
        <v>45705</v>
      </c>
      <c r="C12" s="4">
        <v>3000</v>
      </c>
      <c r="D12" s="4">
        <v>2400</v>
      </c>
      <c r="E12" s="21">
        <f>D12/C12</f>
        <v>0.8</v>
      </c>
      <c r="F12" s="22">
        <f>IF(SUM($C$4:C12)-SUM($D$4:D12)&gt;0, (SUM($C$4:C12)-SUM($D$4:D12))/SUM($C$4:C12), 0)</f>
        <v>0.17391304347826086</v>
      </c>
      <c r="G12" s="42">
        <f>D12-C12</f>
        <v>-600</v>
      </c>
    </row>
    <row r="13" spans="1:13" x14ac:dyDescent="0.2">
      <c r="A13" s="43">
        <v>10</v>
      </c>
      <c r="B13" s="20">
        <v>45712</v>
      </c>
      <c r="C13" s="4">
        <v>3000</v>
      </c>
      <c r="D13" s="4">
        <v>3300</v>
      </c>
      <c r="E13" s="21">
        <f>D13/C13</f>
        <v>1.1000000000000001</v>
      </c>
      <c r="F13" s="22">
        <f>IF(SUM($C$4:C13)-SUM($D$4:D13)&gt;0, (SUM($C$4:C13)-SUM($D$4:D13))/SUM($C$4:C13), 0)</f>
        <v>0.13924050632911392</v>
      </c>
      <c r="G13" s="42">
        <f>D13-C13</f>
        <v>300</v>
      </c>
    </row>
    <row r="14" spans="1:13" x14ac:dyDescent="0.2">
      <c r="A14" s="43">
        <v>11</v>
      </c>
      <c r="B14" s="20">
        <v>45719</v>
      </c>
      <c r="C14" s="4">
        <v>3000</v>
      </c>
      <c r="D14" s="4">
        <v>2100</v>
      </c>
      <c r="E14" s="21">
        <f>D14/C14</f>
        <v>0.7</v>
      </c>
      <c r="F14" s="22">
        <f>IF(SUM($C$4:C14)-SUM($D$4:D14)&gt;0, (SUM($C$4:C14)-SUM($D$4:D14))/SUM($C$4:C14), 0)</f>
        <v>0.15730337078651685</v>
      </c>
      <c r="G14" s="42">
        <f>D14-C14</f>
        <v>-900</v>
      </c>
    </row>
    <row r="15" spans="1:13" x14ac:dyDescent="0.2">
      <c r="A15" s="43">
        <v>12</v>
      </c>
      <c r="B15" s="20">
        <v>45726</v>
      </c>
      <c r="C15" s="4">
        <v>3000</v>
      </c>
      <c r="D15" s="4">
        <v>3000</v>
      </c>
      <c r="E15" s="21">
        <f>D15/C15</f>
        <v>1</v>
      </c>
      <c r="F15" s="22">
        <f>IF(SUM($C$4:C15)-SUM($D$4:D15)&gt;0, (SUM($C$4:C15)-SUM($D$4:D15))/SUM($C$4:C15), 0)</f>
        <v>0.14141414141414141</v>
      </c>
      <c r="G15" s="42">
        <f>D15-C15</f>
        <v>0</v>
      </c>
    </row>
    <row r="16" spans="1:13" x14ac:dyDescent="0.2">
      <c r="A16" s="43">
        <v>13</v>
      </c>
      <c r="B16" s="20">
        <v>45733</v>
      </c>
      <c r="C16" s="4">
        <v>3000</v>
      </c>
      <c r="D16" s="4"/>
      <c r="E16" s="64">
        <f>D16/C16</f>
        <v>0</v>
      </c>
      <c r="F16" s="22">
        <f>IF(SUM($C$4:C16)-SUM($D$4:D16)&gt;0, (SUM($C$4:C16)-SUM($D$4:D16))/SUM($C$4:C16), 0)</f>
        <v>0.22018348623853212</v>
      </c>
      <c r="G16" s="69">
        <f>D16-C16</f>
        <v>-3000</v>
      </c>
    </row>
  </sheetData>
  <mergeCells count="2">
    <mergeCell ref="A1:A2"/>
    <mergeCell ref="B1:E2"/>
  </mergeCells>
  <pageMargins left="0.7" right="0.7" top="0.75" bottom="0.75" header="0.3" footer="0.3"/>
  <drawing r:id="rId1"/>
  <tableParts count="1">
    <tablePart r:id="rId2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318E6-D2E3-3E42-B0B0-5985EEBD7F51}">
  <dimension ref="A1:M10"/>
  <sheetViews>
    <sheetView workbookViewId="0">
      <selection activeCell="F19" sqref="F19"/>
    </sheetView>
  </sheetViews>
  <sheetFormatPr baseColWidth="10" defaultRowHeight="16" x14ac:dyDescent="0.2"/>
  <cols>
    <col min="4" max="4" width="11.33203125" customWidth="1"/>
    <col min="5" max="5" width="24" customWidth="1"/>
    <col min="6" max="6" width="13" customWidth="1"/>
    <col min="7" max="7" width="21.33203125" customWidth="1"/>
    <col min="9" max="9" width="29.5" bestFit="1" customWidth="1"/>
    <col min="10" max="10" width="11.5" bestFit="1" customWidth="1"/>
    <col min="12" max="12" width="17.33203125" bestFit="1" customWidth="1"/>
  </cols>
  <sheetData>
    <row r="1" spans="1:13" x14ac:dyDescent="0.2">
      <c r="A1" s="58" t="s">
        <v>98</v>
      </c>
      <c r="B1" s="55" t="s">
        <v>111</v>
      </c>
      <c r="C1" s="55"/>
      <c r="D1" s="55"/>
      <c r="E1" s="55"/>
    </row>
    <row r="2" spans="1:13" x14ac:dyDescent="0.2">
      <c r="A2" s="58"/>
      <c r="B2" s="60"/>
      <c r="C2" s="60"/>
      <c r="D2" s="60"/>
      <c r="E2" s="60"/>
      <c r="I2" t="s">
        <v>111</v>
      </c>
    </row>
    <row r="3" spans="1:13" x14ac:dyDescent="0.2">
      <c r="A3" s="25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  <c r="I3" s="9" t="s">
        <v>39</v>
      </c>
      <c r="J3" s="16" cm="1">
        <f t="array" ref="J3">AVERAGE(IF(Table45[Cumplimiento de Meta %]&gt;=100%,1,0))</f>
        <v>0.7142857142857143</v>
      </c>
      <c r="L3" t="s">
        <v>41</v>
      </c>
      <c r="M3" s="18">
        <f>(COUNT(Table45[[#All],[Semana]])*7)/30</f>
        <v>1.6333333333333333</v>
      </c>
    </row>
    <row r="4" spans="1:13" x14ac:dyDescent="0.2">
      <c r="A4">
        <v>1</v>
      </c>
      <c r="B4" s="20">
        <v>45691</v>
      </c>
      <c r="C4" s="4">
        <v>1500</v>
      </c>
      <c r="D4" s="4">
        <v>1500</v>
      </c>
      <c r="E4" s="21">
        <f t="shared" ref="E4:E9" si="0">D4/C4</f>
        <v>1</v>
      </c>
      <c r="F4" s="22">
        <f>IF(SUM($C$4:C4)-SUM($D$4:D4)&gt;0, (SUM($C$4:C4)-SUM($D$4:D4))/SUM($C$4:C4), 0)</f>
        <v>0</v>
      </c>
      <c r="G4" s="42">
        <f t="shared" ref="G4:G9" si="1">D4-C4</f>
        <v>0</v>
      </c>
      <c r="I4" s="4"/>
      <c r="J4" s="4"/>
    </row>
    <row r="5" spans="1:13" x14ac:dyDescent="0.2">
      <c r="A5">
        <v>2</v>
      </c>
      <c r="B5" s="20">
        <v>45698</v>
      </c>
      <c r="C5" s="4">
        <v>3000</v>
      </c>
      <c r="D5" s="4">
        <v>3000</v>
      </c>
      <c r="E5" s="21">
        <f t="shared" si="0"/>
        <v>1</v>
      </c>
      <c r="F5" s="22">
        <f>IF(SUM($C$4:C5)-SUM($D$4:D5)&gt;0, (SUM($C$4:C5)-SUM($D$4:D5))/SUM($C$4:C5), 0)</f>
        <v>0</v>
      </c>
      <c r="G5" s="42">
        <f t="shared" si="1"/>
        <v>0</v>
      </c>
      <c r="I5" s="4" t="s">
        <v>21</v>
      </c>
      <c r="J5" s="4">
        <f>SUM(Table45[[#All],[Meta]])</f>
        <v>36900</v>
      </c>
    </row>
    <row r="6" spans="1:13" x14ac:dyDescent="0.2">
      <c r="A6">
        <v>3</v>
      </c>
      <c r="B6" s="20">
        <v>45705</v>
      </c>
      <c r="C6" s="4">
        <v>4500</v>
      </c>
      <c r="D6" s="4">
        <v>4500</v>
      </c>
      <c r="E6" s="21">
        <f t="shared" si="0"/>
        <v>1</v>
      </c>
      <c r="F6" s="22">
        <f>IF(SUM($C$4:C6)-SUM($D$4:D6)&gt;0, (SUM($C$4:C6)-SUM($D$4:D6))/SUM($C$4:C6), 0)</f>
        <v>0</v>
      </c>
      <c r="G6" s="42">
        <f t="shared" si="1"/>
        <v>0</v>
      </c>
      <c r="I6" s="4" t="s">
        <v>22</v>
      </c>
      <c r="J6" s="4">
        <f>SUM(Table45[[#All],[Cobranza]])</f>
        <v>28200</v>
      </c>
    </row>
    <row r="7" spans="1:13" x14ac:dyDescent="0.2">
      <c r="A7">
        <v>4</v>
      </c>
      <c r="B7" s="20">
        <v>45712</v>
      </c>
      <c r="C7" s="4">
        <v>5700</v>
      </c>
      <c r="D7" s="4">
        <v>6000</v>
      </c>
      <c r="E7" s="21">
        <f t="shared" si="0"/>
        <v>1.0526315789473684</v>
      </c>
      <c r="F7" s="22">
        <f>IF(SUM($C$4:C7)-SUM($D$4:D7)&gt;0, (SUM($C$4:C7)-SUM($D$4:D7))/SUM($C$4:C7), 0)</f>
        <v>0</v>
      </c>
      <c r="G7" s="42">
        <f t="shared" si="1"/>
        <v>300</v>
      </c>
      <c r="I7" s="4" t="s">
        <v>23</v>
      </c>
      <c r="J7" s="4">
        <f>SUM(Table45[[#All],[Didiferencia Absoluta]])</f>
        <v>-8700</v>
      </c>
    </row>
    <row r="8" spans="1:13" x14ac:dyDescent="0.2">
      <c r="A8">
        <v>5</v>
      </c>
      <c r="B8" s="20">
        <v>45719</v>
      </c>
      <c r="C8" s="4">
        <v>6300</v>
      </c>
      <c r="D8" s="4">
        <v>6000</v>
      </c>
      <c r="E8" s="21">
        <f t="shared" si="0"/>
        <v>0.95238095238095233</v>
      </c>
      <c r="F8" s="22">
        <f>IF(SUM($C$4:C8)-SUM($D$4:D8)&gt;0, (SUM($C$4:C8)-SUM($D$4:D8))/SUM($C$4:C8), 0)</f>
        <v>0</v>
      </c>
      <c r="G8" s="42">
        <f t="shared" si="1"/>
        <v>-300</v>
      </c>
      <c r="I8" t="s">
        <v>24</v>
      </c>
      <c r="J8" s="16">
        <f>(J7/J5)*-1</f>
        <v>0.23577235772357724</v>
      </c>
    </row>
    <row r="9" spans="1:13" x14ac:dyDescent="0.2">
      <c r="A9">
        <v>6</v>
      </c>
      <c r="B9" s="20">
        <v>45726</v>
      </c>
      <c r="C9" s="4">
        <v>7200</v>
      </c>
      <c r="D9" s="4">
        <v>7200</v>
      </c>
      <c r="E9" s="21">
        <f t="shared" si="0"/>
        <v>1</v>
      </c>
      <c r="F9" s="22">
        <f>IF(SUM($C$4:C9)-SUM($D$4:D9)&gt;0, (SUM($C$4:C9)-SUM($D$4:D9))/SUM($C$4:C9), 0)</f>
        <v>0</v>
      </c>
      <c r="G9" s="42">
        <f t="shared" si="1"/>
        <v>0</v>
      </c>
    </row>
    <row r="10" spans="1:13" x14ac:dyDescent="0.2">
      <c r="A10">
        <v>7</v>
      </c>
      <c r="B10" s="20">
        <v>45733</v>
      </c>
      <c r="C10" s="4">
        <v>8700</v>
      </c>
      <c r="D10" s="4"/>
      <c r="E10" s="64">
        <f>D10/C10</f>
        <v>0</v>
      </c>
      <c r="F10" s="22">
        <f>IF(SUM($C$4:C10)-SUM($D$4:D10)&gt;0, (SUM($C$4:C10)-SUM($D$4:D10))/SUM($C$4:C10), 0)</f>
        <v>0.23577235772357724</v>
      </c>
      <c r="G10" s="69">
        <f>D10-C10</f>
        <v>-8700</v>
      </c>
    </row>
  </sheetData>
  <mergeCells count="2">
    <mergeCell ref="A1:A2"/>
    <mergeCell ref="B1:E2"/>
  </mergeCells>
  <pageMargins left="0.7" right="0.7" top="0.75" bottom="0.75" header="0.3" footer="0.3"/>
  <drawing r:id="rId1"/>
  <tableParts count="1">
    <tablePart r:id="rId2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1F0A3-8AAB-7A45-836C-0911BAA1DF4C}">
  <dimension ref="A1:M12"/>
  <sheetViews>
    <sheetView workbookViewId="0">
      <selection activeCell="E29" sqref="E29"/>
    </sheetView>
  </sheetViews>
  <sheetFormatPr baseColWidth="10" defaultRowHeight="16" x14ac:dyDescent="0.2"/>
  <cols>
    <col min="4" max="4" width="11.33203125" customWidth="1"/>
    <col min="5" max="5" width="24" customWidth="1"/>
    <col min="6" max="6" width="13" customWidth="1"/>
    <col min="7" max="7" width="21.33203125" customWidth="1"/>
    <col min="9" max="9" width="32.6640625" bestFit="1" customWidth="1"/>
    <col min="10" max="10" width="11.1640625" bestFit="1" customWidth="1"/>
    <col min="12" max="12" width="17.33203125" bestFit="1" customWidth="1"/>
  </cols>
  <sheetData>
    <row r="1" spans="1:13" x14ac:dyDescent="0.2">
      <c r="A1" s="58" t="s">
        <v>112</v>
      </c>
      <c r="B1" s="55" t="s">
        <v>122</v>
      </c>
      <c r="C1" s="55"/>
      <c r="D1" s="55"/>
      <c r="E1" s="55"/>
    </row>
    <row r="2" spans="1:13" x14ac:dyDescent="0.2">
      <c r="A2" s="58"/>
      <c r="B2" s="60"/>
      <c r="C2" s="60"/>
      <c r="D2" s="60"/>
      <c r="E2" s="60"/>
      <c r="I2" t="s">
        <v>122</v>
      </c>
    </row>
    <row r="3" spans="1:13" x14ac:dyDescent="0.2">
      <c r="A3" s="25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  <c r="I3" s="9" t="s">
        <v>39</v>
      </c>
      <c r="J3" s="16" cm="1">
        <f t="array" ref="J3">AVERAGE(IF(Table46[Cumplimiento de Meta %]&gt;=100%,1,0))</f>
        <v>0.77777777777777779</v>
      </c>
      <c r="L3" t="s">
        <v>41</v>
      </c>
      <c r="M3" s="18">
        <f>(COUNT(Table46[[#All],[Semana]])*7)/30</f>
        <v>2.1</v>
      </c>
    </row>
    <row r="4" spans="1:13" x14ac:dyDescent="0.2">
      <c r="A4">
        <v>1</v>
      </c>
      <c r="B4" s="20">
        <v>45677</v>
      </c>
      <c r="C4" s="4">
        <v>300</v>
      </c>
      <c r="D4" s="4">
        <v>300</v>
      </c>
      <c r="E4" s="21">
        <f>D4/C4</f>
        <v>1</v>
      </c>
      <c r="F4" s="22">
        <f>IF(SUM($C$4:C4)-SUM($D$4:D4)&gt;0, (SUM($C$4:C4)-SUM($D$4:D4))/SUM($C$4:C4), 0)</f>
        <v>0</v>
      </c>
      <c r="G4" s="42">
        <f>D4-C4</f>
        <v>0</v>
      </c>
      <c r="I4" s="4"/>
      <c r="J4" s="4"/>
    </row>
    <row r="5" spans="1:13" x14ac:dyDescent="0.2">
      <c r="A5">
        <v>2</v>
      </c>
      <c r="B5" s="20">
        <v>45684</v>
      </c>
      <c r="C5" s="4">
        <v>1800</v>
      </c>
      <c r="D5" s="4">
        <v>1800</v>
      </c>
      <c r="E5" s="21">
        <f t="shared" ref="E5:E7" si="0">D5/C5</f>
        <v>1</v>
      </c>
      <c r="F5" s="22">
        <f>IF(SUM($C$4:C5)-SUM($D$4:D5)&gt;0, (SUM($C$4:C5)-SUM($D$4:D5))/SUM($C$4:C5), 0)</f>
        <v>0</v>
      </c>
      <c r="G5" s="42">
        <f t="shared" ref="G5:G7" si="1">D5-C5</f>
        <v>0</v>
      </c>
      <c r="I5" s="4" t="s">
        <v>21</v>
      </c>
      <c r="J5" s="4">
        <f>SUM(Table46[[#All],[Meta]])</f>
        <v>45000</v>
      </c>
    </row>
    <row r="6" spans="1:13" x14ac:dyDescent="0.2">
      <c r="A6">
        <v>3</v>
      </c>
      <c r="B6" s="20">
        <v>45691</v>
      </c>
      <c r="C6" s="4">
        <v>3000</v>
      </c>
      <c r="D6" s="4">
        <v>3000</v>
      </c>
      <c r="E6" s="21">
        <f t="shared" si="0"/>
        <v>1</v>
      </c>
      <c r="F6" s="22">
        <f>IF(SUM($C$4:C6)-SUM($D$4:D6)&gt;0, (SUM($C$4:C6)-SUM($D$4:D6))/SUM($C$4:C6), 0)</f>
        <v>0</v>
      </c>
      <c r="G6" s="42">
        <f t="shared" si="1"/>
        <v>0</v>
      </c>
      <c r="I6" s="4" t="s">
        <v>22</v>
      </c>
      <c r="J6" s="4">
        <f>SUM(Table46[[#All],[Cobranza]])</f>
        <v>36300</v>
      </c>
    </row>
    <row r="7" spans="1:13" x14ac:dyDescent="0.2">
      <c r="A7">
        <v>4</v>
      </c>
      <c r="B7" s="20">
        <v>45698</v>
      </c>
      <c r="C7" s="4">
        <v>3900</v>
      </c>
      <c r="D7" s="4">
        <v>4200</v>
      </c>
      <c r="E7" s="21">
        <f t="shared" si="0"/>
        <v>1.0769230769230769</v>
      </c>
      <c r="F7" s="22">
        <f>IF(SUM($C$4:C7)-SUM($D$4:D7)&gt;0, (SUM($C$4:C7)-SUM($D$4:D7))/SUM($C$4:C7), 0)</f>
        <v>0</v>
      </c>
      <c r="G7" s="42">
        <f t="shared" si="1"/>
        <v>300</v>
      </c>
      <c r="I7" s="4" t="s">
        <v>23</v>
      </c>
      <c r="J7" s="4">
        <f>SUM(Table46[[#All],[Didiferencia Absoluta]])</f>
        <v>-8700</v>
      </c>
    </row>
    <row r="8" spans="1:13" x14ac:dyDescent="0.2">
      <c r="A8">
        <v>5</v>
      </c>
      <c r="B8" s="20">
        <v>45705</v>
      </c>
      <c r="C8" s="4">
        <v>5100</v>
      </c>
      <c r="D8" s="4">
        <v>5100</v>
      </c>
      <c r="E8" s="21">
        <f>D8/C8</f>
        <v>1</v>
      </c>
      <c r="F8" s="22">
        <f>IF(SUM($C$4:C8)-SUM($D$4:D8)&gt;0, (SUM($C$4:C8)-SUM($D$4:D8))/SUM($C$4:C8), 0)</f>
        <v>0</v>
      </c>
      <c r="G8" s="42">
        <f>D8-C8</f>
        <v>0</v>
      </c>
      <c r="I8" t="s">
        <v>24</v>
      </c>
      <c r="J8" s="16">
        <f>(J7/J5)*-1</f>
        <v>0.19333333333333333</v>
      </c>
    </row>
    <row r="9" spans="1:13" x14ac:dyDescent="0.2">
      <c r="A9">
        <v>6</v>
      </c>
      <c r="B9" s="20">
        <v>45712</v>
      </c>
      <c r="C9" s="4">
        <v>6300</v>
      </c>
      <c r="D9" s="4">
        <v>6000</v>
      </c>
      <c r="E9" s="21">
        <f>D9/C9</f>
        <v>0.95238095238095233</v>
      </c>
      <c r="F9" s="22">
        <f>IF(SUM($C$4:C9)-SUM($D$4:D9)&gt;0, (SUM($C$4:C9)-SUM($D$4:D9))/SUM($C$4:C9), 0)</f>
        <v>0</v>
      </c>
      <c r="G9" s="42">
        <f>D9-C9</f>
        <v>-300</v>
      </c>
    </row>
    <row r="10" spans="1:13" x14ac:dyDescent="0.2">
      <c r="A10">
        <v>7</v>
      </c>
      <c r="B10" s="20">
        <v>45719</v>
      </c>
      <c r="C10" s="4">
        <v>7800</v>
      </c>
      <c r="D10" s="4">
        <v>7800</v>
      </c>
      <c r="E10" s="21">
        <f>D10/C10</f>
        <v>1</v>
      </c>
      <c r="F10" s="22">
        <f>IF(SUM($C$4:C10)-SUM($D$4:D10)&gt;0, (SUM($C$4:C10)-SUM($D$4:D10))/SUM($C$4:C10), 0)</f>
        <v>0</v>
      </c>
      <c r="G10" s="42">
        <f>D10-C10</f>
        <v>0</v>
      </c>
    </row>
    <row r="11" spans="1:13" x14ac:dyDescent="0.2">
      <c r="A11">
        <v>8</v>
      </c>
      <c r="B11" s="20">
        <v>45726</v>
      </c>
      <c r="C11" s="4">
        <v>8100</v>
      </c>
      <c r="D11" s="4">
        <v>8100</v>
      </c>
      <c r="E11" s="21">
        <f>D11/C11</f>
        <v>1</v>
      </c>
      <c r="F11" s="22">
        <f>IF(SUM($C$4:C11)-SUM($D$4:D11)&gt;0, (SUM($C$4:C11)-SUM($D$4:D11))/SUM($C$4:C11), 0)</f>
        <v>0</v>
      </c>
      <c r="G11" s="42">
        <f>D11-C11</f>
        <v>0</v>
      </c>
    </row>
    <row r="12" spans="1:13" x14ac:dyDescent="0.2">
      <c r="A12">
        <v>9</v>
      </c>
      <c r="B12" s="20">
        <v>45733</v>
      </c>
      <c r="C12" s="4">
        <v>8700</v>
      </c>
      <c r="D12" s="4"/>
      <c r="E12" s="64">
        <f>D12/C12</f>
        <v>0</v>
      </c>
      <c r="F12" s="22">
        <f>IF(SUM($C$4:C12)-SUM($D$4:D12)&gt;0, (SUM($C$4:C12)-SUM($D$4:D12))/SUM($C$4:C12), 0)</f>
        <v>0.19333333333333333</v>
      </c>
      <c r="G12" s="69">
        <f>D12-C12</f>
        <v>-8700</v>
      </c>
    </row>
  </sheetData>
  <mergeCells count="2">
    <mergeCell ref="A1:A2"/>
    <mergeCell ref="B1:E2"/>
  </mergeCells>
  <pageMargins left="0.7" right="0.7" top="0.75" bottom="0.75" header="0.3" footer="0.3"/>
  <drawing r:id="rId1"/>
  <tableParts count="1">
    <tablePart r:id="rId2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5E0C9-01BB-B440-A278-23DDBBA8DD5C}">
  <dimension ref="A1:I4"/>
  <sheetViews>
    <sheetView workbookViewId="0">
      <selection activeCell="I3" sqref="I3:M8"/>
    </sheetView>
  </sheetViews>
  <sheetFormatPr baseColWidth="10" defaultRowHeight="16" x14ac:dyDescent="0.2"/>
  <cols>
    <col min="4" max="4" width="11.33203125" customWidth="1"/>
    <col min="5" max="5" width="24" customWidth="1"/>
    <col min="6" max="6" width="13" customWidth="1"/>
    <col min="7" max="7" width="21.33203125" customWidth="1"/>
  </cols>
  <sheetData>
    <row r="1" spans="1:9" x14ac:dyDescent="0.2">
      <c r="A1" s="58" t="s">
        <v>113</v>
      </c>
      <c r="B1" s="55" t="s">
        <v>123</v>
      </c>
      <c r="C1" s="55"/>
      <c r="D1" s="55"/>
      <c r="E1" s="55"/>
    </row>
    <row r="2" spans="1:9" x14ac:dyDescent="0.2">
      <c r="A2" s="58"/>
      <c r="B2" s="60"/>
      <c r="C2" s="60"/>
      <c r="D2" s="60"/>
      <c r="E2" s="60"/>
      <c r="I2" t="s">
        <v>123</v>
      </c>
    </row>
    <row r="3" spans="1:9" x14ac:dyDescent="0.2">
      <c r="A3" s="25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</row>
    <row r="4" spans="1:9" x14ac:dyDescent="0.2">
      <c r="A4">
        <v>1</v>
      </c>
    </row>
  </sheetData>
  <mergeCells count="2">
    <mergeCell ref="A1:A2"/>
    <mergeCell ref="B1:E2"/>
  </mergeCells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1CEB-EDCF-2A48-BFE6-8D855B62BA48}">
  <dimension ref="A1:M11"/>
  <sheetViews>
    <sheetView workbookViewId="0">
      <selection activeCell="E22" sqref="E22"/>
    </sheetView>
  </sheetViews>
  <sheetFormatPr baseColWidth="10" defaultRowHeight="16" x14ac:dyDescent="0.2"/>
  <cols>
    <col min="4" max="4" width="11.33203125" customWidth="1"/>
    <col min="5" max="5" width="24" customWidth="1"/>
    <col min="6" max="6" width="13" customWidth="1"/>
    <col min="7" max="7" width="21.33203125" customWidth="1"/>
    <col min="9" max="9" width="26.33203125" bestFit="1" customWidth="1"/>
    <col min="10" max="10" width="11.1640625" bestFit="1" customWidth="1"/>
    <col min="12" max="12" width="17.33203125" bestFit="1" customWidth="1"/>
  </cols>
  <sheetData>
    <row r="1" spans="1:13" x14ac:dyDescent="0.2">
      <c r="A1" s="58" t="s">
        <v>114</v>
      </c>
      <c r="B1" s="55" t="s">
        <v>124</v>
      </c>
      <c r="C1" s="55"/>
      <c r="D1" s="55"/>
      <c r="E1" s="55"/>
    </row>
    <row r="2" spans="1:13" x14ac:dyDescent="0.2">
      <c r="A2" s="58"/>
      <c r="B2" s="60"/>
      <c r="C2" s="60"/>
      <c r="D2" s="60"/>
      <c r="E2" s="60"/>
      <c r="I2" t="s">
        <v>124</v>
      </c>
    </row>
    <row r="3" spans="1:13" x14ac:dyDescent="0.2">
      <c r="A3" s="25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  <c r="I3" s="9" t="s">
        <v>39</v>
      </c>
      <c r="J3" s="16" cm="1">
        <f t="array" ref="J3">AVERAGE(IF(Table48[Cumplimiento de Meta %]&gt;=100%,1,0))</f>
        <v>0.75</v>
      </c>
      <c r="L3" t="s">
        <v>41</v>
      </c>
      <c r="M3" s="18">
        <f>(COUNT(Table48[[#All],[Semana]])*7)/30</f>
        <v>1.8666666666666667</v>
      </c>
    </row>
    <row r="4" spans="1:13" x14ac:dyDescent="0.2">
      <c r="A4">
        <v>1</v>
      </c>
      <c r="B4" s="20">
        <v>45684</v>
      </c>
      <c r="C4" s="4">
        <v>1500</v>
      </c>
      <c r="D4" s="4">
        <v>1500</v>
      </c>
      <c r="E4" s="21">
        <f t="shared" ref="E4:E9" si="0">D4/C4</f>
        <v>1</v>
      </c>
      <c r="F4" s="22">
        <f>IF(SUM($C$4:C4)-SUM($D$4:D4)&gt;0, (SUM($C$4:C4)-SUM($D$4:D4))/SUM($C$4:C4), 0)</f>
        <v>0</v>
      </c>
      <c r="G4" s="42">
        <f t="shared" ref="G4:G9" si="1">D4-C4</f>
        <v>0</v>
      </c>
      <c r="I4" s="4"/>
      <c r="J4" s="4"/>
    </row>
    <row r="5" spans="1:13" x14ac:dyDescent="0.2">
      <c r="A5">
        <v>2</v>
      </c>
      <c r="B5" s="20">
        <v>45691</v>
      </c>
      <c r="C5" s="4">
        <v>3000</v>
      </c>
      <c r="D5" s="4">
        <v>3000</v>
      </c>
      <c r="E5" s="21">
        <f t="shared" si="0"/>
        <v>1</v>
      </c>
      <c r="F5" s="22">
        <f>IF(SUM($C$4:C5)-SUM($D$4:D5)&gt;0, (SUM($C$4:C5)-SUM($D$4:D5))/SUM($C$4:C5), 0)</f>
        <v>0</v>
      </c>
      <c r="G5" s="42">
        <f t="shared" si="1"/>
        <v>0</v>
      </c>
      <c r="I5" s="4" t="s">
        <v>21</v>
      </c>
      <c r="J5" s="4">
        <f>SUM(Table48[[#All],[Meta]])</f>
        <v>35400</v>
      </c>
    </row>
    <row r="6" spans="1:13" x14ac:dyDescent="0.2">
      <c r="A6">
        <v>3</v>
      </c>
      <c r="B6" s="20">
        <v>45698</v>
      </c>
      <c r="C6" s="4">
        <v>3900</v>
      </c>
      <c r="D6" s="4">
        <v>3900</v>
      </c>
      <c r="E6" s="21">
        <f t="shared" si="0"/>
        <v>1</v>
      </c>
      <c r="F6" s="22">
        <f>IF(SUM($C$4:C6)-SUM($D$4:D6)&gt;0, (SUM($C$4:C6)-SUM($D$4:D6))/SUM($C$4:C6), 0)</f>
        <v>0</v>
      </c>
      <c r="G6" s="42">
        <f t="shared" si="1"/>
        <v>0</v>
      </c>
      <c r="I6" s="4" t="s">
        <v>22</v>
      </c>
      <c r="J6" s="4">
        <f>SUM(Table48[[#All],[Cobranza]])</f>
        <v>29400</v>
      </c>
    </row>
    <row r="7" spans="1:13" x14ac:dyDescent="0.2">
      <c r="A7">
        <v>4</v>
      </c>
      <c r="B7" s="20">
        <v>45705</v>
      </c>
      <c r="C7" s="4">
        <v>4800</v>
      </c>
      <c r="D7" s="4">
        <v>4800</v>
      </c>
      <c r="E7" s="21">
        <f t="shared" si="0"/>
        <v>1</v>
      </c>
      <c r="F7" s="22">
        <f>IF(SUM($C$4:C7)-SUM($D$4:D7)&gt;0, (SUM($C$4:C7)-SUM($D$4:D7))/SUM($C$4:C7), 0)</f>
        <v>0</v>
      </c>
      <c r="G7" s="42">
        <f t="shared" si="1"/>
        <v>0</v>
      </c>
      <c r="I7" s="4" t="s">
        <v>23</v>
      </c>
      <c r="J7" s="4">
        <f>SUM(Table48[[#All],[Didiferencia Absoluta]])</f>
        <v>-6000</v>
      </c>
    </row>
    <row r="8" spans="1:13" x14ac:dyDescent="0.2">
      <c r="A8">
        <v>5</v>
      </c>
      <c r="B8" s="20">
        <v>45712</v>
      </c>
      <c r="C8" s="4">
        <v>5400</v>
      </c>
      <c r="D8" s="4">
        <v>5400</v>
      </c>
      <c r="E8" s="21">
        <f t="shared" si="0"/>
        <v>1</v>
      </c>
      <c r="F8" s="22">
        <f>IF(SUM($C$4:C8)-SUM($D$4:D8)&gt;0, (SUM($C$4:C8)-SUM($D$4:D8))/SUM($C$4:C8), 0)</f>
        <v>0</v>
      </c>
      <c r="G8" s="42">
        <f t="shared" si="1"/>
        <v>0</v>
      </c>
      <c r="I8" t="s">
        <v>24</v>
      </c>
      <c r="J8" s="16">
        <f>(J7/J5)*-1</f>
        <v>0.16949152542372881</v>
      </c>
    </row>
    <row r="9" spans="1:13" x14ac:dyDescent="0.2">
      <c r="A9">
        <v>6</v>
      </c>
      <c r="B9" s="20">
        <v>45719</v>
      </c>
      <c r="C9" s="4">
        <v>5400</v>
      </c>
      <c r="D9" s="4">
        <v>4400</v>
      </c>
      <c r="E9" s="21">
        <f t="shared" si="0"/>
        <v>0.81481481481481477</v>
      </c>
      <c r="F9" s="22">
        <f>IF(SUM($C$4:C9)-SUM($D$4:D9)&gt;0, (SUM($C$4:C9)-SUM($D$4:D9))/SUM($C$4:C9), 0)</f>
        <v>4.1666666666666664E-2</v>
      </c>
      <c r="G9" s="42">
        <f t="shared" si="1"/>
        <v>-1000</v>
      </c>
    </row>
    <row r="10" spans="1:13" x14ac:dyDescent="0.2">
      <c r="A10">
        <v>7</v>
      </c>
      <c r="B10" s="20">
        <v>45726</v>
      </c>
      <c r="C10" s="4">
        <v>5400</v>
      </c>
      <c r="D10" s="4">
        <v>6400</v>
      </c>
      <c r="E10" s="21">
        <f>D10/C10</f>
        <v>1.1851851851851851</v>
      </c>
      <c r="F10" s="22">
        <f>IF(SUM($C$4:C10)-SUM($D$4:D10)&gt;0, (SUM($C$4:C10)-SUM($D$4:D10))/SUM($C$4:C10), 0)</f>
        <v>0</v>
      </c>
      <c r="G10" s="42">
        <f>D10-C10</f>
        <v>1000</v>
      </c>
    </row>
    <row r="11" spans="1:13" x14ac:dyDescent="0.2">
      <c r="A11">
        <v>8</v>
      </c>
      <c r="B11" s="20">
        <v>45733</v>
      </c>
      <c r="C11" s="4">
        <v>6000</v>
      </c>
      <c r="D11" s="4"/>
      <c r="E11" s="64">
        <f>D11/C11</f>
        <v>0</v>
      </c>
      <c r="F11" s="22">
        <f>IF(SUM($C$4:C11)-SUM($D$4:D11)&gt;0, (SUM($C$4:C11)-SUM($D$4:D11))/SUM($C$4:C11), 0)</f>
        <v>0.16949152542372881</v>
      </c>
      <c r="G11" s="69">
        <f>D11-C11</f>
        <v>-6000</v>
      </c>
    </row>
  </sheetData>
  <mergeCells count="2">
    <mergeCell ref="A1:A2"/>
    <mergeCell ref="B1:E2"/>
  </mergeCells>
  <pageMargins left="0.7" right="0.7" top="0.75" bottom="0.75" header="0.3" footer="0.3"/>
  <drawing r:id="rId1"/>
  <tableParts count="1">
    <tablePart r:id="rId2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E1CFC-BA22-2D40-AC35-EE8DF46C001E}">
  <dimension ref="A1:M11"/>
  <sheetViews>
    <sheetView workbookViewId="0">
      <selection activeCell="E24" sqref="E24"/>
    </sheetView>
  </sheetViews>
  <sheetFormatPr baseColWidth="10" defaultRowHeight="16" x14ac:dyDescent="0.2"/>
  <cols>
    <col min="4" max="4" width="14.83203125" customWidth="1"/>
    <col min="5" max="5" width="24" customWidth="1"/>
    <col min="6" max="6" width="13" customWidth="1"/>
    <col min="7" max="7" width="21.33203125" customWidth="1"/>
    <col min="9" max="9" width="35.1640625" bestFit="1" customWidth="1"/>
    <col min="10" max="10" width="11.1640625" bestFit="1" customWidth="1"/>
    <col min="12" max="12" width="17.33203125" bestFit="1" customWidth="1"/>
  </cols>
  <sheetData>
    <row r="1" spans="1:13" x14ac:dyDescent="0.2">
      <c r="A1" s="58" t="s">
        <v>115</v>
      </c>
      <c r="B1" s="55" t="s">
        <v>125</v>
      </c>
      <c r="C1" s="55"/>
      <c r="D1" s="55"/>
      <c r="E1" s="55"/>
    </row>
    <row r="2" spans="1:13" x14ac:dyDescent="0.2">
      <c r="A2" s="58"/>
      <c r="B2" s="60"/>
      <c r="C2" s="60"/>
      <c r="D2" s="60"/>
      <c r="E2" s="60"/>
      <c r="I2" t="s">
        <v>125</v>
      </c>
    </row>
    <row r="3" spans="1:13" x14ac:dyDescent="0.2">
      <c r="A3" s="25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  <c r="I3" s="9" t="s">
        <v>39</v>
      </c>
      <c r="J3" s="16" cm="1">
        <f t="array" ref="J3">AVERAGE(IF(Table49[Cumplimiento de Meta %]&gt;=100%,1,0))</f>
        <v>0.75</v>
      </c>
      <c r="L3" t="s">
        <v>41</v>
      </c>
      <c r="M3" s="18">
        <f>(COUNT(Table49[[#All],[Semana]])*7)/30</f>
        <v>1.8666666666666667</v>
      </c>
    </row>
    <row r="4" spans="1:13" x14ac:dyDescent="0.2">
      <c r="A4" s="43">
        <v>1</v>
      </c>
      <c r="B4" s="20">
        <v>45684</v>
      </c>
      <c r="C4" s="4">
        <v>1500</v>
      </c>
      <c r="D4" s="4">
        <v>1500</v>
      </c>
      <c r="E4" s="21">
        <f>D4/C4</f>
        <v>1</v>
      </c>
      <c r="F4" s="22">
        <f>IF(SUM($C$4:C4)-SUM($D$4:D4)&gt;0, (SUM($C$4:C4)-SUM($D$4:D4))/SUM($C$4:C4), 0)</f>
        <v>0</v>
      </c>
      <c r="G4" s="42">
        <f>D4-C4</f>
        <v>0</v>
      </c>
      <c r="I4" s="4"/>
      <c r="J4" s="4"/>
    </row>
    <row r="5" spans="1:13" x14ac:dyDescent="0.2">
      <c r="A5" s="43">
        <v>2</v>
      </c>
      <c r="B5" s="20">
        <v>45691</v>
      </c>
      <c r="C5" s="4">
        <v>2400</v>
      </c>
      <c r="D5" s="4">
        <v>2400</v>
      </c>
      <c r="E5" s="21">
        <f t="shared" ref="E5:E6" si="0">D5/C5</f>
        <v>1</v>
      </c>
      <c r="F5" s="22">
        <f>IF(SUM($C$4:C5)-SUM($D$4:D5)&gt;0, (SUM($C$4:C5)-SUM($D$4:D5))/SUM($C$4:C5), 0)</f>
        <v>0</v>
      </c>
      <c r="G5" s="42">
        <f t="shared" ref="G5:G6" si="1">D5-C5</f>
        <v>0</v>
      </c>
      <c r="I5" s="4" t="s">
        <v>21</v>
      </c>
      <c r="J5" s="4">
        <f>SUM(Table49[[#All],[Meta]])</f>
        <v>33600</v>
      </c>
    </row>
    <row r="6" spans="1:13" x14ac:dyDescent="0.2">
      <c r="A6" s="43">
        <v>3</v>
      </c>
      <c r="B6" s="20">
        <v>45698</v>
      </c>
      <c r="C6" s="4">
        <v>3900</v>
      </c>
      <c r="D6" s="4">
        <v>3900</v>
      </c>
      <c r="E6" s="21">
        <f t="shared" si="0"/>
        <v>1</v>
      </c>
      <c r="F6" s="22">
        <f>IF(SUM($C$4:C6)-SUM($D$4:D6)&gt;0, (SUM($C$4:C6)-SUM($D$4:D6))/SUM($C$4:C6), 0)</f>
        <v>0</v>
      </c>
      <c r="G6" s="42">
        <f t="shared" si="1"/>
        <v>0</v>
      </c>
      <c r="I6" s="4" t="s">
        <v>22</v>
      </c>
      <c r="J6" s="4">
        <f>SUM(Table49[[#All],[Cobranza]])</f>
        <v>28200</v>
      </c>
    </row>
    <row r="7" spans="1:13" x14ac:dyDescent="0.2">
      <c r="A7" s="43">
        <v>4</v>
      </c>
      <c r="B7" s="20">
        <v>45705</v>
      </c>
      <c r="C7" s="4">
        <v>4800</v>
      </c>
      <c r="D7" s="4">
        <v>4800</v>
      </c>
      <c r="E7" s="21">
        <f>D7/C7</f>
        <v>1</v>
      </c>
      <c r="F7" s="22">
        <f>IF(SUM($C$4:C7)-SUM($D$4:D7)&gt;0, (SUM($C$4:C7)-SUM($D$4:D7))/SUM($C$4:C7), 0)</f>
        <v>0</v>
      </c>
      <c r="G7" s="42">
        <f>D7-C7</f>
        <v>0</v>
      </c>
      <c r="I7" s="4" t="s">
        <v>23</v>
      </c>
      <c r="J7" s="4">
        <f>SUM(Table49[[#All],[Didiferencia Absoluta]])</f>
        <v>-5400</v>
      </c>
    </row>
    <row r="8" spans="1:13" x14ac:dyDescent="0.2">
      <c r="A8" s="43">
        <v>5</v>
      </c>
      <c r="B8" s="20">
        <v>45712</v>
      </c>
      <c r="C8" s="4">
        <v>5100</v>
      </c>
      <c r="D8" s="4">
        <v>5100</v>
      </c>
      <c r="E8" s="21">
        <f>D8/C8</f>
        <v>1</v>
      </c>
      <c r="F8" s="22">
        <f>IF(SUM($C$4:C8)-SUM($D$4:D8)&gt;0, (SUM($C$4:C8)-SUM($D$4:D8))/SUM($C$4:C8), 0)</f>
        <v>0</v>
      </c>
      <c r="G8" s="42">
        <f>D8-C8</f>
        <v>0</v>
      </c>
      <c r="I8" t="s">
        <v>24</v>
      </c>
      <c r="J8" s="16">
        <f>(J7/J5)*-1</f>
        <v>0.16071428571428573</v>
      </c>
    </row>
    <row r="9" spans="1:13" x14ac:dyDescent="0.2">
      <c r="A9" s="43">
        <v>6</v>
      </c>
      <c r="B9" s="20">
        <v>45719</v>
      </c>
      <c r="C9" s="4">
        <v>5100</v>
      </c>
      <c r="D9" s="4">
        <v>5400</v>
      </c>
      <c r="E9" s="21">
        <f>D9/C9</f>
        <v>1.0588235294117647</v>
      </c>
      <c r="F9" s="22">
        <f>IF(SUM($C$4:C9)-SUM($D$4:D9)&gt;0, (SUM($C$4:C9)-SUM($D$4:D9))/SUM($C$4:C9), 0)</f>
        <v>0</v>
      </c>
      <c r="G9" s="42">
        <f>D9-C9</f>
        <v>300</v>
      </c>
    </row>
    <row r="10" spans="1:13" x14ac:dyDescent="0.2">
      <c r="A10" s="43">
        <v>7</v>
      </c>
      <c r="B10" s="20">
        <v>45726</v>
      </c>
      <c r="C10" s="4">
        <v>5400</v>
      </c>
      <c r="D10" s="4">
        <v>5100</v>
      </c>
      <c r="E10" s="21">
        <f>D10/C10</f>
        <v>0.94444444444444442</v>
      </c>
      <c r="F10" s="22">
        <f>IF(SUM($C$4:C10)-SUM($D$4:D10)&gt;0, (SUM($C$4:C10)-SUM($D$4:D10))/SUM($C$4:C10), 0)</f>
        <v>0</v>
      </c>
      <c r="G10" s="42">
        <f>D10-C10</f>
        <v>-300</v>
      </c>
    </row>
    <row r="11" spans="1:13" x14ac:dyDescent="0.2">
      <c r="A11" s="43">
        <v>8</v>
      </c>
      <c r="B11" s="20">
        <v>45733</v>
      </c>
      <c r="C11" s="4">
        <v>5400</v>
      </c>
      <c r="D11" s="4"/>
      <c r="E11" s="64">
        <f>D11/C11</f>
        <v>0</v>
      </c>
      <c r="F11" s="22">
        <f>IF(SUM($C$4:C11)-SUM($D$4:D11)&gt;0, (SUM($C$4:C11)-SUM($D$4:D11))/SUM($C$4:C11), 0)</f>
        <v>0.16071428571428573</v>
      </c>
      <c r="G11" s="69">
        <f>D11-C11</f>
        <v>-5400</v>
      </c>
    </row>
  </sheetData>
  <mergeCells count="2">
    <mergeCell ref="A1:A2"/>
    <mergeCell ref="B1:E2"/>
  </mergeCells>
  <pageMargins left="0.7" right="0.7" top="0.75" bottom="0.75" header="0.3" footer="0.3"/>
  <drawing r:id="rId1"/>
  <tableParts count="1">
    <tablePart r:id="rId2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BD5B4-6086-724D-BE6C-04DCC3F70C07}">
  <dimension ref="A1:M7"/>
  <sheetViews>
    <sheetView workbookViewId="0">
      <selection activeCell="I7" sqref="I7"/>
    </sheetView>
  </sheetViews>
  <sheetFormatPr baseColWidth="10" defaultRowHeight="16" x14ac:dyDescent="0.2"/>
  <cols>
    <col min="4" max="4" width="11.33203125" customWidth="1"/>
    <col min="5" max="5" width="24" customWidth="1"/>
    <col min="6" max="6" width="13" customWidth="1"/>
    <col min="7" max="7" width="21.33203125" customWidth="1"/>
  </cols>
  <sheetData>
    <row r="1" spans="1:13" x14ac:dyDescent="0.2">
      <c r="A1" s="58" t="s">
        <v>116</v>
      </c>
      <c r="B1" s="55" t="s">
        <v>126</v>
      </c>
      <c r="C1" s="55"/>
      <c r="D1" s="55"/>
      <c r="E1" s="55"/>
    </row>
    <row r="2" spans="1:13" x14ac:dyDescent="0.2">
      <c r="A2" s="58"/>
      <c r="B2" s="60"/>
      <c r="C2" s="60"/>
      <c r="D2" s="60"/>
      <c r="E2" s="60"/>
      <c r="I2" t="s">
        <v>126</v>
      </c>
      <c r="J2" s="16"/>
      <c r="M2" s="18"/>
    </row>
    <row r="3" spans="1:13" x14ac:dyDescent="0.2">
      <c r="A3" s="25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  <c r="I3" s="4"/>
      <c r="J3" s="4"/>
    </row>
    <row r="4" spans="1:13" x14ac:dyDescent="0.2">
      <c r="A4">
        <v>1</v>
      </c>
      <c r="I4" s="4"/>
      <c r="J4" s="4"/>
    </row>
    <row r="5" spans="1:13" x14ac:dyDescent="0.2">
      <c r="I5" s="4"/>
      <c r="J5" s="4"/>
    </row>
    <row r="6" spans="1:13" x14ac:dyDescent="0.2">
      <c r="I6" s="4"/>
      <c r="J6" s="4"/>
    </row>
    <row r="7" spans="1:13" x14ac:dyDescent="0.2">
      <c r="J7" s="16"/>
    </row>
  </sheetData>
  <mergeCells count="2">
    <mergeCell ref="A1:A2"/>
    <mergeCell ref="B1:E2"/>
  </mergeCells>
  <pageMargins left="0.7" right="0.7" top="0.75" bottom="0.75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9CEA0-1740-2C4A-9E4E-28E10F56E049}">
  <dimension ref="A1:M11"/>
  <sheetViews>
    <sheetView workbookViewId="0">
      <selection activeCell="E20" sqref="E20"/>
    </sheetView>
  </sheetViews>
  <sheetFormatPr baseColWidth="10" defaultRowHeight="16" x14ac:dyDescent="0.2"/>
  <cols>
    <col min="4" max="4" width="11.33203125" customWidth="1"/>
    <col min="5" max="5" width="24" customWidth="1"/>
    <col min="6" max="6" width="13" customWidth="1"/>
    <col min="7" max="7" width="21.33203125" customWidth="1"/>
    <col min="9" max="9" width="26.1640625" bestFit="1" customWidth="1"/>
    <col min="10" max="10" width="11.1640625" bestFit="1" customWidth="1"/>
    <col min="12" max="12" width="17.33203125" bestFit="1" customWidth="1"/>
  </cols>
  <sheetData>
    <row r="1" spans="1:13" x14ac:dyDescent="0.2">
      <c r="A1" s="58" t="s">
        <v>117</v>
      </c>
      <c r="B1" s="55" t="s">
        <v>127</v>
      </c>
      <c r="C1" s="55"/>
      <c r="D1" s="55"/>
      <c r="E1" s="55"/>
    </row>
    <row r="2" spans="1:13" x14ac:dyDescent="0.2">
      <c r="A2" s="58"/>
      <c r="B2" s="60"/>
      <c r="C2" s="60"/>
      <c r="D2" s="60"/>
      <c r="E2" s="60"/>
      <c r="I2" t="s">
        <v>127</v>
      </c>
    </row>
    <row r="3" spans="1:13" x14ac:dyDescent="0.2">
      <c r="A3" s="25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  <c r="I3" s="9" t="s">
        <v>39</v>
      </c>
      <c r="J3" s="16" cm="1">
        <f t="array" ref="J3">AVERAGE(IF(Table51[Cumplimiento de Meta %]&gt;=100%,1,0))</f>
        <v>0.75</v>
      </c>
      <c r="L3" t="s">
        <v>41</v>
      </c>
      <c r="M3" s="18">
        <f>(COUNT(Table51[[#All],[Semana]])*7)/30</f>
        <v>1.8666666666666667</v>
      </c>
    </row>
    <row r="4" spans="1:13" x14ac:dyDescent="0.2">
      <c r="A4" s="43">
        <v>1</v>
      </c>
      <c r="B4" s="20">
        <v>45684</v>
      </c>
      <c r="C4" s="4">
        <v>600</v>
      </c>
      <c r="D4" s="4">
        <v>600</v>
      </c>
      <c r="E4" s="21">
        <f>D4/C4</f>
        <v>1</v>
      </c>
      <c r="F4" s="22">
        <f>IF(SUM($C$4:C4)-SUM($D$4:D4)&gt;0, (SUM($C$4:C4)-SUM($D$4:D4))/SUM($C$4:C4), 0)</f>
        <v>0</v>
      </c>
      <c r="G4" s="42">
        <f>D4-C4</f>
        <v>0</v>
      </c>
      <c r="I4" s="4"/>
      <c r="J4" s="4"/>
    </row>
    <row r="5" spans="1:13" x14ac:dyDescent="0.2">
      <c r="A5" s="43">
        <v>2</v>
      </c>
      <c r="B5" s="20">
        <v>45691</v>
      </c>
      <c r="C5" s="4">
        <v>2100</v>
      </c>
      <c r="D5" s="4">
        <v>2100</v>
      </c>
      <c r="E5" s="21">
        <f t="shared" ref="E5:E6" si="0">D5/C5</f>
        <v>1</v>
      </c>
      <c r="F5" s="22">
        <f>IF(SUM($C$4:C5)-SUM($D$4:D5)&gt;0, (SUM($C$4:C5)-SUM($D$4:D5))/SUM($C$4:C5), 0)</f>
        <v>0</v>
      </c>
      <c r="G5" s="42">
        <f t="shared" ref="G5:G6" si="1">D5-C5</f>
        <v>0</v>
      </c>
      <c r="I5" s="4" t="s">
        <v>21</v>
      </c>
      <c r="J5" s="4">
        <f>SUM(Table51[[#All],[Meta]])</f>
        <v>34200</v>
      </c>
    </row>
    <row r="6" spans="1:13" x14ac:dyDescent="0.2">
      <c r="A6" s="43">
        <v>3</v>
      </c>
      <c r="B6" s="20">
        <v>45698</v>
      </c>
      <c r="C6" s="4">
        <v>3600</v>
      </c>
      <c r="D6" s="4">
        <v>3600</v>
      </c>
      <c r="E6" s="21">
        <f t="shared" si="0"/>
        <v>1</v>
      </c>
      <c r="F6" s="22">
        <f>IF(SUM($C$4:C6)-SUM($D$4:D6)&gt;0, (SUM($C$4:C6)-SUM($D$4:D6))/SUM($C$4:C6), 0)</f>
        <v>0</v>
      </c>
      <c r="G6" s="42">
        <f t="shared" si="1"/>
        <v>0</v>
      </c>
      <c r="I6" s="4" t="s">
        <v>22</v>
      </c>
      <c r="J6" s="4">
        <f>SUM(Table51[[#All],[Cobranza]])</f>
        <v>27300</v>
      </c>
    </row>
    <row r="7" spans="1:13" x14ac:dyDescent="0.2">
      <c r="A7" s="43">
        <v>4</v>
      </c>
      <c r="B7" s="20">
        <v>45705</v>
      </c>
      <c r="C7" s="4">
        <v>4500</v>
      </c>
      <c r="D7" s="4">
        <v>4800</v>
      </c>
      <c r="E7" s="21">
        <f>D7/C7</f>
        <v>1.0666666666666667</v>
      </c>
      <c r="F7" s="22">
        <f>IF(SUM($C$4:C7)-SUM($D$4:D7)&gt;0, (SUM($C$4:C7)-SUM($D$4:D7))/SUM($C$4:C7), 0)</f>
        <v>0</v>
      </c>
      <c r="G7" s="42">
        <f>D7-C7</f>
        <v>300</v>
      </c>
      <c r="I7" s="4" t="s">
        <v>23</v>
      </c>
      <c r="J7" s="4">
        <f>SUM(Table51[[#All],[Didiferencia Absoluta]])</f>
        <v>-6900</v>
      </c>
    </row>
    <row r="8" spans="1:13" x14ac:dyDescent="0.2">
      <c r="A8" s="43">
        <v>5</v>
      </c>
      <c r="B8" s="20">
        <v>45712</v>
      </c>
      <c r="C8" s="4">
        <v>5100</v>
      </c>
      <c r="D8" s="4">
        <v>4800</v>
      </c>
      <c r="E8" s="21">
        <f>D8/C8</f>
        <v>0.94117647058823528</v>
      </c>
      <c r="F8" s="22">
        <f>IF(SUM($C$4:C8)-SUM($D$4:D8)&gt;0, (SUM($C$4:C8)-SUM($D$4:D8))/SUM($C$4:C8), 0)</f>
        <v>0</v>
      </c>
      <c r="G8" s="42">
        <f>D8-C8</f>
        <v>-300</v>
      </c>
      <c r="I8" t="s">
        <v>24</v>
      </c>
      <c r="J8" s="16">
        <f>(J7/J5)*-1</f>
        <v>0.20175438596491227</v>
      </c>
    </row>
    <row r="9" spans="1:13" x14ac:dyDescent="0.2">
      <c r="A9" s="43">
        <v>6</v>
      </c>
      <c r="B9" s="20">
        <v>45719</v>
      </c>
      <c r="C9" s="4">
        <v>5400</v>
      </c>
      <c r="D9" s="4">
        <v>5400</v>
      </c>
      <c r="E9" s="21">
        <f>D9/C9</f>
        <v>1</v>
      </c>
      <c r="F9" s="22">
        <f>IF(SUM($C$4:C9)-SUM($D$4:D9)&gt;0, (SUM($C$4:C9)-SUM($D$4:D9))/SUM($C$4:C9), 0)</f>
        <v>0</v>
      </c>
      <c r="G9" s="42">
        <f>D9-C9</f>
        <v>0</v>
      </c>
    </row>
    <row r="10" spans="1:13" x14ac:dyDescent="0.2">
      <c r="A10" s="43">
        <v>7</v>
      </c>
      <c r="B10" s="20">
        <v>45726</v>
      </c>
      <c r="C10" s="4">
        <v>6000</v>
      </c>
      <c r="D10" s="4">
        <v>6000</v>
      </c>
      <c r="E10" s="21">
        <f>D10/C10</f>
        <v>1</v>
      </c>
      <c r="F10" s="22">
        <f>IF(SUM($C$4:C10)-SUM($D$4:D10)&gt;0, (SUM($C$4:C10)-SUM($D$4:D10))/SUM($C$4:C10), 0)</f>
        <v>0</v>
      </c>
      <c r="G10" s="42">
        <f>D10-C10</f>
        <v>0</v>
      </c>
    </row>
    <row r="11" spans="1:13" x14ac:dyDescent="0.2">
      <c r="A11" s="43">
        <v>8</v>
      </c>
      <c r="B11" s="20">
        <v>45733</v>
      </c>
      <c r="C11" s="4">
        <v>6900</v>
      </c>
      <c r="D11" s="4"/>
      <c r="E11" s="64">
        <f>D11/C11</f>
        <v>0</v>
      </c>
      <c r="F11" s="22">
        <f>IF(SUM($C$4:C11)-SUM($D$4:D11)&gt;0, (SUM($C$4:C11)-SUM($D$4:D11))/SUM($C$4:C11), 0)</f>
        <v>0.20175438596491227</v>
      </c>
      <c r="G11" s="69">
        <f>D11-C11</f>
        <v>-6900</v>
      </c>
    </row>
  </sheetData>
  <mergeCells count="2">
    <mergeCell ref="A1:A2"/>
    <mergeCell ref="B1:E2"/>
  </mergeCells>
  <pageMargins left="0.7" right="0.7" top="0.75" bottom="0.75" header="0.3" footer="0.3"/>
  <drawing r:id="rId1"/>
  <tableParts count="1">
    <tablePart r:id="rId2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07D48-970B-0746-9FB6-0B5F14E20F3F}">
  <dimension ref="A1:M9"/>
  <sheetViews>
    <sheetView topLeftCell="A4" workbookViewId="0">
      <selection activeCell="F16" sqref="F16"/>
    </sheetView>
  </sheetViews>
  <sheetFormatPr baseColWidth="10" defaultRowHeight="16" x14ac:dyDescent="0.2"/>
  <cols>
    <col min="4" max="4" width="11.33203125" customWidth="1"/>
    <col min="5" max="5" width="24" customWidth="1"/>
    <col min="6" max="6" width="13" customWidth="1"/>
    <col min="7" max="7" width="21.33203125" customWidth="1"/>
    <col min="9" max="9" width="26.1640625" bestFit="1" customWidth="1"/>
    <col min="10" max="10" width="11.5" bestFit="1" customWidth="1"/>
    <col min="12" max="12" width="17.33203125" bestFit="1" customWidth="1"/>
  </cols>
  <sheetData>
    <row r="1" spans="1:13" x14ac:dyDescent="0.2">
      <c r="A1" s="58" t="s">
        <v>118</v>
      </c>
      <c r="B1" s="55" t="s">
        <v>159</v>
      </c>
      <c r="C1" s="55"/>
      <c r="D1" s="55"/>
      <c r="E1" s="55"/>
    </row>
    <row r="2" spans="1:13" x14ac:dyDescent="0.2">
      <c r="A2" s="58"/>
      <c r="B2" s="60"/>
      <c r="C2" s="60"/>
      <c r="D2" s="60"/>
      <c r="E2" s="60"/>
      <c r="I2" t="s">
        <v>159</v>
      </c>
    </row>
    <row r="3" spans="1:13" x14ac:dyDescent="0.2">
      <c r="A3" s="25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  <c r="I3" s="9" t="s">
        <v>39</v>
      </c>
      <c r="J3" s="16" cm="1">
        <f t="array" ref="J3">AVERAGE(IF(Table52[Cumplimiento de Meta %]&gt;=100%,1,0))</f>
        <v>0.83333333333333337</v>
      </c>
      <c r="L3" t="s">
        <v>41</v>
      </c>
      <c r="M3" s="18">
        <f>(COUNT(Table52[[#All],[Semana]])*7)/30</f>
        <v>1.4</v>
      </c>
    </row>
    <row r="4" spans="1:13" x14ac:dyDescent="0.2">
      <c r="A4">
        <v>1</v>
      </c>
      <c r="B4" s="20">
        <v>45698</v>
      </c>
      <c r="C4" s="4">
        <v>600</v>
      </c>
      <c r="D4" s="4">
        <v>600</v>
      </c>
      <c r="E4" s="21">
        <f>D4/C4</f>
        <v>1</v>
      </c>
      <c r="F4" s="22">
        <f>IF(SUM($C$4:C4)-SUM($D$4:D4)&gt;0, (SUM($C$4:C4)-SUM($D$4:D4))/SUM($C$4:C4), 0)</f>
        <v>0</v>
      </c>
      <c r="G4" s="42">
        <f>D4-C4</f>
        <v>0</v>
      </c>
      <c r="I4" s="4"/>
      <c r="J4" s="4"/>
    </row>
    <row r="5" spans="1:13" x14ac:dyDescent="0.2">
      <c r="A5">
        <v>2</v>
      </c>
      <c r="B5" s="20">
        <v>45705</v>
      </c>
      <c r="C5" s="4">
        <v>2100</v>
      </c>
      <c r="D5" s="4">
        <v>2100</v>
      </c>
      <c r="E5" s="21">
        <f>D5/C5</f>
        <v>1</v>
      </c>
      <c r="F5" s="22">
        <f>IF(SUM($C$4:C5)-SUM($D$4:D5)&gt;0, (SUM($C$4:C5)-SUM($D$4:D5))/SUM($C$4:C5), 0)</f>
        <v>0</v>
      </c>
      <c r="G5" s="42">
        <f>D5-C5</f>
        <v>0</v>
      </c>
      <c r="I5" s="4" t="s">
        <v>21</v>
      </c>
      <c r="J5" s="4">
        <f>SUM(Table52[[#All],[Meta]])</f>
        <v>18900</v>
      </c>
    </row>
    <row r="6" spans="1:13" x14ac:dyDescent="0.2">
      <c r="A6">
        <v>3</v>
      </c>
      <c r="B6" s="20">
        <v>45712</v>
      </c>
      <c r="C6" s="4">
        <v>3000</v>
      </c>
      <c r="D6" s="4">
        <v>3000</v>
      </c>
      <c r="E6" s="21">
        <f>D6/C6</f>
        <v>1</v>
      </c>
      <c r="F6" s="22">
        <f>IF(SUM($C$4:C6)-SUM($D$4:D6)&gt;0, (SUM($C$4:C6)-SUM($D$4:D6))/SUM($C$4:C6), 0)</f>
        <v>0</v>
      </c>
      <c r="G6" s="42">
        <f>D6-C6</f>
        <v>0</v>
      </c>
      <c r="I6" s="4" t="s">
        <v>22</v>
      </c>
      <c r="J6" s="4">
        <f>SUM(Table52[[#All],[Cobranza]])</f>
        <v>13800</v>
      </c>
    </row>
    <row r="7" spans="1:13" x14ac:dyDescent="0.2">
      <c r="A7">
        <v>4</v>
      </c>
      <c r="B7" s="20">
        <v>45719</v>
      </c>
      <c r="C7" s="4">
        <v>3600</v>
      </c>
      <c r="D7" s="4">
        <v>3600</v>
      </c>
      <c r="E7" s="21">
        <f>D7/C7</f>
        <v>1</v>
      </c>
      <c r="F7" s="22">
        <f>IF(SUM($C$4:C7)-SUM($D$4:D7)&gt;0, (SUM($C$4:C7)-SUM($D$4:D7))/SUM($C$4:C7), 0)</f>
        <v>0</v>
      </c>
      <c r="G7" s="42">
        <f>D7-C7</f>
        <v>0</v>
      </c>
      <c r="I7" s="4" t="s">
        <v>23</v>
      </c>
      <c r="J7" s="4">
        <f>SUM(Table52[[#All],[Didiferencia Absoluta]])</f>
        <v>-5100</v>
      </c>
    </row>
    <row r="8" spans="1:13" x14ac:dyDescent="0.2">
      <c r="A8">
        <v>5</v>
      </c>
      <c r="B8" s="20">
        <v>45726</v>
      </c>
      <c r="C8" s="4">
        <v>4500</v>
      </c>
      <c r="D8" s="4">
        <v>4500</v>
      </c>
      <c r="E8" s="21">
        <f>D8/C8</f>
        <v>1</v>
      </c>
      <c r="F8" s="22">
        <f>IF(SUM($C$4:C8)-SUM($D$4:D8)&gt;0, (SUM($C$4:C8)-SUM($D$4:D8))/SUM($C$4:C8), 0)</f>
        <v>0</v>
      </c>
      <c r="G8" s="42">
        <f>D8-C8</f>
        <v>0</v>
      </c>
      <c r="I8" t="s">
        <v>24</v>
      </c>
      <c r="J8" s="16">
        <f>(J7/J5)*-1</f>
        <v>0.26984126984126983</v>
      </c>
    </row>
    <row r="9" spans="1:13" x14ac:dyDescent="0.2">
      <c r="A9">
        <v>6</v>
      </c>
      <c r="B9" s="20">
        <v>45733</v>
      </c>
      <c r="C9" s="4">
        <v>5100</v>
      </c>
      <c r="D9" s="4"/>
      <c r="E9" s="64">
        <f>D9/C9</f>
        <v>0</v>
      </c>
      <c r="F9" s="22">
        <f>IF(SUM($C$4:C9)-SUM($D$4:D9)&gt;0, (SUM($C$4:C9)-SUM($D$4:D9))/SUM($C$4:C9), 0)</f>
        <v>0.26984126984126983</v>
      </c>
      <c r="G9" s="69">
        <f>D9-C9</f>
        <v>-5100</v>
      </c>
    </row>
  </sheetData>
  <mergeCells count="2">
    <mergeCell ref="A1:A2"/>
    <mergeCell ref="B1:E2"/>
  </mergeCells>
  <pageMargins left="0.7" right="0.7" top="0.75" bottom="0.75" header="0.3" footer="0.3"/>
  <drawing r:id="rId1"/>
  <tableParts count="1">
    <tablePart r:id="rId2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F02A6-67DF-7C41-A602-7D02BC4920DF}">
  <dimension ref="A1:M10"/>
  <sheetViews>
    <sheetView workbookViewId="0">
      <selection activeCell="E19" sqref="E19"/>
    </sheetView>
  </sheetViews>
  <sheetFormatPr baseColWidth="10" defaultRowHeight="16" x14ac:dyDescent="0.2"/>
  <cols>
    <col min="4" max="4" width="11.33203125" customWidth="1"/>
    <col min="5" max="5" width="24" customWidth="1"/>
    <col min="6" max="6" width="13" customWidth="1"/>
    <col min="7" max="7" width="21.33203125" customWidth="1"/>
    <col min="9" max="9" width="26.1640625" bestFit="1" customWidth="1"/>
    <col min="10" max="10" width="11.1640625" bestFit="1" customWidth="1"/>
    <col min="12" max="12" width="17.33203125" bestFit="1" customWidth="1"/>
  </cols>
  <sheetData>
    <row r="1" spans="1:13" x14ac:dyDescent="0.2">
      <c r="A1" s="58" t="s">
        <v>119</v>
      </c>
      <c r="B1" s="55" t="s">
        <v>128</v>
      </c>
      <c r="C1" s="55"/>
      <c r="D1" s="55"/>
      <c r="E1" s="55"/>
    </row>
    <row r="2" spans="1:13" x14ac:dyDescent="0.2">
      <c r="A2" s="58"/>
      <c r="B2" s="60"/>
      <c r="C2" s="60"/>
      <c r="D2" s="60"/>
      <c r="E2" s="60"/>
      <c r="I2" t="s">
        <v>128</v>
      </c>
    </row>
    <row r="3" spans="1:13" x14ac:dyDescent="0.2">
      <c r="A3" s="25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  <c r="I3" s="9" t="s">
        <v>39</v>
      </c>
      <c r="J3" s="16" cm="1">
        <f t="array" ref="J3">AVERAGE(IF(Table53[Cumplimiento de Meta %]&gt;=100%,1,0))</f>
        <v>0.5714285714285714</v>
      </c>
      <c r="L3" t="s">
        <v>41</v>
      </c>
      <c r="M3" s="18">
        <f>(COUNT(Table53[[#All],[Semana]])*7)/30</f>
        <v>1.6333333333333333</v>
      </c>
    </row>
    <row r="4" spans="1:13" x14ac:dyDescent="0.2">
      <c r="A4">
        <v>1</v>
      </c>
      <c r="B4" s="20">
        <v>45691</v>
      </c>
      <c r="C4" s="4">
        <v>300</v>
      </c>
      <c r="D4" s="4">
        <v>300</v>
      </c>
      <c r="E4" s="21">
        <f t="shared" ref="E4:E9" si="0">D4/C4</f>
        <v>1</v>
      </c>
      <c r="F4" s="22">
        <f>IF(SUM($C$4:C4)-SUM($D$4:D4)&gt;0, (SUM($C$4:C4)-SUM($D$4:D4))/SUM($C$4:C4), 0)</f>
        <v>0</v>
      </c>
      <c r="G4" s="42">
        <f t="shared" ref="G4:G9" si="1">D4-C4</f>
        <v>0</v>
      </c>
      <c r="I4" s="4"/>
      <c r="J4" s="4"/>
    </row>
    <row r="5" spans="1:13" x14ac:dyDescent="0.2">
      <c r="A5">
        <v>2</v>
      </c>
      <c r="B5" s="20">
        <v>45698</v>
      </c>
      <c r="C5" s="4">
        <v>1200</v>
      </c>
      <c r="D5" s="4">
        <v>1200</v>
      </c>
      <c r="E5" s="21">
        <f t="shared" si="0"/>
        <v>1</v>
      </c>
      <c r="F5" s="22">
        <f>IF(SUM($C$4:C5)-SUM($D$4:D5)&gt;0, (SUM($C$4:C5)-SUM($D$4:D5))/SUM($C$4:C5), 0)</f>
        <v>0</v>
      </c>
      <c r="G5" s="42">
        <f t="shared" si="1"/>
        <v>0</v>
      </c>
      <c r="I5" s="4" t="s">
        <v>21</v>
      </c>
      <c r="J5" s="4">
        <f>SUM(Table53[[#All],[Meta]])</f>
        <v>20400</v>
      </c>
    </row>
    <row r="6" spans="1:13" x14ac:dyDescent="0.2">
      <c r="A6">
        <v>3</v>
      </c>
      <c r="B6" s="20">
        <v>45705</v>
      </c>
      <c r="C6" s="4">
        <v>2100</v>
      </c>
      <c r="D6" s="4">
        <v>2400</v>
      </c>
      <c r="E6" s="21">
        <f t="shared" si="0"/>
        <v>1.1428571428571428</v>
      </c>
      <c r="F6" s="22">
        <f>IF(SUM($C$4:C6)-SUM($D$4:D6)&gt;0, (SUM($C$4:C6)-SUM($D$4:D6))/SUM($C$4:C6), 0)</f>
        <v>0</v>
      </c>
      <c r="G6" s="42">
        <f t="shared" si="1"/>
        <v>300</v>
      </c>
      <c r="I6" s="4" t="s">
        <v>22</v>
      </c>
      <c r="J6" s="4">
        <f>SUM(Table53[[#All],[Cobranza]])</f>
        <v>14400</v>
      </c>
    </row>
    <row r="7" spans="1:13" x14ac:dyDescent="0.2">
      <c r="A7">
        <v>4</v>
      </c>
      <c r="B7" s="20">
        <v>45712</v>
      </c>
      <c r="C7" s="4">
        <v>3000</v>
      </c>
      <c r="D7" s="4">
        <v>2700</v>
      </c>
      <c r="E7" s="21">
        <f t="shared" si="0"/>
        <v>0.9</v>
      </c>
      <c r="F7" s="22">
        <f>IF(SUM($C$4:C7)-SUM($D$4:D7)&gt;0, (SUM($C$4:C7)-SUM($D$4:D7))/SUM($C$4:C7), 0)</f>
        <v>0</v>
      </c>
      <c r="G7" s="42">
        <f t="shared" si="1"/>
        <v>-300</v>
      </c>
      <c r="I7" s="4" t="s">
        <v>23</v>
      </c>
      <c r="J7" s="4">
        <f>SUM(Table53[[#All],[Didiferencia Absoluta]])</f>
        <v>-6000</v>
      </c>
    </row>
    <row r="8" spans="1:13" x14ac:dyDescent="0.2">
      <c r="A8">
        <v>5</v>
      </c>
      <c r="B8" s="20">
        <v>45719</v>
      </c>
      <c r="C8" s="4">
        <v>3300</v>
      </c>
      <c r="D8" s="4">
        <v>3600</v>
      </c>
      <c r="E8" s="21">
        <f t="shared" si="0"/>
        <v>1.0909090909090908</v>
      </c>
      <c r="F8" s="22">
        <f>IF(SUM($C$4:C8)-SUM($D$4:D8)&gt;0, (SUM($C$4:C8)-SUM($D$4:D8))/SUM($C$4:C8), 0)</f>
        <v>0</v>
      </c>
      <c r="G8" s="42">
        <f t="shared" si="1"/>
        <v>300</v>
      </c>
      <c r="I8" t="s">
        <v>24</v>
      </c>
      <c r="J8" s="16">
        <f>(J7/J5)*-1</f>
        <v>0.29411764705882354</v>
      </c>
    </row>
    <row r="9" spans="1:13" x14ac:dyDescent="0.2">
      <c r="A9">
        <v>6</v>
      </c>
      <c r="B9" s="20">
        <v>45726</v>
      </c>
      <c r="C9" s="4">
        <v>4500</v>
      </c>
      <c r="D9" s="4">
        <v>4200</v>
      </c>
      <c r="E9" s="21">
        <f t="shared" si="0"/>
        <v>0.93333333333333335</v>
      </c>
      <c r="F9" s="22">
        <f>IF(SUM($C$4:C9)-SUM($D$4:D9)&gt;0, (SUM($C$4:C9)-SUM($D$4:D9))/SUM($C$4:C9), 0)</f>
        <v>0</v>
      </c>
      <c r="G9" s="42">
        <f t="shared" si="1"/>
        <v>-300</v>
      </c>
    </row>
    <row r="10" spans="1:13" x14ac:dyDescent="0.2">
      <c r="A10">
        <v>7</v>
      </c>
      <c r="B10" s="20">
        <v>45733</v>
      </c>
      <c r="C10" s="4">
        <v>6000</v>
      </c>
      <c r="D10" s="4"/>
      <c r="E10" s="64">
        <f>D10/C10</f>
        <v>0</v>
      </c>
      <c r="F10" s="22">
        <f>IF(SUM($C$4:C10)-SUM($D$4:D10)&gt;0, (SUM($C$4:C10)-SUM($D$4:D10))/SUM($C$4:C10), 0)</f>
        <v>0.29411764705882354</v>
      </c>
      <c r="G10" s="69">
        <f>D10-C10</f>
        <v>-6000</v>
      </c>
    </row>
  </sheetData>
  <mergeCells count="2">
    <mergeCell ref="A1:A2"/>
    <mergeCell ref="B1:E2"/>
  </mergeCells>
  <pageMargins left="0.7" right="0.7" top="0.75" bottom="0.75" header="0.3" footer="0.3"/>
  <drawing r:id="rId1"/>
  <tableParts count="1">
    <tablePart r:id="rId2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0210E-7035-5E43-BB6F-94AEC58FEB45}">
  <dimension ref="A1:M10"/>
  <sheetViews>
    <sheetView workbookViewId="0">
      <selection activeCell="F14" sqref="F14"/>
    </sheetView>
  </sheetViews>
  <sheetFormatPr baseColWidth="10" defaultRowHeight="16" x14ac:dyDescent="0.2"/>
  <cols>
    <col min="4" max="4" width="11.33203125" customWidth="1"/>
    <col min="5" max="5" width="24" customWidth="1"/>
    <col min="6" max="6" width="13" customWidth="1"/>
    <col min="7" max="7" width="21.33203125" customWidth="1"/>
    <col min="9" max="9" width="28.1640625" bestFit="1" customWidth="1"/>
    <col min="10" max="10" width="11.5" bestFit="1" customWidth="1"/>
    <col min="12" max="12" width="17.33203125" bestFit="1" customWidth="1"/>
  </cols>
  <sheetData>
    <row r="1" spans="1:13" x14ac:dyDescent="0.2">
      <c r="A1" s="58" t="s">
        <v>120</v>
      </c>
      <c r="B1" s="55" t="s">
        <v>129</v>
      </c>
      <c r="C1" s="55"/>
      <c r="D1" s="55"/>
      <c r="E1" s="55"/>
    </row>
    <row r="2" spans="1:13" x14ac:dyDescent="0.2">
      <c r="A2" s="58"/>
      <c r="B2" s="60"/>
      <c r="C2" s="60"/>
      <c r="D2" s="60"/>
      <c r="E2" s="60"/>
      <c r="I2" t="s">
        <v>129</v>
      </c>
    </row>
    <row r="3" spans="1:13" x14ac:dyDescent="0.2">
      <c r="A3" s="25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  <c r="I3" s="9" t="s">
        <v>39</v>
      </c>
      <c r="J3" s="16" cm="1">
        <f t="array" ref="J3">AVERAGE(IF(Table54[Cumplimiento de Meta %]&gt;=100%,1,0))</f>
        <v>0.5714285714285714</v>
      </c>
      <c r="L3" t="s">
        <v>41</v>
      </c>
      <c r="M3" s="18">
        <f>(COUNT(Table54[[#All],[Semana]])*7)/30</f>
        <v>1.6333333333333333</v>
      </c>
    </row>
    <row r="4" spans="1:13" x14ac:dyDescent="0.2">
      <c r="A4" s="43">
        <v>1</v>
      </c>
      <c r="B4" s="20">
        <v>45691</v>
      </c>
      <c r="C4" s="4">
        <v>300</v>
      </c>
      <c r="D4" s="4">
        <v>600</v>
      </c>
      <c r="E4" s="21">
        <f t="shared" ref="E4:E9" si="0">D4/C4</f>
        <v>2</v>
      </c>
      <c r="F4" s="22">
        <f>IF(SUM($C$4:C4)-SUM($D$4:D4)&gt;0, (SUM($C$4:C4)-SUM($D$4:D4))/SUM($C$4:C4), 0)</f>
        <v>0</v>
      </c>
      <c r="G4" s="42">
        <f t="shared" ref="G4:G9" si="1">D4-C4</f>
        <v>300</v>
      </c>
      <c r="I4" s="4"/>
      <c r="J4" s="4"/>
    </row>
    <row r="5" spans="1:13" x14ac:dyDescent="0.2">
      <c r="A5" s="43">
        <v>2</v>
      </c>
      <c r="B5" s="20">
        <v>45698</v>
      </c>
      <c r="C5" s="4">
        <v>600</v>
      </c>
      <c r="D5" s="4">
        <v>300</v>
      </c>
      <c r="E5" s="21">
        <f t="shared" si="0"/>
        <v>0.5</v>
      </c>
      <c r="F5" s="22">
        <f>IF(SUM($C$4:C5)-SUM($D$4:D5)&gt;0, (SUM($C$4:C5)-SUM($D$4:D5))/SUM($C$4:C5), 0)</f>
        <v>0</v>
      </c>
      <c r="G5" s="42">
        <f t="shared" si="1"/>
        <v>-300</v>
      </c>
      <c r="I5" s="4" t="s">
        <v>21</v>
      </c>
      <c r="J5" s="4">
        <f>SUM(Table54[[#All],[Meta]])</f>
        <v>10800</v>
      </c>
    </row>
    <row r="6" spans="1:13" x14ac:dyDescent="0.2">
      <c r="A6" s="43">
        <v>3</v>
      </c>
      <c r="B6" s="20">
        <v>45705</v>
      </c>
      <c r="C6" s="4">
        <v>1500</v>
      </c>
      <c r="D6" s="4">
        <v>1500</v>
      </c>
      <c r="E6" s="21">
        <f t="shared" si="0"/>
        <v>1</v>
      </c>
      <c r="F6" s="22">
        <f>IF(SUM($C$4:C6)-SUM($D$4:D6)&gt;0, (SUM($C$4:C6)-SUM($D$4:D6))/SUM($C$4:C6), 0)</f>
        <v>0</v>
      </c>
      <c r="G6" s="42">
        <f t="shared" si="1"/>
        <v>0</v>
      </c>
      <c r="I6" s="4" t="s">
        <v>22</v>
      </c>
      <c r="J6" s="4">
        <f>SUM(Table54[[#All],[Cobranza]])</f>
        <v>8400</v>
      </c>
    </row>
    <row r="7" spans="1:13" x14ac:dyDescent="0.2">
      <c r="A7" s="43">
        <v>4</v>
      </c>
      <c r="B7" s="20">
        <v>45712</v>
      </c>
      <c r="C7" s="4">
        <v>2100</v>
      </c>
      <c r="D7" s="4">
        <v>2100</v>
      </c>
      <c r="E7" s="21">
        <f t="shared" si="0"/>
        <v>1</v>
      </c>
      <c r="F7" s="22">
        <f>IF(SUM($C$4:C7)-SUM($D$4:D7)&gt;0, (SUM($C$4:C7)-SUM($D$4:D7))/SUM($C$4:C7), 0)</f>
        <v>0</v>
      </c>
      <c r="G7" s="42">
        <f t="shared" si="1"/>
        <v>0</v>
      </c>
      <c r="I7" s="4" t="s">
        <v>23</v>
      </c>
      <c r="J7" s="4">
        <f>SUM(Table54[[#All],[Didiferencia Absoluta]])</f>
        <v>-2400</v>
      </c>
    </row>
    <row r="8" spans="1:13" x14ac:dyDescent="0.2">
      <c r="A8" s="43">
        <v>5</v>
      </c>
      <c r="B8" s="20">
        <v>45719</v>
      </c>
      <c r="C8" s="4">
        <v>2100</v>
      </c>
      <c r="D8" s="4">
        <v>2100</v>
      </c>
      <c r="E8" s="21">
        <f t="shared" si="0"/>
        <v>1</v>
      </c>
      <c r="F8" s="22">
        <f>IF(SUM($C$4:C8)-SUM($D$4:D8)&gt;0, (SUM($C$4:C8)-SUM($D$4:D8))/SUM($C$4:C8), 0)</f>
        <v>0</v>
      </c>
      <c r="G8" s="42">
        <f t="shared" si="1"/>
        <v>0</v>
      </c>
      <c r="I8" t="s">
        <v>24</v>
      </c>
      <c r="J8" s="16">
        <f>(J7/J5)*-1</f>
        <v>0.22222222222222221</v>
      </c>
    </row>
    <row r="9" spans="1:13" x14ac:dyDescent="0.2">
      <c r="A9" s="43">
        <v>6</v>
      </c>
      <c r="B9" s="20">
        <v>45726</v>
      </c>
      <c r="C9" s="4">
        <v>2100</v>
      </c>
      <c r="D9" s="4">
        <v>1800</v>
      </c>
      <c r="E9" s="21">
        <f t="shared" si="0"/>
        <v>0.8571428571428571</v>
      </c>
      <c r="F9" s="22">
        <f>IF(SUM($C$4:C9)-SUM($D$4:D9)&gt;0, (SUM($C$4:C9)-SUM($D$4:D9))/SUM($C$4:C9), 0)</f>
        <v>3.4482758620689655E-2</v>
      </c>
      <c r="G9" s="42">
        <f t="shared" si="1"/>
        <v>-300</v>
      </c>
    </row>
    <row r="10" spans="1:13" x14ac:dyDescent="0.2">
      <c r="A10" s="43">
        <v>7</v>
      </c>
      <c r="B10" s="20">
        <v>45733</v>
      </c>
      <c r="C10" s="4">
        <v>2100</v>
      </c>
      <c r="D10" s="4"/>
      <c r="E10" s="64">
        <f>D10/C10</f>
        <v>0</v>
      </c>
      <c r="F10" s="22">
        <f>IF(SUM($C$4:C10)-SUM($D$4:D10)&gt;0, (SUM($C$4:C10)-SUM($D$4:D10))/SUM($C$4:C10), 0)</f>
        <v>0.22222222222222221</v>
      </c>
      <c r="G10" s="69">
        <f>D10-C10</f>
        <v>-2100</v>
      </c>
    </row>
  </sheetData>
  <mergeCells count="2">
    <mergeCell ref="A1:A2"/>
    <mergeCell ref="B1:E2"/>
  </mergeCells>
  <pageMargins left="0.7" right="0.7" top="0.75" bottom="0.75" header="0.3" footer="0.3"/>
  <drawing r:id="rId1"/>
  <tableParts count="1">
    <tablePart r:id="rId2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34DF9-3381-FB43-89D2-A621E45BC361}">
  <dimension ref="A1:M10"/>
  <sheetViews>
    <sheetView workbookViewId="0">
      <selection activeCell="E18" sqref="E18"/>
    </sheetView>
  </sheetViews>
  <sheetFormatPr baseColWidth="10" defaultRowHeight="16" x14ac:dyDescent="0.2"/>
  <cols>
    <col min="4" max="4" width="11.33203125" customWidth="1"/>
    <col min="5" max="5" width="24" customWidth="1"/>
    <col min="6" max="6" width="13" customWidth="1"/>
    <col min="7" max="7" width="21.33203125" customWidth="1"/>
    <col min="9" max="9" width="28.33203125" bestFit="1" customWidth="1"/>
    <col min="10" max="10" width="11.1640625" bestFit="1" customWidth="1"/>
    <col min="12" max="12" width="17.33203125" bestFit="1" customWidth="1"/>
  </cols>
  <sheetData>
    <row r="1" spans="1:13" x14ac:dyDescent="0.2">
      <c r="A1" s="58" t="s">
        <v>121</v>
      </c>
      <c r="B1" s="55" t="s">
        <v>130</v>
      </c>
      <c r="C1" s="55"/>
      <c r="D1" s="55"/>
      <c r="E1" s="55"/>
    </row>
    <row r="2" spans="1:13" x14ac:dyDescent="0.2">
      <c r="A2" s="58"/>
      <c r="B2" s="60"/>
      <c r="C2" s="60"/>
      <c r="D2" s="60"/>
      <c r="E2" s="60"/>
      <c r="I2" t="s">
        <v>130</v>
      </c>
    </row>
    <row r="3" spans="1:13" x14ac:dyDescent="0.2">
      <c r="A3" s="25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  <c r="I3" s="9" t="s">
        <v>39</v>
      </c>
      <c r="J3" s="16" cm="1">
        <f t="array" ref="J3">AVERAGE(IF(Table55[Cumplimiento de Meta %]&gt;=100%,1,0))</f>
        <v>0.8571428571428571</v>
      </c>
      <c r="L3" t="s">
        <v>41</v>
      </c>
      <c r="M3" s="18">
        <f>(COUNT(Table55[[#All],[Semana]])*7)/30</f>
        <v>1.6333333333333333</v>
      </c>
    </row>
    <row r="4" spans="1:13" x14ac:dyDescent="0.2">
      <c r="A4" s="43">
        <v>1</v>
      </c>
      <c r="B4" s="20">
        <v>45691</v>
      </c>
      <c r="C4" s="4">
        <v>900</v>
      </c>
      <c r="D4" s="4">
        <v>900</v>
      </c>
      <c r="E4" s="21">
        <f t="shared" ref="E4:E9" si="0">D4/C4</f>
        <v>1</v>
      </c>
      <c r="F4" s="22">
        <f>IF(SUM($C$4:C4)-SUM($D$4:D4)&gt;0, (SUM($C$4:C4)-SUM($D$4:D4))/SUM($C$4:C4), 0)</f>
        <v>0</v>
      </c>
      <c r="G4" s="42">
        <f t="shared" ref="G4:G9" si="1">D4-C4</f>
        <v>0</v>
      </c>
      <c r="I4" s="4"/>
      <c r="J4" s="4"/>
    </row>
    <row r="5" spans="1:13" x14ac:dyDescent="0.2">
      <c r="A5" s="43">
        <v>2</v>
      </c>
      <c r="B5" s="20">
        <v>45698</v>
      </c>
      <c r="C5" s="4">
        <v>2100</v>
      </c>
      <c r="D5" s="4">
        <v>2100</v>
      </c>
      <c r="E5" s="21">
        <f t="shared" si="0"/>
        <v>1</v>
      </c>
      <c r="F5" s="22">
        <f>IF(SUM($C$4:C5)-SUM($D$4:D5)&gt;0, (SUM($C$4:C5)-SUM($D$4:D5))/SUM($C$4:C5), 0)</f>
        <v>0</v>
      </c>
      <c r="G5" s="42">
        <f t="shared" si="1"/>
        <v>0</v>
      </c>
      <c r="I5" s="4" t="s">
        <v>21</v>
      </c>
      <c r="J5" s="4">
        <f>SUM(Table55[[#All],[Meta]])</f>
        <v>24300</v>
      </c>
    </row>
    <row r="6" spans="1:13" x14ac:dyDescent="0.2">
      <c r="A6" s="43">
        <v>3</v>
      </c>
      <c r="B6" s="20">
        <v>45705</v>
      </c>
      <c r="C6" s="4">
        <v>3000</v>
      </c>
      <c r="D6" s="4">
        <v>3000</v>
      </c>
      <c r="E6" s="21">
        <f t="shared" si="0"/>
        <v>1</v>
      </c>
      <c r="F6" s="22">
        <f>IF(SUM($C$4:C6)-SUM($D$4:D6)&gt;0, (SUM($C$4:C6)-SUM($D$4:D6))/SUM($C$4:C6), 0)</f>
        <v>0</v>
      </c>
      <c r="G6" s="42">
        <f t="shared" si="1"/>
        <v>0</v>
      </c>
      <c r="I6" s="4" t="s">
        <v>22</v>
      </c>
      <c r="J6" s="4">
        <f>SUM(Table55[[#All],[Cobranza]])</f>
        <v>19200</v>
      </c>
    </row>
    <row r="7" spans="1:13" x14ac:dyDescent="0.2">
      <c r="A7" s="43">
        <v>4</v>
      </c>
      <c r="B7" s="20">
        <v>45712</v>
      </c>
      <c r="C7" s="4">
        <v>4200</v>
      </c>
      <c r="D7" s="4">
        <v>4200</v>
      </c>
      <c r="E7" s="21">
        <f t="shared" si="0"/>
        <v>1</v>
      </c>
      <c r="F7" s="22">
        <f>IF(SUM($C$4:C7)-SUM($D$4:D7)&gt;0, (SUM($C$4:C7)-SUM($D$4:D7))/SUM($C$4:C7), 0)</f>
        <v>0</v>
      </c>
      <c r="G7" s="42">
        <f t="shared" si="1"/>
        <v>0</v>
      </c>
      <c r="I7" s="4" t="s">
        <v>23</v>
      </c>
      <c r="J7" s="4">
        <f>SUM(Table55[[#All],[Didiferencia Absoluta]])</f>
        <v>-5100</v>
      </c>
    </row>
    <row r="8" spans="1:13" x14ac:dyDescent="0.2">
      <c r="A8" s="43">
        <v>5</v>
      </c>
      <c r="B8" s="20">
        <v>45719</v>
      </c>
      <c r="C8" s="4">
        <v>4500</v>
      </c>
      <c r="D8" s="4">
        <v>4500</v>
      </c>
      <c r="E8" s="21">
        <f t="shared" si="0"/>
        <v>1</v>
      </c>
      <c r="F8" s="22">
        <f>IF(SUM($C$4:C8)-SUM($D$4:D8)&gt;0, (SUM($C$4:C8)-SUM($D$4:D8))/SUM($C$4:C8), 0)</f>
        <v>0</v>
      </c>
      <c r="G8" s="42">
        <f t="shared" si="1"/>
        <v>0</v>
      </c>
      <c r="I8" t="s">
        <v>24</v>
      </c>
      <c r="J8" s="16">
        <f>(J7/J5)*-1</f>
        <v>0.20987654320987653</v>
      </c>
    </row>
    <row r="9" spans="1:13" x14ac:dyDescent="0.2">
      <c r="A9" s="43">
        <v>6</v>
      </c>
      <c r="B9" s="20">
        <v>45726</v>
      </c>
      <c r="C9" s="4">
        <v>4500</v>
      </c>
      <c r="D9" s="4">
        <v>4500</v>
      </c>
      <c r="E9" s="21">
        <f t="shared" si="0"/>
        <v>1</v>
      </c>
      <c r="F9" s="22">
        <f>IF(SUM($C$4:C9)-SUM($D$4:D9)&gt;0, (SUM($C$4:C9)-SUM($D$4:D9))/SUM($C$4:C9), 0)</f>
        <v>0</v>
      </c>
      <c r="G9" s="42">
        <f t="shared" si="1"/>
        <v>0</v>
      </c>
    </row>
    <row r="10" spans="1:13" x14ac:dyDescent="0.2">
      <c r="A10" s="43">
        <v>7</v>
      </c>
      <c r="B10" s="20">
        <v>45733</v>
      </c>
      <c r="C10" s="4">
        <v>5100</v>
      </c>
      <c r="D10" s="4"/>
      <c r="E10" s="64">
        <f>D10/C10</f>
        <v>0</v>
      </c>
      <c r="F10" s="22">
        <f>IF(SUM($C$4:C10)-SUM($D$4:D10)&gt;0, (SUM($C$4:C10)-SUM($D$4:D10))/SUM($C$4:C10), 0)</f>
        <v>0.20987654320987653</v>
      </c>
      <c r="G10" s="69">
        <f>D10-C10</f>
        <v>-5100</v>
      </c>
    </row>
  </sheetData>
  <mergeCells count="2">
    <mergeCell ref="A1:A2"/>
    <mergeCell ref="B1:E2"/>
  </mergeCells>
  <pageMargins left="0.7" right="0.7" top="0.75" bottom="0.75" header="0.3" footer="0.3"/>
  <drawing r:id="rId1"/>
  <tableParts count="1">
    <tablePart r:id="rId2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15988-61B1-3B45-B0FF-076C25FDCD24}">
  <dimension ref="A1:M9"/>
  <sheetViews>
    <sheetView workbookViewId="0">
      <selection activeCell="E17" sqref="E17"/>
    </sheetView>
  </sheetViews>
  <sheetFormatPr baseColWidth="10" defaultRowHeight="16" x14ac:dyDescent="0.2"/>
  <cols>
    <col min="4" max="4" width="11.33203125" customWidth="1"/>
    <col min="5" max="5" width="24" customWidth="1"/>
    <col min="6" max="6" width="13" customWidth="1"/>
    <col min="7" max="7" width="21.33203125" customWidth="1"/>
    <col min="9" max="9" width="29.33203125" bestFit="1" customWidth="1"/>
    <col min="10" max="10" width="11.1640625" bestFit="1" customWidth="1"/>
    <col min="12" max="12" width="17.33203125" bestFit="1" customWidth="1"/>
  </cols>
  <sheetData>
    <row r="1" spans="1:13" x14ac:dyDescent="0.2">
      <c r="A1" s="58" t="s">
        <v>131</v>
      </c>
      <c r="B1" s="55" t="s">
        <v>137</v>
      </c>
      <c r="C1" s="55"/>
      <c r="D1" s="55"/>
      <c r="E1" s="55"/>
    </row>
    <row r="2" spans="1:13" x14ac:dyDescent="0.2">
      <c r="A2" s="58"/>
      <c r="B2" s="60"/>
      <c r="C2" s="60"/>
      <c r="D2" s="60"/>
      <c r="E2" s="60"/>
      <c r="I2" t="s">
        <v>137</v>
      </c>
    </row>
    <row r="3" spans="1:13" x14ac:dyDescent="0.2">
      <c r="A3" s="25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  <c r="I3" s="9" t="s">
        <v>39</v>
      </c>
      <c r="J3" s="16" cm="1">
        <f t="array" ref="J3">AVERAGE(IF(Table56[Cumplimiento de Meta %]&gt;=100%,1,0))</f>
        <v>0.66666666666666663</v>
      </c>
      <c r="L3" t="s">
        <v>41</v>
      </c>
      <c r="M3" s="18">
        <f>(COUNT(Table56[[#All],[Semana]])*7)/30</f>
        <v>1.4</v>
      </c>
    </row>
    <row r="4" spans="1:13" x14ac:dyDescent="0.2">
      <c r="A4">
        <v>1</v>
      </c>
      <c r="B4" s="20">
        <v>45698</v>
      </c>
      <c r="C4" s="4">
        <v>1200</v>
      </c>
      <c r="D4" s="4">
        <v>1200</v>
      </c>
      <c r="E4" s="21">
        <f>D4/C4</f>
        <v>1</v>
      </c>
      <c r="F4" s="22">
        <f>IF(SUM($C$4:C4)-SUM($D$4:D4)&gt;0, (SUM($C$4:C4)-SUM($D$4:D4))/SUM($C$4:C4), 0)</f>
        <v>0</v>
      </c>
      <c r="G4" s="42">
        <f>D4-C4</f>
        <v>0</v>
      </c>
      <c r="I4" s="4"/>
      <c r="J4" s="4"/>
    </row>
    <row r="5" spans="1:13" x14ac:dyDescent="0.2">
      <c r="A5">
        <v>2</v>
      </c>
      <c r="B5" s="20">
        <v>45705</v>
      </c>
      <c r="C5" s="4">
        <v>1200</v>
      </c>
      <c r="D5" s="4">
        <v>1200</v>
      </c>
      <c r="E5" s="21">
        <f>D5/C5</f>
        <v>1</v>
      </c>
      <c r="F5" s="22">
        <f>IF(SUM($C$4:C5)-SUM($D$4:D5)&gt;0, (SUM($C$4:C5)-SUM($D$4:D5))/SUM($C$4:C5), 0)</f>
        <v>0</v>
      </c>
      <c r="G5" s="42">
        <f>D5-C5</f>
        <v>0</v>
      </c>
      <c r="I5" s="4" t="s">
        <v>21</v>
      </c>
      <c r="J5" s="4">
        <f>SUM(Table56[[#All],[Meta]])</f>
        <v>9000</v>
      </c>
    </row>
    <row r="6" spans="1:13" x14ac:dyDescent="0.2">
      <c r="A6">
        <v>3</v>
      </c>
      <c r="B6" s="20">
        <v>45712</v>
      </c>
      <c r="C6" s="4">
        <v>1200</v>
      </c>
      <c r="D6" s="4">
        <v>1200</v>
      </c>
      <c r="E6" s="21">
        <f>D6/C6</f>
        <v>1</v>
      </c>
      <c r="F6" s="22">
        <f>IF(SUM($C$4:C6)-SUM($D$4:D6)&gt;0, (SUM($C$4:C6)-SUM($D$4:D6))/SUM($C$4:C6), 0)</f>
        <v>0</v>
      </c>
      <c r="G6" s="42">
        <f>D6-C6</f>
        <v>0</v>
      </c>
      <c r="I6" s="4" t="s">
        <v>22</v>
      </c>
      <c r="J6" s="4">
        <f>SUM(Table56[[#All],[Cobranza]])</f>
        <v>10800</v>
      </c>
    </row>
    <row r="7" spans="1:13" x14ac:dyDescent="0.2">
      <c r="A7">
        <v>4</v>
      </c>
      <c r="B7" s="20">
        <v>45719</v>
      </c>
      <c r="C7" s="4">
        <v>1800</v>
      </c>
      <c r="D7" s="4">
        <v>0</v>
      </c>
      <c r="E7" s="21">
        <f>D7/C7</f>
        <v>0</v>
      </c>
      <c r="F7" s="22">
        <f>IF(SUM($C$4:C7)-SUM($D$4:D7)&gt;0, (SUM($C$4:C7)-SUM($D$4:D7))/SUM($C$4:C7), 0)</f>
        <v>0.33333333333333331</v>
      </c>
      <c r="G7" s="42">
        <f>D7-C7</f>
        <v>-1800</v>
      </c>
      <c r="I7" s="4" t="s">
        <v>23</v>
      </c>
      <c r="J7" s="4">
        <f>SUM(Table56[[#All],[Didiferencia Absoluta]])</f>
        <v>1800</v>
      </c>
    </row>
    <row r="8" spans="1:13" x14ac:dyDescent="0.2">
      <c r="A8">
        <v>5</v>
      </c>
      <c r="B8" s="20">
        <v>45726</v>
      </c>
      <c r="C8" s="4">
        <v>1800</v>
      </c>
      <c r="D8" s="4">
        <v>7200</v>
      </c>
      <c r="E8" s="21">
        <f>D8/C8</f>
        <v>4</v>
      </c>
      <c r="F8" s="22">
        <f>IF(SUM($C$4:C8)-SUM($D$4:D8)&gt;0, (SUM($C$4:C8)-SUM($D$4:D8))/SUM($C$4:C8), 0)</f>
        <v>0</v>
      </c>
      <c r="G8" s="42">
        <f>D8-C8</f>
        <v>5400</v>
      </c>
      <c r="I8" t="s">
        <v>24</v>
      </c>
      <c r="J8" s="16">
        <f>(J7/J5)*-1</f>
        <v>-0.2</v>
      </c>
    </row>
    <row r="9" spans="1:13" x14ac:dyDescent="0.2">
      <c r="A9">
        <v>6</v>
      </c>
      <c r="B9" s="20">
        <v>45733</v>
      </c>
      <c r="C9" s="4">
        <v>1800</v>
      </c>
      <c r="D9" s="4"/>
      <c r="E9" s="64">
        <f>D9/C9</f>
        <v>0</v>
      </c>
      <c r="F9" s="22">
        <f>IF(SUM($C$4:C9)-SUM($D$4:D9)&gt;0, (SUM($C$4:C9)-SUM($D$4:D9))/SUM($C$4:C9), 0)</f>
        <v>0</v>
      </c>
      <c r="G9" s="69">
        <f>D9-C9</f>
        <v>-1800</v>
      </c>
    </row>
  </sheetData>
  <mergeCells count="2">
    <mergeCell ref="A1:A2"/>
    <mergeCell ref="B1:E2"/>
  </mergeCells>
  <pageMargins left="0.7" right="0.7" top="0.75" bottom="0.75" header="0.3" footer="0.3"/>
  <drawing r:id="rId1"/>
  <tableParts count="1">
    <tablePart r:id="rId2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36BBF-74B5-9140-8100-5442FF358716}">
  <dimension ref="A1:M9"/>
  <sheetViews>
    <sheetView workbookViewId="0">
      <selection activeCell="E20" sqref="E20"/>
    </sheetView>
  </sheetViews>
  <sheetFormatPr baseColWidth="10" defaultRowHeight="16" x14ac:dyDescent="0.2"/>
  <cols>
    <col min="4" max="4" width="11.33203125" customWidth="1"/>
    <col min="5" max="5" width="24" customWidth="1"/>
    <col min="6" max="6" width="13" customWidth="1"/>
    <col min="7" max="7" width="21.33203125" customWidth="1"/>
    <col min="9" max="9" width="30" bestFit="1" customWidth="1"/>
    <col min="12" max="12" width="17.33203125" bestFit="1" customWidth="1"/>
  </cols>
  <sheetData>
    <row r="1" spans="1:13" x14ac:dyDescent="0.2">
      <c r="A1" s="58" t="s">
        <v>132</v>
      </c>
      <c r="B1" s="55" t="s">
        <v>138</v>
      </c>
      <c r="C1" s="55"/>
      <c r="D1" s="55"/>
      <c r="E1" s="55"/>
    </row>
    <row r="2" spans="1:13" x14ac:dyDescent="0.2">
      <c r="A2" s="58"/>
      <c r="B2" s="60"/>
      <c r="C2" s="60"/>
      <c r="D2" s="60"/>
      <c r="E2" s="60"/>
      <c r="I2" t="s">
        <v>138</v>
      </c>
    </row>
    <row r="3" spans="1:13" x14ac:dyDescent="0.2">
      <c r="A3" s="25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  <c r="I3" s="9" t="s">
        <v>39</v>
      </c>
      <c r="J3" s="16" cm="1">
        <f t="array" ref="J3">AVERAGE(IF(Table57[Cumplimiento de Meta %]&gt;=100%,1,0))</f>
        <v>0.83333333333333337</v>
      </c>
      <c r="L3" t="s">
        <v>41</v>
      </c>
      <c r="M3" s="18">
        <f>(COUNT(Table57[[#All],[Semana]])*7)/30</f>
        <v>1.4</v>
      </c>
    </row>
    <row r="4" spans="1:13" x14ac:dyDescent="0.2">
      <c r="A4" s="43">
        <v>1</v>
      </c>
      <c r="B4" s="20">
        <v>45698</v>
      </c>
      <c r="C4" s="4">
        <v>300</v>
      </c>
      <c r="D4" s="4">
        <v>300</v>
      </c>
      <c r="E4" s="21">
        <f>D4/C4</f>
        <v>1</v>
      </c>
      <c r="F4" s="22">
        <f>IF(SUM($C$4:C4)-SUM($D$4:D4)&gt;0, (SUM($C$4:C4)-SUM($D$4:D4))/SUM($C$4:C4), 0)</f>
        <v>0</v>
      </c>
      <c r="G4" s="42">
        <f>D4-C4</f>
        <v>0</v>
      </c>
      <c r="I4" s="4"/>
      <c r="J4" s="4"/>
    </row>
    <row r="5" spans="1:13" x14ac:dyDescent="0.2">
      <c r="A5" s="43">
        <v>2</v>
      </c>
      <c r="B5" s="20">
        <v>45705</v>
      </c>
      <c r="C5" s="4">
        <v>900</v>
      </c>
      <c r="D5" s="4">
        <v>900</v>
      </c>
      <c r="E5" s="21">
        <f>D5/C5</f>
        <v>1</v>
      </c>
      <c r="F5" s="22">
        <f>IF(SUM($C$4:C5)-SUM($D$4:D5)&gt;0, (SUM($C$4:C5)-SUM($D$4:D5))/SUM($C$4:C5), 0)</f>
        <v>0</v>
      </c>
      <c r="G5" s="42">
        <f>D5-C5</f>
        <v>0</v>
      </c>
      <c r="I5" s="4" t="s">
        <v>21</v>
      </c>
      <c r="J5" s="4">
        <f>SUM(Table57[[#All],[Meta]])</f>
        <v>7200</v>
      </c>
    </row>
    <row r="6" spans="1:13" x14ac:dyDescent="0.2">
      <c r="A6" s="43">
        <v>3</v>
      </c>
      <c r="B6" s="20">
        <v>45712</v>
      </c>
      <c r="C6" s="4">
        <v>1200</v>
      </c>
      <c r="D6" s="4">
        <v>1200</v>
      </c>
      <c r="E6" s="21">
        <f>D6/C6</f>
        <v>1</v>
      </c>
      <c r="F6" s="22">
        <f>IF(SUM($C$4:C6)-SUM($D$4:D6)&gt;0, (SUM($C$4:C6)-SUM($D$4:D6))/SUM($C$4:C6), 0)</f>
        <v>0</v>
      </c>
      <c r="G6" s="42">
        <f>D6-C6</f>
        <v>0</v>
      </c>
      <c r="I6" s="4" t="s">
        <v>22</v>
      </c>
      <c r="J6" s="4">
        <f>SUM(Table57[[#All],[Cobranza]])</f>
        <v>5100</v>
      </c>
    </row>
    <row r="7" spans="1:13" x14ac:dyDescent="0.2">
      <c r="A7" s="43">
        <v>4</v>
      </c>
      <c r="B7" s="20">
        <v>45719</v>
      </c>
      <c r="C7" s="4">
        <v>1200</v>
      </c>
      <c r="D7" s="4">
        <v>1200</v>
      </c>
      <c r="E7" s="21">
        <f>D7/C7</f>
        <v>1</v>
      </c>
      <c r="F7" s="22">
        <f>IF(SUM($C$4:C7)-SUM($D$4:D7)&gt;0, (SUM($C$4:C7)-SUM($D$4:D7))/SUM($C$4:C7), 0)</f>
        <v>0</v>
      </c>
      <c r="G7" s="42">
        <f>D7-C7</f>
        <v>0</v>
      </c>
      <c r="I7" s="4" t="s">
        <v>23</v>
      </c>
      <c r="J7" s="4">
        <f>SUM(Table57[[#All],[Didiferencia Absoluta]])</f>
        <v>-2100</v>
      </c>
    </row>
    <row r="8" spans="1:13" x14ac:dyDescent="0.2">
      <c r="A8" s="43">
        <v>5</v>
      </c>
      <c r="B8" s="20">
        <v>45726</v>
      </c>
      <c r="C8" s="4">
        <v>1500</v>
      </c>
      <c r="D8" s="4">
        <v>1500</v>
      </c>
      <c r="E8" s="21">
        <f>D8/C8</f>
        <v>1</v>
      </c>
      <c r="F8" s="22">
        <f>IF(SUM($C$4:C8)-SUM($D$4:D8)&gt;0, (SUM($C$4:C8)-SUM($D$4:D8))/SUM($C$4:C8), 0)</f>
        <v>0</v>
      </c>
      <c r="G8" s="42">
        <f>D8-C8</f>
        <v>0</v>
      </c>
      <c r="I8" t="s">
        <v>24</v>
      </c>
      <c r="J8" s="16">
        <f>(J7/J5)*-1</f>
        <v>0.29166666666666669</v>
      </c>
    </row>
    <row r="9" spans="1:13" x14ac:dyDescent="0.2">
      <c r="A9" s="43">
        <v>6</v>
      </c>
      <c r="B9" s="20">
        <v>45733</v>
      </c>
      <c r="C9" s="4">
        <v>2100</v>
      </c>
      <c r="D9" s="4"/>
      <c r="E9" s="64">
        <f>D9/C9</f>
        <v>0</v>
      </c>
      <c r="F9" s="22">
        <f>IF(SUM($C$4:C9)-SUM($D$4:D9)&gt;0, (SUM($C$4:C9)-SUM($D$4:D9))/SUM($C$4:C9), 0)</f>
        <v>0.29166666666666669</v>
      </c>
      <c r="G9" s="69">
        <f>D9-C9</f>
        <v>-2100</v>
      </c>
    </row>
  </sheetData>
  <mergeCells count="2">
    <mergeCell ref="A1:A2"/>
    <mergeCell ref="B1:E2"/>
  </mergeCells>
  <pageMargins left="0.7" right="0.7" top="0.75" bottom="0.75" header="0.3" footer="0.3"/>
  <drawing r:id="rId1"/>
  <tableParts count="1">
    <tablePart r:id="rId2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86BC-ABD9-0B4E-8CDF-F85A3937954A}">
  <dimension ref="A1:I4"/>
  <sheetViews>
    <sheetView workbookViewId="0">
      <selection activeCell="I13" sqref="I13"/>
    </sheetView>
  </sheetViews>
  <sheetFormatPr baseColWidth="10" defaultRowHeight="16" x14ac:dyDescent="0.2"/>
  <cols>
    <col min="4" max="4" width="11.33203125" customWidth="1"/>
    <col min="5" max="5" width="24" customWidth="1"/>
    <col min="6" max="6" width="13" customWidth="1"/>
    <col min="7" max="7" width="21.33203125" customWidth="1"/>
    <col min="9" max="9" width="10.83203125" customWidth="1"/>
  </cols>
  <sheetData>
    <row r="1" spans="1:9" x14ac:dyDescent="0.2">
      <c r="A1" s="58" t="s">
        <v>133</v>
      </c>
      <c r="B1" s="55" t="s">
        <v>139</v>
      </c>
      <c r="C1" s="55"/>
      <c r="D1" s="55"/>
      <c r="E1" s="55"/>
    </row>
    <row r="2" spans="1:9" x14ac:dyDescent="0.2">
      <c r="A2" s="58"/>
      <c r="B2" s="60"/>
      <c r="C2" s="60"/>
      <c r="D2" s="60"/>
      <c r="E2" s="60"/>
      <c r="I2" t="s">
        <v>139</v>
      </c>
    </row>
    <row r="3" spans="1:9" x14ac:dyDescent="0.2">
      <c r="A3" s="25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</row>
    <row r="4" spans="1:9" x14ac:dyDescent="0.2">
      <c r="A4">
        <v>1</v>
      </c>
    </row>
  </sheetData>
  <mergeCells count="2">
    <mergeCell ref="A1:A2"/>
    <mergeCell ref="B1:E2"/>
  </mergeCells>
  <pageMargins left="0.7" right="0.7" top="0.75" bottom="0.75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68A3-AC27-2542-98F8-A1D7285BD391}">
  <dimension ref="A1:M9"/>
  <sheetViews>
    <sheetView workbookViewId="0">
      <selection activeCell="E19" sqref="E19"/>
    </sheetView>
  </sheetViews>
  <sheetFormatPr baseColWidth="10" defaultRowHeight="16" x14ac:dyDescent="0.2"/>
  <cols>
    <col min="4" max="4" width="11.33203125" customWidth="1"/>
    <col min="5" max="5" width="24" customWidth="1"/>
    <col min="6" max="6" width="13" customWidth="1"/>
    <col min="7" max="7" width="21.33203125" customWidth="1"/>
    <col min="9" max="9" width="26.1640625" bestFit="1" customWidth="1"/>
    <col min="10" max="10" width="11.1640625" bestFit="1" customWidth="1"/>
    <col min="12" max="12" width="17.33203125" bestFit="1" customWidth="1"/>
  </cols>
  <sheetData>
    <row r="1" spans="1:13" x14ac:dyDescent="0.2">
      <c r="A1" s="58" t="s">
        <v>134</v>
      </c>
      <c r="B1" s="55" t="s">
        <v>140</v>
      </c>
      <c r="C1" s="55"/>
      <c r="D1" s="55"/>
      <c r="E1" s="55"/>
    </row>
    <row r="2" spans="1:13" x14ac:dyDescent="0.2">
      <c r="A2" s="58"/>
      <c r="B2" s="60"/>
      <c r="C2" s="60"/>
      <c r="D2" s="60"/>
      <c r="E2" s="60"/>
      <c r="I2" t="s">
        <v>140</v>
      </c>
    </row>
    <row r="3" spans="1:13" x14ac:dyDescent="0.2">
      <c r="A3" s="25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  <c r="I3" s="9" t="s">
        <v>39</v>
      </c>
      <c r="J3" s="16" cm="1">
        <f t="array" ref="J3">AVERAGE(IF(Table59[Cumplimiento de Meta %]&gt;=100%,1,0))</f>
        <v>0.83333333333333337</v>
      </c>
      <c r="L3" t="s">
        <v>41</v>
      </c>
      <c r="M3" s="18">
        <f>(COUNT(Table59[[#All],[Semana]])*7)/30</f>
        <v>1.4</v>
      </c>
    </row>
    <row r="4" spans="1:13" x14ac:dyDescent="0.2">
      <c r="A4" s="47">
        <v>1</v>
      </c>
      <c r="B4" s="48">
        <v>45698</v>
      </c>
      <c r="C4" s="49">
        <v>1200</v>
      </c>
      <c r="D4" s="49">
        <v>1200</v>
      </c>
      <c r="E4" s="50">
        <f>D4/C4</f>
        <v>1</v>
      </c>
      <c r="F4" s="22">
        <f>IF(SUM($C$4:C4)-SUM($D$4:D4)&gt;0, (SUM($C$4:C4)-SUM($D$4:D4))/SUM($C$4:C4), 0)</f>
        <v>0</v>
      </c>
      <c r="G4" s="51">
        <f>D4-C4</f>
        <v>0</v>
      </c>
      <c r="I4" s="4"/>
      <c r="J4" s="4"/>
    </row>
    <row r="5" spans="1:13" x14ac:dyDescent="0.2">
      <c r="A5" s="47">
        <v>2</v>
      </c>
      <c r="B5" s="48">
        <v>45705</v>
      </c>
      <c r="C5" s="49">
        <v>2100</v>
      </c>
      <c r="D5" s="49">
        <v>2100</v>
      </c>
      <c r="E5" s="50">
        <f>D5/C5</f>
        <v>1</v>
      </c>
      <c r="F5" s="22">
        <f>IF(SUM($C$4:C5)-SUM($D$4:D5)&gt;0, (SUM($C$4:C5)-SUM($D$4:D5))/SUM($C$4:C5), 0)</f>
        <v>0</v>
      </c>
      <c r="G5" s="51">
        <f>D5-C5</f>
        <v>0</v>
      </c>
      <c r="I5" s="4" t="s">
        <v>21</v>
      </c>
      <c r="J5" s="4">
        <f>SUM(Table59[[#All],[Meta]])</f>
        <v>21600</v>
      </c>
    </row>
    <row r="6" spans="1:13" x14ac:dyDescent="0.2">
      <c r="A6" s="47">
        <v>3</v>
      </c>
      <c r="B6" s="48">
        <v>45712</v>
      </c>
      <c r="C6" s="49">
        <v>3300</v>
      </c>
      <c r="D6" s="49">
        <v>3300</v>
      </c>
      <c r="E6" s="50">
        <f>D6/C6</f>
        <v>1</v>
      </c>
      <c r="F6" s="22">
        <f>IF(SUM($C$4:C6)-SUM($D$4:D6)&gt;0, (SUM($C$4:C6)-SUM($D$4:D6))/SUM($C$4:C6), 0)</f>
        <v>0</v>
      </c>
      <c r="G6" s="51">
        <f>D6-C6</f>
        <v>0</v>
      </c>
      <c r="I6" s="4" t="s">
        <v>22</v>
      </c>
      <c r="J6" s="4">
        <f>SUM(Table59[[#All],[Cobranza]])</f>
        <v>15600</v>
      </c>
    </row>
    <row r="7" spans="1:13" x14ac:dyDescent="0.2">
      <c r="A7" s="47">
        <v>4</v>
      </c>
      <c r="B7" s="48">
        <v>45719</v>
      </c>
      <c r="C7" s="49">
        <v>4200</v>
      </c>
      <c r="D7" s="49">
        <v>4200</v>
      </c>
      <c r="E7" s="50">
        <f>D7/C7</f>
        <v>1</v>
      </c>
      <c r="F7" s="22">
        <f>IF(SUM($C$4:C7)-SUM($D$4:D7)&gt;0, (SUM($C$4:C7)-SUM($D$4:D7))/SUM($C$4:C7), 0)</f>
        <v>0</v>
      </c>
      <c r="G7" s="51">
        <f>D7-C7</f>
        <v>0</v>
      </c>
      <c r="I7" s="4" t="s">
        <v>23</v>
      </c>
      <c r="J7" s="4">
        <f>SUM(Table59[[#All],[Didiferencia Absoluta]])</f>
        <v>-6000</v>
      </c>
    </row>
    <row r="8" spans="1:13" x14ac:dyDescent="0.2">
      <c r="A8" s="47">
        <v>5</v>
      </c>
      <c r="B8" s="48">
        <v>45726</v>
      </c>
      <c r="C8" s="49">
        <v>4800</v>
      </c>
      <c r="D8" s="49">
        <v>4800</v>
      </c>
      <c r="E8" s="50">
        <f>D8/C8</f>
        <v>1</v>
      </c>
      <c r="F8" s="22">
        <f>IF(SUM($C$4:C8)-SUM($D$4:D8)&gt;0, (SUM($C$4:C8)-SUM($D$4:D8))/SUM($C$4:C8), 0)</f>
        <v>0</v>
      </c>
      <c r="G8" s="51">
        <f>D8-C8</f>
        <v>0</v>
      </c>
      <c r="I8" t="s">
        <v>24</v>
      </c>
      <c r="J8" s="16">
        <f>(J7/J5)*-1</f>
        <v>0.27777777777777779</v>
      </c>
    </row>
    <row r="9" spans="1:13" x14ac:dyDescent="0.2">
      <c r="A9" s="47">
        <v>6</v>
      </c>
      <c r="B9" s="48">
        <v>45733</v>
      </c>
      <c r="C9" s="72">
        <v>6000</v>
      </c>
      <c r="D9" s="72"/>
      <c r="E9" s="73">
        <f>D9/C9</f>
        <v>0</v>
      </c>
      <c r="F9" s="22">
        <f>IF(SUM($C$4:C9)-SUM($D$4:D9)&gt;0, (SUM($C$4:C9)-SUM($D$4:D9))/SUM($C$4:C9), 0)</f>
        <v>0.27777777777777779</v>
      </c>
      <c r="G9" s="74">
        <f>D9-C9</f>
        <v>-6000</v>
      </c>
    </row>
  </sheetData>
  <mergeCells count="2">
    <mergeCell ref="A1:A2"/>
    <mergeCell ref="B1:E2"/>
  </mergeCells>
  <pageMargins left="0.7" right="0.7" top="0.75" bottom="0.75" header="0.3" footer="0.3"/>
  <drawing r:id="rId1"/>
  <tableParts count="1">
    <tablePart r:id="rId2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B25D9-61C2-F34E-B034-1CD3197E5BCE}">
  <dimension ref="A1:M9"/>
  <sheetViews>
    <sheetView workbookViewId="0">
      <selection activeCell="E16" sqref="E16"/>
    </sheetView>
  </sheetViews>
  <sheetFormatPr baseColWidth="10" defaultRowHeight="16" x14ac:dyDescent="0.2"/>
  <cols>
    <col min="2" max="2" width="14.5" customWidth="1"/>
    <col min="3" max="3" width="17" customWidth="1"/>
    <col min="4" max="4" width="15.1640625" customWidth="1"/>
    <col min="5" max="5" width="25.1640625" customWidth="1"/>
    <col min="6" max="6" width="13" customWidth="1"/>
    <col min="7" max="7" width="21.33203125" customWidth="1"/>
    <col min="9" max="9" width="29.83203125" customWidth="1"/>
    <col min="10" max="10" width="12.1640625" bestFit="1" customWidth="1"/>
    <col min="12" max="12" width="17.33203125" bestFit="1" customWidth="1"/>
  </cols>
  <sheetData>
    <row r="1" spans="1:13" x14ac:dyDescent="0.2">
      <c r="A1" s="58" t="s">
        <v>135</v>
      </c>
      <c r="B1" s="55" t="s">
        <v>157</v>
      </c>
      <c r="C1" s="55"/>
      <c r="D1" s="55"/>
      <c r="E1" s="55"/>
    </row>
    <row r="2" spans="1:13" x14ac:dyDescent="0.2">
      <c r="A2" s="58"/>
      <c r="B2" s="60"/>
      <c r="C2" s="60"/>
      <c r="D2" s="60"/>
      <c r="E2" s="60"/>
      <c r="I2" t="s">
        <v>157</v>
      </c>
    </row>
    <row r="3" spans="1:13" x14ac:dyDescent="0.2">
      <c r="A3" s="25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  <c r="I3" s="9" t="s">
        <v>39</v>
      </c>
      <c r="J3" s="16" cm="1">
        <f t="array" ref="J3">AVERAGE(IF(Table60[Cumplimiento de Meta %]&gt;=100%,1,0))</f>
        <v>0.5</v>
      </c>
      <c r="L3" t="s">
        <v>41</v>
      </c>
      <c r="M3" s="18">
        <f>(COUNT(Table60[[#All],[Semana]])*7)/30</f>
        <v>1.4</v>
      </c>
    </row>
    <row r="4" spans="1:13" x14ac:dyDescent="0.2">
      <c r="A4" s="47">
        <v>1</v>
      </c>
      <c r="B4" s="48">
        <v>45698</v>
      </c>
      <c r="C4" s="49">
        <v>1500</v>
      </c>
      <c r="D4" s="49">
        <v>1500</v>
      </c>
      <c r="E4" s="50">
        <f>D4/C4</f>
        <v>1</v>
      </c>
      <c r="F4" s="22">
        <f>IF(SUM($C$4:C4)-SUM($D$4:D4)&gt;0, (SUM($C$4:C4)-SUM($D$4:D4))/SUM($C$4:C4), 0)</f>
        <v>0</v>
      </c>
      <c r="G4" s="51">
        <f>D4-C4</f>
        <v>0</v>
      </c>
      <c r="I4" s="4"/>
      <c r="J4" s="4"/>
    </row>
    <row r="5" spans="1:13" x14ac:dyDescent="0.2">
      <c r="A5" s="47">
        <v>2</v>
      </c>
      <c r="B5" s="48">
        <v>45705</v>
      </c>
      <c r="C5" s="49">
        <v>2100</v>
      </c>
      <c r="D5" s="49">
        <v>2100</v>
      </c>
      <c r="E5" s="50">
        <f>D5/C5</f>
        <v>1</v>
      </c>
      <c r="F5" s="22">
        <f>IF(SUM($C$4:C5)-SUM($D$4:D5)&gt;0, (SUM($C$4:C5)-SUM($D$4:D5))/SUM($C$4:C5), 0)</f>
        <v>0</v>
      </c>
      <c r="G5" s="51">
        <f>D5-C5</f>
        <v>0</v>
      </c>
      <c r="I5" s="4" t="s">
        <v>21</v>
      </c>
      <c r="J5" s="4">
        <f>SUM(Table60[[#All],[Meta]])</f>
        <v>20100</v>
      </c>
    </row>
    <row r="6" spans="1:13" x14ac:dyDescent="0.2">
      <c r="A6" s="47">
        <v>3</v>
      </c>
      <c r="B6" s="48">
        <v>45712</v>
      </c>
      <c r="C6" s="49">
        <v>3600</v>
      </c>
      <c r="D6" s="49">
        <v>0</v>
      </c>
      <c r="E6" s="50">
        <f>D6/C6</f>
        <v>0</v>
      </c>
      <c r="F6" s="22">
        <f>IF(SUM($C$4:C6)-SUM($D$4:D6)&gt;0, (SUM($C$4:C6)-SUM($D$4:D6))/SUM($C$4:C6), 0)</f>
        <v>0.5</v>
      </c>
      <c r="G6" s="51">
        <f>D6-C6</f>
        <v>-3600</v>
      </c>
      <c r="I6" s="4" t="s">
        <v>22</v>
      </c>
      <c r="J6" s="4">
        <f>SUM(Table60[[#All],[Cobranza]])</f>
        <v>15900</v>
      </c>
    </row>
    <row r="7" spans="1:13" x14ac:dyDescent="0.2">
      <c r="A7" s="47">
        <v>4</v>
      </c>
      <c r="B7" s="48">
        <v>45719</v>
      </c>
      <c r="C7" s="49">
        <v>3900</v>
      </c>
      <c r="D7" s="49">
        <v>0</v>
      </c>
      <c r="E7" s="50">
        <f>D7/C7</f>
        <v>0</v>
      </c>
      <c r="F7" s="22">
        <f>IF(SUM($C$4:C7)-SUM($D$4:D7)&gt;0, (SUM($C$4:C7)-SUM($D$4:D7))/SUM($C$4:C7), 0)</f>
        <v>0.67567567567567566</v>
      </c>
      <c r="G7" s="51">
        <f>D7-C7</f>
        <v>-3900</v>
      </c>
      <c r="I7" s="4" t="s">
        <v>23</v>
      </c>
      <c r="J7" s="4">
        <f>SUM(Table60[[#All],[Didiferencia Absoluta]])</f>
        <v>-4200</v>
      </c>
    </row>
    <row r="8" spans="1:13" x14ac:dyDescent="0.2">
      <c r="A8" s="47">
        <v>5</v>
      </c>
      <c r="B8" s="48">
        <v>45726</v>
      </c>
      <c r="C8" s="49">
        <v>4500</v>
      </c>
      <c r="D8" s="49">
        <v>12300</v>
      </c>
      <c r="E8" s="50">
        <f>D8/C8</f>
        <v>2.7333333333333334</v>
      </c>
      <c r="F8" s="22">
        <f>IF(SUM($C$4:C8)-SUM($D$4:D8)&gt;0, (SUM($C$4:C8)-SUM($D$4:D8))/SUM($C$4:C8), 0)</f>
        <v>0</v>
      </c>
      <c r="G8" s="51">
        <f>D8-C8</f>
        <v>7800</v>
      </c>
      <c r="I8" t="s">
        <v>24</v>
      </c>
      <c r="J8" s="16">
        <f>(J7/J5)*-1</f>
        <v>0.20895522388059701</v>
      </c>
    </row>
    <row r="9" spans="1:13" x14ac:dyDescent="0.2">
      <c r="A9" s="47">
        <v>6</v>
      </c>
      <c r="B9" s="48">
        <v>45733</v>
      </c>
      <c r="C9" s="72">
        <v>4500</v>
      </c>
      <c r="D9" s="72"/>
      <c r="E9" s="73">
        <f>D9/C9</f>
        <v>0</v>
      </c>
      <c r="F9" s="22">
        <f>IF(SUM($C$4:C9)-SUM($D$4:D9)&gt;0, (SUM($C$4:C9)-SUM($D$4:D9))/SUM($C$4:C9), 0)</f>
        <v>0.20895522388059701</v>
      </c>
      <c r="G9" s="74">
        <f>D9-C9</f>
        <v>-4500</v>
      </c>
    </row>
  </sheetData>
  <mergeCells count="2">
    <mergeCell ref="A1:A2"/>
    <mergeCell ref="B1:E2"/>
  </mergeCells>
  <pageMargins left="0.7" right="0.7" top="0.75" bottom="0.75" header="0.3" footer="0.3"/>
  <drawing r:id="rId1"/>
  <tableParts count="1">
    <tablePart r:id="rId2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7F62E-50DF-8C47-83FC-3B93EF0676A2}">
  <dimension ref="A1:M9"/>
  <sheetViews>
    <sheetView workbookViewId="0">
      <selection activeCell="E20" sqref="E20"/>
    </sheetView>
  </sheetViews>
  <sheetFormatPr baseColWidth="10" defaultRowHeight="16" x14ac:dyDescent="0.2"/>
  <cols>
    <col min="4" max="4" width="11.33203125" customWidth="1"/>
    <col min="5" max="5" width="24" customWidth="1"/>
    <col min="6" max="6" width="13" customWidth="1"/>
    <col min="7" max="7" width="21.33203125" customWidth="1"/>
    <col min="9" max="9" width="29.5" bestFit="1" customWidth="1"/>
    <col min="12" max="12" width="17.33203125" bestFit="1" customWidth="1"/>
  </cols>
  <sheetData>
    <row r="1" spans="1:13" x14ac:dyDescent="0.2">
      <c r="A1" s="58" t="s">
        <v>136</v>
      </c>
      <c r="B1" s="55" t="s">
        <v>158</v>
      </c>
      <c r="C1" s="55"/>
      <c r="D1" s="55"/>
      <c r="E1" s="55"/>
    </row>
    <row r="2" spans="1:13" x14ac:dyDescent="0.2">
      <c r="A2" s="58"/>
      <c r="B2" s="60"/>
      <c r="C2" s="60"/>
      <c r="D2" s="60"/>
      <c r="E2" s="60"/>
      <c r="I2" t="s">
        <v>158</v>
      </c>
    </row>
    <row r="3" spans="1:13" x14ac:dyDescent="0.2">
      <c r="A3" s="25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  <c r="I3" s="9" t="s">
        <v>39</v>
      </c>
      <c r="J3" s="16" cm="1">
        <f t="array" ref="J3">AVERAGE(IF(Table61[Cumplimiento de Meta %]&gt;=100%,1,0))</f>
        <v>0.83333333333333337</v>
      </c>
      <c r="L3" t="s">
        <v>41</v>
      </c>
      <c r="M3" s="18">
        <f>(COUNT(Table61[[#All],[Semana]])*7)/30</f>
        <v>1.4</v>
      </c>
    </row>
    <row r="4" spans="1:13" x14ac:dyDescent="0.2">
      <c r="A4" s="47">
        <v>1</v>
      </c>
      <c r="B4" s="48">
        <v>45698</v>
      </c>
      <c r="C4" s="49">
        <v>600</v>
      </c>
      <c r="D4" s="49">
        <v>600</v>
      </c>
      <c r="E4" s="50">
        <f>D4/C4</f>
        <v>1</v>
      </c>
      <c r="F4" s="22">
        <f>IF(SUM($C$4:C4)-SUM($D$4:D4)&gt;0, (SUM($C$4:C4)-SUM($D$4:D4))/SUM($C$4:C4), 0)</f>
        <v>0</v>
      </c>
      <c r="G4" s="51">
        <f>D4-C4</f>
        <v>0</v>
      </c>
      <c r="I4" s="4"/>
      <c r="J4" s="4"/>
    </row>
    <row r="5" spans="1:13" x14ac:dyDescent="0.2">
      <c r="A5" s="47">
        <v>2</v>
      </c>
      <c r="B5" s="48">
        <v>45705</v>
      </c>
      <c r="C5" s="49">
        <v>900</v>
      </c>
      <c r="D5" s="49">
        <v>900</v>
      </c>
      <c r="E5" s="50">
        <f>D5/C5</f>
        <v>1</v>
      </c>
      <c r="F5" s="22">
        <f>IF(SUM($C$4:C5)-SUM($D$4:D5)&gt;0, (SUM($C$4:C5)-SUM($D$4:D5))/SUM($C$4:C5), 0)</f>
        <v>0</v>
      </c>
      <c r="G5" s="51">
        <f>D5-C5</f>
        <v>0</v>
      </c>
      <c r="I5" s="4" t="s">
        <v>21</v>
      </c>
      <c r="J5" s="4">
        <f>SUM(Table61[[#All],[Meta]])</f>
        <v>9300</v>
      </c>
    </row>
    <row r="6" spans="1:13" x14ac:dyDescent="0.2">
      <c r="A6" s="47">
        <v>3</v>
      </c>
      <c r="B6" s="48">
        <v>45712</v>
      </c>
      <c r="C6" s="49">
        <v>1500</v>
      </c>
      <c r="D6" s="49">
        <v>1500</v>
      </c>
      <c r="E6" s="50">
        <f>D6/C6</f>
        <v>1</v>
      </c>
      <c r="F6" s="22">
        <f>IF(SUM($C$4:C6)-SUM($D$4:D6)&gt;0, (SUM($C$4:C6)-SUM($D$4:D6))/SUM($C$4:C6), 0)</f>
        <v>0</v>
      </c>
      <c r="G6" s="51">
        <f>D6-C6</f>
        <v>0</v>
      </c>
      <c r="I6" s="4" t="s">
        <v>22</v>
      </c>
      <c r="J6" s="4">
        <f>SUM(Table61[[#All],[Cobranza]])</f>
        <v>7200</v>
      </c>
    </row>
    <row r="7" spans="1:13" x14ac:dyDescent="0.2">
      <c r="A7" s="47">
        <v>4</v>
      </c>
      <c r="B7" s="48">
        <v>45719</v>
      </c>
      <c r="C7" s="49">
        <v>2100</v>
      </c>
      <c r="D7" s="49">
        <v>2100</v>
      </c>
      <c r="E7" s="50">
        <f>D7/C7</f>
        <v>1</v>
      </c>
      <c r="F7" s="22">
        <f>IF(SUM($C$4:C7)-SUM($D$4:D7)&gt;0, (SUM($C$4:C7)-SUM($D$4:D7))/SUM($C$4:C7), 0)</f>
        <v>0</v>
      </c>
      <c r="G7" s="51">
        <f>D7-C7</f>
        <v>0</v>
      </c>
      <c r="I7" s="4" t="s">
        <v>23</v>
      </c>
      <c r="J7" s="4">
        <f>SUM(Table61[[#All],[Didiferencia Absoluta]])</f>
        <v>-2100</v>
      </c>
    </row>
    <row r="8" spans="1:13" x14ac:dyDescent="0.2">
      <c r="A8" s="47">
        <v>5</v>
      </c>
      <c r="B8" s="48">
        <v>45726</v>
      </c>
      <c r="C8" s="49">
        <v>2100</v>
      </c>
      <c r="D8" s="49">
        <v>2100</v>
      </c>
      <c r="E8" s="50">
        <f>D8/C8</f>
        <v>1</v>
      </c>
      <c r="F8" s="22">
        <f>IF(SUM($C$4:C8)-SUM($D$4:D8)&gt;0, (SUM($C$4:C8)-SUM($D$4:D8))/SUM($C$4:C8), 0)</f>
        <v>0</v>
      </c>
      <c r="G8" s="51">
        <f>D8-C8</f>
        <v>0</v>
      </c>
      <c r="I8" t="s">
        <v>24</v>
      </c>
      <c r="J8" s="16">
        <f>(J7/J5)*-1</f>
        <v>0.22580645161290322</v>
      </c>
    </row>
    <row r="9" spans="1:13" x14ac:dyDescent="0.2">
      <c r="A9" s="47">
        <v>6</v>
      </c>
      <c r="B9" s="48">
        <v>45733</v>
      </c>
      <c r="C9" s="72">
        <v>2100</v>
      </c>
      <c r="D9" s="72"/>
      <c r="E9" s="73">
        <f>D9/C9</f>
        <v>0</v>
      </c>
      <c r="F9" s="22">
        <f>IF(SUM($C$4:C9)-SUM($D$4:D9)&gt;0, (SUM($C$4:C9)-SUM($D$4:D9))/SUM($C$4:C9), 0)</f>
        <v>0.22580645161290322</v>
      </c>
      <c r="G9" s="74">
        <f>D9-C9</f>
        <v>-2100</v>
      </c>
    </row>
  </sheetData>
  <mergeCells count="2">
    <mergeCell ref="A1:A2"/>
    <mergeCell ref="B1:E2"/>
  </mergeCells>
  <pageMargins left="0.7" right="0.7" top="0.75" bottom="0.75" header="0.3" footer="0.3"/>
  <drawing r:id="rId1"/>
  <tableParts count="1">
    <tablePart r:id="rId2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C3316-3148-3440-B4C3-1063F4D95ABA}">
  <dimension ref="A1:M9"/>
  <sheetViews>
    <sheetView workbookViewId="0">
      <selection activeCell="F15" sqref="F15"/>
    </sheetView>
  </sheetViews>
  <sheetFormatPr baseColWidth="10" defaultRowHeight="16" x14ac:dyDescent="0.2"/>
  <cols>
    <col min="4" max="4" width="11.33203125" customWidth="1"/>
    <col min="5" max="5" width="24" customWidth="1"/>
    <col min="6" max="6" width="13" customWidth="1"/>
    <col min="7" max="7" width="21.33203125" customWidth="1"/>
    <col min="9" max="9" width="29" bestFit="1" customWidth="1"/>
    <col min="10" max="10" width="11.5" bestFit="1" customWidth="1"/>
    <col min="12" max="12" width="17.33203125" bestFit="1" customWidth="1"/>
  </cols>
  <sheetData>
    <row r="1" spans="1:13" x14ac:dyDescent="0.2">
      <c r="A1" s="58" t="s">
        <v>141</v>
      </c>
      <c r="B1" s="55" t="s">
        <v>151</v>
      </c>
      <c r="C1" s="55"/>
      <c r="D1" s="55"/>
      <c r="E1" s="55"/>
    </row>
    <row r="2" spans="1:13" x14ac:dyDescent="0.2">
      <c r="A2" s="58"/>
      <c r="B2" s="60"/>
      <c r="C2" s="60"/>
      <c r="D2" s="60"/>
      <c r="E2" s="60"/>
      <c r="I2" t="s">
        <v>151</v>
      </c>
    </row>
    <row r="3" spans="1:13" x14ac:dyDescent="0.2">
      <c r="A3" s="25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  <c r="I3" s="9" t="s">
        <v>39</v>
      </c>
      <c r="J3" s="16" cm="1">
        <f t="array" ref="J3">AVERAGE(IF(Table62[Cumplimiento de Meta %]&gt;=100%,1,0))</f>
        <v>0.16666666666666666</v>
      </c>
      <c r="L3" t="s">
        <v>41</v>
      </c>
      <c r="M3" s="18">
        <f>(COUNT(Table62[[#All],[Semana]])*7)/30</f>
        <v>1.4</v>
      </c>
    </row>
    <row r="4" spans="1:13" x14ac:dyDescent="0.2">
      <c r="A4" s="47">
        <v>1</v>
      </c>
      <c r="B4" s="48">
        <v>45698</v>
      </c>
      <c r="C4" s="49">
        <v>0</v>
      </c>
      <c r="D4" s="49">
        <v>0</v>
      </c>
      <c r="E4" s="50">
        <v>1</v>
      </c>
      <c r="F4" s="22">
        <f>IF(SUM($C$4:C4)-SUM($D$4:D4)&gt;0, (SUM($C$4:C4)-SUM($D$4:D4))/SUM($C$4:C4), 0)</f>
        <v>0</v>
      </c>
      <c r="G4" s="51">
        <f>D4-C4</f>
        <v>0</v>
      </c>
      <c r="I4" s="4"/>
      <c r="J4" s="4"/>
    </row>
    <row r="5" spans="1:13" x14ac:dyDescent="0.2">
      <c r="A5" s="47">
        <v>2</v>
      </c>
      <c r="B5" s="48">
        <v>45705</v>
      </c>
      <c r="C5" s="49">
        <v>1500</v>
      </c>
      <c r="D5" s="49">
        <v>1500</v>
      </c>
      <c r="E5" s="50"/>
      <c r="F5" s="22">
        <f>IF(SUM($C$4:C5)-SUM($D$4:D5)&gt;0, (SUM($C$4:C5)-SUM($D$4:D5))/SUM($C$4:C5), 0)</f>
        <v>0</v>
      </c>
      <c r="G5" s="51">
        <f>D5-C5</f>
        <v>0</v>
      </c>
      <c r="I5" s="4" t="s">
        <v>21</v>
      </c>
      <c r="J5" s="4">
        <f>SUM(Table62[[#All],[Meta]])</f>
        <v>18600</v>
      </c>
    </row>
    <row r="6" spans="1:13" x14ac:dyDescent="0.2">
      <c r="A6" s="47">
        <v>3</v>
      </c>
      <c r="B6" s="48">
        <v>45712</v>
      </c>
      <c r="C6" s="49">
        <v>2100</v>
      </c>
      <c r="D6" s="49">
        <v>2100</v>
      </c>
      <c r="E6" s="50"/>
      <c r="F6" s="22">
        <f>IF(SUM($C$4:C6)-SUM($D$4:D6)&gt;0, (SUM($C$4:C6)-SUM($D$4:D6))/SUM($C$4:C6), 0)</f>
        <v>0</v>
      </c>
      <c r="G6" s="51">
        <f>D6-C6</f>
        <v>0</v>
      </c>
      <c r="I6" s="4" t="s">
        <v>22</v>
      </c>
      <c r="J6" s="4">
        <f>SUM(Table62[[#All],[Cobranza]])</f>
        <v>12300</v>
      </c>
    </row>
    <row r="7" spans="1:13" x14ac:dyDescent="0.2">
      <c r="A7" s="47">
        <v>4</v>
      </c>
      <c r="B7" s="48">
        <v>45719</v>
      </c>
      <c r="C7" s="49">
        <v>3600</v>
      </c>
      <c r="D7" s="49">
        <v>3600</v>
      </c>
      <c r="E7" s="50"/>
      <c r="F7" s="22">
        <f>IF(SUM($C$4:C7)-SUM($D$4:D7)&gt;0, (SUM($C$4:C7)-SUM($D$4:D7))/SUM($C$4:C7), 0)</f>
        <v>0</v>
      </c>
      <c r="G7" s="51">
        <f>D7-C7</f>
        <v>0</v>
      </c>
      <c r="I7" s="4" t="s">
        <v>23</v>
      </c>
      <c r="J7" s="4">
        <f>SUM(Table62[[#All],[Didiferencia Absoluta]])</f>
        <v>-6300</v>
      </c>
    </row>
    <row r="8" spans="1:13" x14ac:dyDescent="0.2">
      <c r="A8" s="47">
        <v>5</v>
      </c>
      <c r="B8" s="48">
        <v>45726</v>
      </c>
      <c r="C8" s="49">
        <v>5100</v>
      </c>
      <c r="D8" s="49">
        <v>5100</v>
      </c>
      <c r="E8" s="50"/>
      <c r="F8" s="22">
        <f>IF(SUM($C$4:C8)-SUM($D$4:D8)&gt;0, (SUM($C$4:C8)-SUM($D$4:D8))/SUM($C$4:C8), 0)</f>
        <v>0</v>
      </c>
      <c r="G8" s="51">
        <f>D8-C8</f>
        <v>0</v>
      </c>
      <c r="I8" t="s">
        <v>24</v>
      </c>
      <c r="J8" s="16">
        <f>(J7/J5)*-1</f>
        <v>0.33870967741935482</v>
      </c>
    </row>
    <row r="9" spans="1:13" x14ac:dyDescent="0.2">
      <c r="A9" s="47">
        <v>6</v>
      </c>
      <c r="B9" s="48">
        <v>45733</v>
      </c>
      <c r="C9" s="72">
        <v>6300</v>
      </c>
      <c r="D9" s="72"/>
      <c r="E9" s="73"/>
      <c r="F9" s="22">
        <f>IF(SUM($C$4:C9)-SUM($D$4:D9)&gt;0, (SUM($C$4:C9)-SUM($D$4:D9))/SUM($C$4:C9), 0)</f>
        <v>0.33870967741935482</v>
      </c>
      <c r="G9" s="74">
        <f>D9-C9</f>
        <v>-6300</v>
      </c>
    </row>
  </sheetData>
  <mergeCells count="2">
    <mergeCell ref="A1:A2"/>
    <mergeCell ref="B1:E2"/>
  </mergeCells>
  <pageMargins left="0.7" right="0.7" top="0.75" bottom="0.75" header="0.3" footer="0.3"/>
  <drawing r:id="rId1"/>
  <tableParts count="1">
    <tablePart r:id="rId2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52F8-9BD3-2545-B18C-C13E1594BA1C}">
  <dimension ref="A1:I4"/>
  <sheetViews>
    <sheetView workbookViewId="0">
      <selection activeCell="E30" sqref="E30"/>
    </sheetView>
  </sheetViews>
  <sheetFormatPr baseColWidth="10" defaultRowHeight="16" x14ac:dyDescent="0.2"/>
  <cols>
    <col min="4" max="4" width="11.33203125" customWidth="1"/>
    <col min="5" max="5" width="24" customWidth="1"/>
    <col min="6" max="6" width="13" customWidth="1"/>
    <col min="7" max="7" width="21.33203125" customWidth="1"/>
  </cols>
  <sheetData>
    <row r="1" spans="1:9" x14ac:dyDescent="0.2">
      <c r="A1" s="58" t="s">
        <v>150</v>
      </c>
      <c r="B1" s="55" t="s">
        <v>152</v>
      </c>
      <c r="C1" s="55"/>
      <c r="D1" s="55"/>
      <c r="E1" s="55"/>
    </row>
    <row r="2" spans="1:9" x14ac:dyDescent="0.2">
      <c r="A2" s="58"/>
      <c r="B2" s="60"/>
      <c r="C2" s="60"/>
      <c r="D2" s="60"/>
      <c r="E2" s="60"/>
      <c r="I2" t="s">
        <v>152</v>
      </c>
    </row>
    <row r="3" spans="1:9" x14ac:dyDescent="0.2">
      <c r="A3" s="25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</row>
    <row r="4" spans="1:9" x14ac:dyDescent="0.2">
      <c r="A4">
        <v>1</v>
      </c>
    </row>
  </sheetData>
  <mergeCells count="2">
    <mergeCell ref="A1:A2"/>
    <mergeCell ref="B1:E2"/>
  </mergeCells>
  <pageMargins left="0.7" right="0.7" top="0.75" bottom="0.75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EDA56-CE12-894B-9906-7183B1F4223F}">
  <dimension ref="A1:M8"/>
  <sheetViews>
    <sheetView workbookViewId="0">
      <selection activeCell="F4" sqref="F4"/>
    </sheetView>
  </sheetViews>
  <sheetFormatPr baseColWidth="10" defaultRowHeight="16" x14ac:dyDescent="0.2"/>
  <cols>
    <col min="4" max="4" width="11.33203125" customWidth="1"/>
    <col min="5" max="5" width="24" customWidth="1"/>
    <col min="6" max="6" width="13" customWidth="1"/>
    <col min="7" max="7" width="21.33203125" customWidth="1"/>
    <col min="9" max="9" width="28.1640625" bestFit="1" customWidth="1"/>
    <col min="10" max="10" width="11.1640625" bestFit="1" customWidth="1"/>
    <col min="12" max="12" width="17.33203125" bestFit="1" customWidth="1"/>
  </cols>
  <sheetData>
    <row r="1" spans="1:13" x14ac:dyDescent="0.2">
      <c r="A1" s="58" t="s">
        <v>149</v>
      </c>
      <c r="B1" s="55" t="s">
        <v>153</v>
      </c>
      <c r="C1" s="55"/>
      <c r="D1" s="55"/>
      <c r="E1" s="55"/>
    </row>
    <row r="2" spans="1:13" x14ac:dyDescent="0.2">
      <c r="A2" s="58"/>
      <c r="B2" s="60"/>
      <c r="C2" s="60"/>
      <c r="D2" s="60"/>
      <c r="E2" s="60"/>
      <c r="I2" t="s">
        <v>153</v>
      </c>
    </row>
    <row r="3" spans="1:13" x14ac:dyDescent="0.2">
      <c r="A3" s="25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  <c r="I3" s="9" t="s">
        <v>39</v>
      </c>
      <c r="J3" s="16" cm="1">
        <f t="array" ref="J3">AVERAGE(IF(Table64[Cumplimiento de Meta %]&gt;=100%,1,0))</f>
        <v>0.6</v>
      </c>
      <c r="L3" t="s">
        <v>41</v>
      </c>
      <c r="M3" s="18">
        <f>(COUNT(Table64[[#All],[Semana]])*7)/30</f>
        <v>1.1666666666666667</v>
      </c>
    </row>
    <row r="4" spans="1:13" x14ac:dyDescent="0.2">
      <c r="A4" s="43">
        <v>1</v>
      </c>
      <c r="B4" s="20">
        <v>45705</v>
      </c>
      <c r="C4" s="52">
        <v>1500</v>
      </c>
      <c r="D4" s="52">
        <v>1500</v>
      </c>
      <c r="E4" s="21">
        <f>D4/C4</f>
        <v>1</v>
      </c>
      <c r="F4" s="22">
        <f>IF(SUM($C$4:C4)-SUM($D$4:D4)&gt;0, (SUM($C$4:C4)-SUM($D$4:D4))/SUM($C$4:C4), 0)</f>
        <v>0</v>
      </c>
      <c r="G4" s="42">
        <f>D4-C4</f>
        <v>0</v>
      </c>
      <c r="I4" s="4"/>
      <c r="J4" s="4"/>
    </row>
    <row r="5" spans="1:13" x14ac:dyDescent="0.2">
      <c r="A5" s="43">
        <v>2</v>
      </c>
      <c r="B5" s="20">
        <v>45712</v>
      </c>
      <c r="C5" s="11">
        <v>2700</v>
      </c>
      <c r="D5" s="4">
        <v>3000</v>
      </c>
      <c r="E5" s="21">
        <f>D5/C5</f>
        <v>1.1111111111111112</v>
      </c>
      <c r="F5" s="22">
        <f>IF(SUM($C$4:C5)-SUM($D$4:D5)&gt;0, (SUM($C$4:C5)-SUM($D$4:D5))/SUM($C$4:C5), 0)</f>
        <v>0</v>
      </c>
      <c r="G5" s="42">
        <f>D5-C5</f>
        <v>300</v>
      </c>
      <c r="I5" s="4" t="s">
        <v>21</v>
      </c>
      <c r="J5" s="4">
        <f>SUM(Table64[[#All],[Meta]])</f>
        <v>17400</v>
      </c>
    </row>
    <row r="6" spans="1:13" x14ac:dyDescent="0.2">
      <c r="A6" s="43">
        <v>3</v>
      </c>
      <c r="B6" s="20">
        <v>45719</v>
      </c>
      <c r="C6" s="4">
        <v>4200</v>
      </c>
      <c r="D6" s="4">
        <v>3900</v>
      </c>
      <c r="E6" s="21">
        <f>D6/C6</f>
        <v>0.9285714285714286</v>
      </c>
      <c r="F6" s="22">
        <f>IF(SUM($C$4:C6)-SUM($D$4:D6)&gt;0, (SUM($C$4:C6)-SUM($D$4:D6))/SUM($C$4:C6), 0)</f>
        <v>0</v>
      </c>
      <c r="G6" s="42">
        <f>D6-C6</f>
        <v>-300</v>
      </c>
      <c r="I6" s="4" t="s">
        <v>22</v>
      </c>
      <c r="J6" s="4">
        <f>SUM(Table64[[#All],[Cobranza]])</f>
        <v>12600</v>
      </c>
    </row>
    <row r="7" spans="1:13" x14ac:dyDescent="0.2">
      <c r="A7" s="43">
        <v>4</v>
      </c>
      <c r="B7" s="20">
        <v>45726</v>
      </c>
      <c r="C7" s="4">
        <v>4200</v>
      </c>
      <c r="D7" s="4">
        <v>4200</v>
      </c>
      <c r="E7" s="21">
        <f>D7/C7</f>
        <v>1</v>
      </c>
      <c r="F7" s="22">
        <f>IF(SUM($C$4:C7)-SUM($D$4:D7)&gt;0, (SUM($C$4:C7)-SUM($D$4:D7))/SUM($C$4:C7), 0)</f>
        <v>0</v>
      </c>
      <c r="G7" s="42">
        <f>D7-C7</f>
        <v>0</v>
      </c>
      <c r="I7" s="4" t="s">
        <v>23</v>
      </c>
      <c r="J7" s="4">
        <f>SUM(Table64[[#All],[Didiferencia Absoluta]])</f>
        <v>-4800</v>
      </c>
    </row>
    <row r="8" spans="1:13" x14ac:dyDescent="0.2">
      <c r="A8" s="43">
        <v>5</v>
      </c>
      <c r="B8" s="20">
        <v>45733</v>
      </c>
      <c r="C8" s="4">
        <v>4800</v>
      </c>
      <c r="E8" s="64">
        <f>D8/C8</f>
        <v>0</v>
      </c>
      <c r="F8" s="22">
        <f>IF(SUM($C$4:C8)-SUM($D$4:D8)&gt;0, (SUM($C$4:C8)-SUM($D$4:D8))/SUM($C$4:C8), 0)</f>
        <v>0.27586206896551724</v>
      </c>
      <c r="G8" s="69">
        <f>D8-C8</f>
        <v>-4800</v>
      </c>
      <c r="I8" t="s">
        <v>24</v>
      </c>
      <c r="J8" s="16">
        <f>(J7/J5)*-1</f>
        <v>0.27586206896551724</v>
      </c>
    </row>
  </sheetData>
  <mergeCells count="2">
    <mergeCell ref="A1:A2"/>
    <mergeCell ref="B1:E2"/>
  </mergeCells>
  <pageMargins left="0.7" right="0.7" top="0.75" bottom="0.75" header="0.3" footer="0.3"/>
  <tableParts count="1">
    <tablePart r:id="rId1"/>
  </tablePart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AB475-0B7C-304D-BD52-988E37738E62}">
  <dimension ref="A1:M8"/>
  <sheetViews>
    <sheetView workbookViewId="0">
      <selection activeCell="F4" sqref="F4"/>
    </sheetView>
  </sheetViews>
  <sheetFormatPr baseColWidth="10" defaultRowHeight="16" x14ac:dyDescent="0.2"/>
  <cols>
    <col min="4" max="4" width="11.33203125" customWidth="1"/>
    <col min="5" max="5" width="24" customWidth="1"/>
    <col min="6" max="6" width="13" customWidth="1"/>
    <col min="7" max="7" width="21.33203125" customWidth="1"/>
    <col min="9" max="9" width="30.1640625" bestFit="1" customWidth="1"/>
    <col min="10" max="10" width="11.1640625" bestFit="1" customWidth="1"/>
    <col min="12" max="12" width="17.33203125" bestFit="1" customWidth="1"/>
  </cols>
  <sheetData>
    <row r="1" spans="1:13" x14ac:dyDescent="0.2">
      <c r="A1" s="58" t="s">
        <v>148</v>
      </c>
      <c r="B1" s="55" t="s">
        <v>154</v>
      </c>
      <c r="C1" s="55"/>
      <c r="D1" s="55"/>
      <c r="E1" s="55"/>
    </row>
    <row r="2" spans="1:13" x14ac:dyDescent="0.2">
      <c r="A2" s="58"/>
      <c r="B2" s="60"/>
      <c r="C2" s="60"/>
      <c r="D2" s="60"/>
      <c r="E2" s="60"/>
      <c r="I2" t="s">
        <v>154</v>
      </c>
    </row>
    <row r="3" spans="1:13" x14ac:dyDescent="0.2">
      <c r="A3" s="25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  <c r="I3" s="9" t="s">
        <v>39</v>
      </c>
      <c r="J3" s="16" cm="1">
        <f t="array" ref="J3">AVERAGE(IF(Table65[Cumplimiento de Meta %]&gt;=100%,1,0))</f>
        <v>0.75</v>
      </c>
      <c r="L3" t="s">
        <v>41</v>
      </c>
      <c r="M3" s="18">
        <f>(COUNT(Table65[[#All],[Semana]])*7)/30</f>
        <v>0.93333333333333335</v>
      </c>
    </row>
    <row r="4" spans="1:13" x14ac:dyDescent="0.2">
      <c r="A4">
        <v>1</v>
      </c>
      <c r="B4" s="20">
        <v>45712</v>
      </c>
      <c r="C4" s="53">
        <v>1500</v>
      </c>
      <c r="D4" s="53">
        <v>1500</v>
      </c>
      <c r="E4" s="45">
        <f>D4/C4</f>
        <v>1</v>
      </c>
      <c r="F4" s="22">
        <f>IF(SUM($C$4:C4)-SUM($D$4:D4)&gt;0, (SUM($C$4:C4)-SUM($D$4:D4))/SUM($C$4:C4), 0)</f>
        <v>0</v>
      </c>
      <c r="G4" s="42">
        <f>D4-C4</f>
        <v>0</v>
      </c>
      <c r="I4" s="4"/>
      <c r="J4" s="4"/>
    </row>
    <row r="5" spans="1:13" x14ac:dyDescent="0.2">
      <c r="A5">
        <v>2</v>
      </c>
      <c r="B5" s="20">
        <v>45719</v>
      </c>
      <c r="C5" s="53">
        <v>3000</v>
      </c>
      <c r="D5" s="53">
        <v>3000</v>
      </c>
      <c r="E5" s="45">
        <f>D5/C5</f>
        <v>1</v>
      </c>
      <c r="F5" s="22">
        <f>IF(SUM($C$4:C5)-SUM($D$4:D5)&gt;0, (SUM($C$4:C5)-SUM($D$4:D5))/SUM($C$4:C5), 0)</f>
        <v>0</v>
      </c>
      <c r="G5" s="42">
        <f>D5-C5</f>
        <v>0</v>
      </c>
      <c r="I5" s="4" t="s">
        <v>21</v>
      </c>
      <c r="J5" s="4">
        <f>SUM(Table65[[#All],[Meta]])</f>
        <v>14400</v>
      </c>
    </row>
    <row r="6" spans="1:13" x14ac:dyDescent="0.2">
      <c r="A6">
        <v>3</v>
      </c>
      <c r="B6" s="20">
        <v>45726</v>
      </c>
      <c r="C6" s="53">
        <v>4200</v>
      </c>
      <c r="D6" s="53">
        <v>4200</v>
      </c>
      <c r="E6" s="45">
        <f>D6/C6</f>
        <v>1</v>
      </c>
      <c r="F6" s="22">
        <f>IF(SUM($C$4:C6)-SUM($D$4:D6)&gt;0, (SUM($C$4:C6)-SUM($D$4:D6))/SUM($C$4:C6), 0)</f>
        <v>0</v>
      </c>
      <c r="G6" s="42">
        <f>D6-C6</f>
        <v>0</v>
      </c>
      <c r="I6" s="4" t="s">
        <v>22</v>
      </c>
      <c r="J6" s="4">
        <f>SUM(Table65[[#All],[Cobranza]])</f>
        <v>8700</v>
      </c>
    </row>
    <row r="7" spans="1:13" x14ac:dyDescent="0.2">
      <c r="A7">
        <v>4</v>
      </c>
      <c r="B7" s="20">
        <v>45733</v>
      </c>
      <c r="C7" s="79">
        <v>5700</v>
      </c>
      <c r="D7" s="75"/>
      <c r="E7" s="70">
        <f>D7/C7</f>
        <v>0</v>
      </c>
      <c r="F7" s="22">
        <f>IF(SUM($C$4:C7)-SUM($D$4:D7)&gt;0, (SUM($C$4:C7)-SUM($D$4:D7))/SUM($C$4:C7), 0)</f>
        <v>0.39583333333333331</v>
      </c>
      <c r="G7" s="71">
        <f>D7-C7</f>
        <v>-5700</v>
      </c>
      <c r="I7" s="4" t="s">
        <v>23</v>
      </c>
      <c r="J7" s="4">
        <f>SUM(Table65[[#All],[Didiferencia Absoluta]])</f>
        <v>-5700</v>
      </c>
    </row>
    <row r="8" spans="1:13" x14ac:dyDescent="0.2">
      <c r="I8" t="s">
        <v>24</v>
      </c>
      <c r="J8" s="16">
        <f>(J7/J5)*-1</f>
        <v>0.39583333333333331</v>
      </c>
    </row>
  </sheetData>
  <mergeCells count="2">
    <mergeCell ref="A1:A2"/>
    <mergeCell ref="B1:E2"/>
  </mergeCells>
  <pageMargins left="0.7" right="0.7" top="0.75" bottom="0.75" header="0.3" footer="0.3"/>
  <tableParts count="1">
    <tablePart r:id="rId1"/>
  </tablePart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A2AF6-FDA5-D94B-B262-E06AA233CA45}">
  <dimension ref="A1:M9"/>
  <sheetViews>
    <sheetView workbookViewId="0">
      <selection activeCell="E18" sqref="E18"/>
    </sheetView>
  </sheetViews>
  <sheetFormatPr baseColWidth="10" defaultRowHeight="16" x14ac:dyDescent="0.2"/>
  <cols>
    <col min="2" max="2" width="11.83203125" customWidth="1"/>
    <col min="3" max="3" width="13.1640625" customWidth="1"/>
    <col min="4" max="4" width="13.5" customWidth="1"/>
    <col min="5" max="5" width="24" customWidth="1"/>
    <col min="6" max="6" width="13" customWidth="1"/>
    <col min="7" max="7" width="21.33203125" customWidth="1"/>
    <col min="9" max="9" width="26.1640625" bestFit="1" customWidth="1"/>
    <col min="12" max="12" width="17.33203125" bestFit="1" customWidth="1"/>
  </cols>
  <sheetData>
    <row r="1" spans="1:13" x14ac:dyDescent="0.2">
      <c r="A1" s="58" t="s">
        <v>147</v>
      </c>
      <c r="B1" s="55" t="s">
        <v>155</v>
      </c>
      <c r="C1" s="55"/>
      <c r="D1" s="55"/>
      <c r="E1" s="55"/>
    </row>
    <row r="2" spans="1:13" x14ac:dyDescent="0.2">
      <c r="A2" s="58"/>
      <c r="B2" s="60"/>
      <c r="C2" s="60"/>
      <c r="D2" s="60"/>
      <c r="E2" s="60"/>
      <c r="I2" t="s">
        <v>155</v>
      </c>
    </row>
    <row r="3" spans="1:13" x14ac:dyDescent="0.2">
      <c r="A3" s="25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  <c r="I3" s="9" t="s">
        <v>39</v>
      </c>
      <c r="J3" s="16" cm="1">
        <f t="array" ref="J3">AVERAGE(IF(Table66[Cumplimiento de Meta %]&gt;=100%,1,0))</f>
        <v>0.83333333333333337</v>
      </c>
      <c r="L3" t="s">
        <v>41</v>
      </c>
      <c r="M3" s="18">
        <f>(COUNT(Table66[[#All],[Semana]])*7)/30</f>
        <v>1.4</v>
      </c>
    </row>
    <row r="4" spans="1:13" x14ac:dyDescent="0.2">
      <c r="A4" s="43">
        <v>1</v>
      </c>
      <c r="B4" s="20">
        <v>45698</v>
      </c>
      <c r="C4" s="11">
        <v>0</v>
      </c>
      <c r="D4" s="11">
        <v>0</v>
      </c>
      <c r="E4" s="21">
        <v>1</v>
      </c>
      <c r="F4" s="22">
        <f>IF(SUM($C$4:C4)-SUM($D$4:D4)&gt;0, (SUM($C$4:C4)-SUM($D$4:D4))/SUM($C$4:C4), 0)</f>
        <v>0</v>
      </c>
      <c r="G4" s="42">
        <f>D4-C4</f>
        <v>0</v>
      </c>
      <c r="I4" s="4"/>
      <c r="J4" s="4"/>
    </row>
    <row r="5" spans="1:13" x14ac:dyDescent="0.2">
      <c r="A5" s="43">
        <v>2</v>
      </c>
      <c r="B5" s="20">
        <v>45705</v>
      </c>
      <c r="C5" s="11">
        <v>1200</v>
      </c>
      <c r="D5" s="11">
        <v>1200</v>
      </c>
      <c r="E5" s="21">
        <f t="shared" ref="E5:E6" si="0">D5/C5</f>
        <v>1</v>
      </c>
      <c r="F5" s="22">
        <f>IF(SUM($C$4:C5)-SUM($D$4:D5)&gt;0, (SUM($C$4:C5)-SUM($D$4:D5))/SUM($C$4:C5), 0)</f>
        <v>0</v>
      </c>
      <c r="G5" s="42">
        <f t="shared" ref="G5:G6" si="1">D5-C5</f>
        <v>0</v>
      </c>
      <c r="I5" s="4" t="s">
        <v>21</v>
      </c>
      <c r="J5" s="4">
        <f>SUM(Table66[[#All],[Meta]])</f>
        <v>10200</v>
      </c>
    </row>
    <row r="6" spans="1:13" x14ac:dyDescent="0.2">
      <c r="A6" s="43">
        <v>3</v>
      </c>
      <c r="B6" s="20">
        <v>45712</v>
      </c>
      <c r="C6" s="11">
        <v>2100</v>
      </c>
      <c r="D6" s="11">
        <v>2100</v>
      </c>
      <c r="E6" s="21">
        <f t="shared" si="0"/>
        <v>1</v>
      </c>
      <c r="F6" s="22">
        <f>IF(SUM($C$4:C6)-SUM($D$4:D6)&gt;0, (SUM($C$4:C6)-SUM($D$4:D6))/SUM($C$4:C6), 0)</f>
        <v>0</v>
      </c>
      <c r="G6" s="42">
        <f t="shared" si="1"/>
        <v>0</v>
      </c>
      <c r="I6" s="4" t="s">
        <v>22</v>
      </c>
      <c r="J6" s="4">
        <f>SUM(Table66[[#All],[Cobranza]])</f>
        <v>7800</v>
      </c>
    </row>
    <row r="7" spans="1:13" x14ac:dyDescent="0.2">
      <c r="A7" s="43">
        <v>4</v>
      </c>
      <c r="B7" s="20">
        <v>45719</v>
      </c>
      <c r="C7" s="11">
        <v>2100</v>
      </c>
      <c r="D7" s="11">
        <v>2100</v>
      </c>
      <c r="E7" s="21">
        <f>D7/C7</f>
        <v>1</v>
      </c>
      <c r="F7" s="22">
        <f>IF(SUM($C$4:C7)-SUM($D$4:D7)&gt;0, (SUM($C$4:C7)-SUM($D$4:D7))/SUM($C$4:C7), 0)</f>
        <v>0</v>
      </c>
      <c r="G7" s="42">
        <f>D7-C7</f>
        <v>0</v>
      </c>
      <c r="I7" s="4" t="s">
        <v>23</v>
      </c>
      <c r="J7" s="4">
        <f>SUM(Table66[[#All],[Didiferencia Absoluta]])</f>
        <v>-2400</v>
      </c>
    </row>
    <row r="8" spans="1:13" x14ac:dyDescent="0.2">
      <c r="A8" s="43">
        <v>5</v>
      </c>
      <c r="B8" s="20">
        <v>45726</v>
      </c>
      <c r="C8" s="11">
        <v>2400</v>
      </c>
      <c r="D8" s="11">
        <v>2400</v>
      </c>
      <c r="E8" s="21">
        <f>D8/C8</f>
        <v>1</v>
      </c>
      <c r="F8" s="22">
        <f>IF(SUM($C$4:C8)-SUM($D$4:D8)&gt;0, (SUM($C$4:C8)-SUM($D$4:D8))/SUM($C$4:C8), 0)</f>
        <v>0</v>
      </c>
      <c r="G8" s="42">
        <f>D8-C8</f>
        <v>0</v>
      </c>
      <c r="I8" t="s">
        <v>24</v>
      </c>
      <c r="J8" s="16">
        <f>(J7/J5)*-1</f>
        <v>0.23529411764705882</v>
      </c>
    </row>
    <row r="9" spans="1:13" x14ac:dyDescent="0.2">
      <c r="A9" s="43">
        <v>6</v>
      </c>
      <c r="B9" s="20">
        <v>45733</v>
      </c>
      <c r="C9" s="11">
        <v>2400</v>
      </c>
      <c r="D9" s="11"/>
      <c r="E9" s="64">
        <f>D9/C9</f>
        <v>0</v>
      </c>
      <c r="F9" s="22">
        <f>IF(SUM($C$4:C9)-SUM($D$4:D9)&gt;0, (SUM($C$4:C9)-SUM($D$4:D9))/SUM($C$4:C9), 0)</f>
        <v>0.23529411764705882</v>
      </c>
      <c r="G9" s="69">
        <f>D9-C9</f>
        <v>-2400</v>
      </c>
    </row>
  </sheetData>
  <mergeCells count="2">
    <mergeCell ref="A1:A2"/>
    <mergeCell ref="B1:E2"/>
  </mergeCells>
  <pageMargins left="0.7" right="0.7" top="0.75" bottom="0.75" header="0.3" footer="0.3"/>
  <tableParts count="1">
    <tablePart r:id="rId1"/>
  </tablePart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A4C57-90A3-E34D-A1FF-DD9C00AC20F3}">
  <dimension ref="A1:M8"/>
  <sheetViews>
    <sheetView workbookViewId="0">
      <selection activeCell="F4" sqref="F4"/>
    </sheetView>
  </sheetViews>
  <sheetFormatPr baseColWidth="10" defaultRowHeight="16" x14ac:dyDescent="0.2"/>
  <cols>
    <col min="4" max="4" width="11.33203125" customWidth="1"/>
    <col min="5" max="5" width="24" customWidth="1"/>
    <col min="6" max="6" width="13" customWidth="1"/>
    <col min="7" max="7" width="21.33203125" customWidth="1"/>
    <col min="9" max="9" width="26.1640625" bestFit="1" customWidth="1"/>
    <col min="10" max="10" width="11.1640625" bestFit="1" customWidth="1"/>
    <col min="12" max="12" width="17.33203125" bestFit="1" customWidth="1"/>
  </cols>
  <sheetData>
    <row r="1" spans="1:13" x14ac:dyDescent="0.2">
      <c r="A1" s="58" t="s">
        <v>146</v>
      </c>
      <c r="B1" s="55" t="s">
        <v>161</v>
      </c>
      <c r="C1" s="55"/>
      <c r="D1" s="55"/>
      <c r="E1" s="55"/>
    </row>
    <row r="2" spans="1:13" x14ac:dyDescent="0.2">
      <c r="A2" s="58"/>
      <c r="B2" s="60"/>
      <c r="C2" s="60"/>
      <c r="D2" s="60"/>
      <c r="E2" s="60"/>
      <c r="I2" t="s">
        <v>161</v>
      </c>
    </row>
    <row r="3" spans="1:13" x14ac:dyDescent="0.2">
      <c r="A3" s="25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  <c r="I3" s="9" t="s">
        <v>39</v>
      </c>
      <c r="J3" s="16" cm="1">
        <f t="array" ref="J3">AVERAGE(IF(Table67[Cumplimiento de Meta %]&gt;=100%,1,0))</f>
        <v>0.66666666666666663</v>
      </c>
      <c r="L3" t="s">
        <v>41</v>
      </c>
      <c r="M3" s="18">
        <f>(COUNT(Table67[[#All],[Semana]])*7)/30</f>
        <v>0.7</v>
      </c>
    </row>
    <row r="4" spans="1:13" x14ac:dyDescent="0.2">
      <c r="A4" s="43">
        <v>1</v>
      </c>
      <c r="B4" s="20">
        <v>45719</v>
      </c>
      <c r="C4" s="4">
        <v>600</v>
      </c>
      <c r="D4" s="4">
        <v>600</v>
      </c>
      <c r="E4" s="45">
        <f t="shared" ref="E4:E5" si="0">D4/C4</f>
        <v>1</v>
      </c>
      <c r="F4" s="22">
        <f>IF(SUM($C$4:C4)-SUM($D$4:D4)&gt;0, (SUM($C$4:C4)-SUM($D$4:D4))/SUM($C$4:C4), 0)</f>
        <v>0</v>
      </c>
      <c r="G4" s="42">
        <f>D4-C4</f>
        <v>0</v>
      </c>
      <c r="I4" s="4"/>
      <c r="J4" s="4"/>
    </row>
    <row r="5" spans="1:13" x14ac:dyDescent="0.2">
      <c r="A5" s="43">
        <v>2</v>
      </c>
      <c r="B5" s="20">
        <v>45726</v>
      </c>
      <c r="C5" s="4">
        <v>1800</v>
      </c>
      <c r="D5" s="4">
        <v>1800</v>
      </c>
      <c r="E5" s="45">
        <f t="shared" si="0"/>
        <v>1</v>
      </c>
      <c r="F5" s="22">
        <f>IF(SUM($C$4:C5)-SUM($D$4:D5)&gt;0, (SUM($C$4:C5)-SUM($D$4:D5))/SUM($C$4:C5), 0)</f>
        <v>0</v>
      </c>
      <c r="G5" s="42">
        <f>D5-C5</f>
        <v>0</v>
      </c>
      <c r="I5" s="4" t="s">
        <v>21</v>
      </c>
      <c r="J5" s="4">
        <f>SUM(Table67[[#All],[Meta]])</f>
        <v>4800</v>
      </c>
    </row>
    <row r="6" spans="1:13" x14ac:dyDescent="0.2">
      <c r="A6" s="43">
        <v>3</v>
      </c>
      <c r="B6" s="20">
        <v>45733</v>
      </c>
      <c r="C6" s="4">
        <v>2400</v>
      </c>
      <c r="D6" s="4"/>
      <c r="E6" s="70">
        <f>D6/C6</f>
        <v>0</v>
      </c>
      <c r="F6" s="22">
        <f>IF(SUM($C$4:C6)-SUM($D$4:D6)&gt;0, (SUM($C$4:C6)-SUM($D$4:D6))/SUM($C$4:C6), 0)</f>
        <v>0.5</v>
      </c>
      <c r="G6" s="69">
        <f>D6-C6</f>
        <v>-2400</v>
      </c>
      <c r="I6" s="4" t="s">
        <v>22</v>
      </c>
      <c r="J6" s="4">
        <f>SUM(Table67[[#All],[Cobranza]])</f>
        <v>2400</v>
      </c>
    </row>
    <row r="7" spans="1:13" x14ac:dyDescent="0.2">
      <c r="I7" s="4" t="s">
        <v>23</v>
      </c>
      <c r="J7" s="4">
        <f>SUM(Table67[[#All],[Didiferencia Absoluta]])</f>
        <v>-2400</v>
      </c>
    </row>
    <row r="8" spans="1:13" x14ac:dyDescent="0.2">
      <c r="I8" t="s">
        <v>24</v>
      </c>
      <c r="J8" s="16">
        <f>(J7/J5)*-1</f>
        <v>0.5</v>
      </c>
    </row>
  </sheetData>
  <mergeCells count="2">
    <mergeCell ref="A1:A2"/>
    <mergeCell ref="B1:E2"/>
  </mergeCells>
  <pageMargins left="0.7" right="0.7" top="0.75" bottom="0.75" header="0.3" footer="0.3"/>
  <tableParts count="1">
    <tablePart r:id="rId1"/>
  </tablePart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15F80-FDCD-274E-8114-A046276311B1}">
  <dimension ref="A1:I6"/>
  <sheetViews>
    <sheetView workbookViewId="0">
      <selection activeCell="G13" sqref="G13"/>
    </sheetView>
  </sheetViews>
  <sheetFormatPr baseColWidth="10" defaultRowHeight="16" x14ac:dyDescent="0.2"/>
  <cols>
    <col min="3" max="3" width="16.83203125" customWidth="1"/>
    <col min="4" max="4" width="11.33203125" customWidth="1"/>
    <col min="5" max="5" width="24" customWidth="1"/>
    <col min="6" max="6" width="13" customWidth="1"/>
    <col min="7" max="7" width="21.33203125" customWidth="1"/>
  </cols>
  <sheetData>
    <row r="1" spans="1:9" x14ac:dyDescent="0.2">
      <c r="A1" s="58" t="s">
        <v>145</v>
      </c>
      <c r="B1" s="55" t="s">
        <v>162</v>
      </c>
      <c r="C1" s="55"/>
      <c r="D1" s="55"/>
      <c r="E1" s="55"/>
    </row>
    <row r="2" spans="1:9" x14ac:dyDescent="0.2">
      <c r="A2" s="58"/>
      <c r="B2" s="60"/>
      <c r="C2" s="60"/>
      <c r="D2" s="60"/>
      <c r="E2" s="60"/>
      <c r="I2" t="s">
        <v>162</v>
      </c>
    </row>
    <row r="3" spans="1:9" x14ac:dyDescent="0.2">
      <c r="A3" s="25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</row>
    <row r="4" spans="1:9" x14ac:dyDescent="0.2">
      <c r="A4">
        <v>1</v>
      </c>
    </row>
    <row r="5" spans="1:9" x14ac:dyDescent="0.2">
      <c r="A5">
        <v>2</v>
      </c>
    </row>
    <row r="6" spans="1:9" x14ac:dyDescent="0.2">
      <c r="A6">
        <v>3</v>
      </c>
    </row>
  </sheetData>
  <mergeCells count="2">
    <mergeCell ref="A1:A2"/>
    <mergeCell ref="B1:E2"/>
  </mergeCells>
  <pageMargins left="0.7" right="0.7" top="0.75" bottom="0.75" header="0.3" footer="0.3"/>
  <tableParts count="1">
    <tablePart r:id="rId1"/>
  </tablePart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05D1C-FC5C-144B-B9A4-3F60D3B9BB98}">
  <dimension ref="A1:I5"/>
  <sheetViews>
    <sheetView workbookViewId="0">
      <selection activeCell="G12" sqref="G12"/>
    </sheetView>
  </sheetViews>
  <sheetFormatPr baseColWidth="10" defaultRowHeight="16" x14ac:dyDescent="0.2"/>
  <cols>
    <col min="4" max="4" width="15.5" customWidth="1"/>
    <col min="5" max="5" width="26.5" customWidth="1"/>
    <col min="6" max="6" width="13" customWidth="1"/>
    <col min="7" max="7" width="21.33203125" customWidth="1"/>
  </cols>
  <sheetData>
    <row r="1" spans="1:9" x14ac:dyDescent="0.2">
      <c r="A1" s="58" t="s">
        <v>144</v>
      </c>
      <c r="B1" s="55" t="s">
        <v>163</v>
      </c>
      <c r="C1" s="55"/>
      <c r="D1" s="55"/>
      <c r="E1" s="55"/>
    </row>
    <row r="2" spans="1:9" x14ac:dyDescent="0.2">
      <c r="A2" s="58"/>
      <c r="B2" s="60"/>
      <c r="C2" s="60"/>
      <c r="D2" s="60"/>
      <c r="E2" s="60"/>
      <c r="I2" t="s">
        <v>163</v>
      </c>
    </row>
    <row r="3" spans="1:9" x14ac:dyDescent="0.2">
      <c r="A3" s="25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</row>
    <row r="4" spans="1:9" x14ac:dyDescent="0.2">
      <c r="A4">
        <v>1</v>
      </c>
    </row>
    <row r="5" spans="1:9" x14ac:dyDescent="0.2">
      <c r="A5">
        <v>2</v>
      </c>
    </row>
  </sheetData>
  <mergeCells count="2">
    <mergeCell ref="A1:A2"/>
    <mergeCell ref="B1:E2"/>
  </mergeCells>
  <pageMargins left="0.7" right="0.7" top="0.75" bottom="0.75" header="0.3" footer="0.3"/>
  <tableParts count="1">
    <tablePart r:id="rId1"/>
  </tablePart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3C54E-FCA2-CD4D-B5B0-58138D8C5DBB}">
  <dimension ref="A1:M8"/>
  <sheetViews>
    <sheetView workbookViewId="0">
      <selection activeCell="B7" sqref="B7"/>
    </sheetView>
  </sheetViews>
  <sheetFormatPr baseColWidth="10" defaultRowHeight="16" x14ac:dyDescent="0.2"/>
  <cols>
    <col min="4" max="4" width="13.33203125" customWidth="1"/>
    <col min="5" max="5" width="24" customWidth="1"/>
    <col min="6" max="6" width="13" customWidth="1"/>
    <col min="7" max="7" width="21.33203125" customWidth="1"/>
    <col min="9" max="9" width="31.33203125" bestFit="1" customWidth="1"/>
    <col min="10" max="10" width="11.1640625" bestFit="1" customWidth="1"/>
    <col min="12" max="12" width="17.33203125" bestFit="1" customWidth="1"/>
  </cols>
  <sheetData>
    <row r="1" spans="1:13" x14ac:dyDescent="0.2">
      <c r="A1" s="58" t="s">
        <v>143</v>
      </c>
      <c r="B1" s="55" t="s">
        <v>164</v>
      </c>
      <c r="C1" s="55"/>
      <c r="D1" s="55"/>
      <c r="E1" s="55"/>
    </row>
    <row r="2" spans="1:13" x14ac:dyDescent="0.2">
      <c r="A2" s="58"/>
      <c r="B2" s="60"/>
      <c r="C2" s="60"/>
      <c r="D2" s="60"/>
      <c r="E2" s="60"/>
      <c r="I2" t="s">
        <v>164</v>
      </c>
    </row>
    <row r="3" spans="1:13" x14ac:dyDescent="0.2">
      <c r="A3" s="25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  <c r="I3" s="9" t="s">
        <v>39</v>
      </c>
      <c r="J3" s="16" cm="1">
        <f t="array" ref="J3">AVERAGE(IF(Table72[Cumplimiento de Meta %]&gt;=100%,1,0))</f>
        <v>0.75</v>
      </c>
      <c r="L3" t="s">
        <v>41</v>
      </c>
      <c r="M3" s="18">
        <f>(COUNT(Table72[[#All],[Semana]])*7)/30</f>
        <v>0.93333333333333335</v>
      </c>
    </row>
    <row r="4" spans="1:13" x14ac:dyDescent="0.2">
      <c r="A4">
        <v>1</v>
      </c>
      <c r="B4" s="20">
        <v>45712</v>
      </c>
      <c r="C4" s="4">
        <v>0</v>
      </c>
      <c r="D4" s="4">
        <v>0</v>
      </c>
      <c r="E4" s="5">
        <v>1</v>
      </c>
      <c r="F4" s="22">
        <f>IF(SUM($C$4:C4)-SUM($D$4:D4)&gt;0, (SUM($C$4:C4)-SUM($D$4:D4))/SUM($C$4:C4), 0)</f>
        <v>0</v>
      </c>
      <c r="G4">
        <v>0</v>
      </c>
      <c r="I4" s="4"/>
      <c r="J4" s="4"/>
    </row>
    <row r="5" spans="1:13" x14ac:dyDescent="0.2">
      <c r="A5">
        <v>2</v>
      </c>
      <c r="B5" s="20">
        <v>45719</v>
      </c>
      <c r="C5" s="4">
        <v>1500</v>
      </c>
      <c r="D5" s="4">
        <v>1500</v>
      </c>
      <c r="E5" s="21">
        <f>D5/C5</f>
        <v>1</v>
      </c>
      <c r="F5" s="22">
        <f>IF(SUM($C$4:C5)-SUM($D$4:D5)&gt;0, (SUM($C$4:C5)-SUM($D$4:D5))/SUM($C$4:C5), 0)</f>
        <v>0</v>
      </c>
      <c r="G5" s="42">
        <f>D5-C5</f>
        <v>0</v>
      </c>
      <c r="I5" s="4" t="s">
        <v>21</v>
      </c>
      <c r="J5" s="4">
        <f>SUM(Table72[[#All],[Meta]])</f>
        <v>8850</v>
      </c>
    </row>
    <row r="6" spans="1:13" x14ac:dyDescent="0.2">
      <c r="A6">
        <v>3</v>
      </c>
      <c r="B6" s="20">
        <v>45726</v>
      </c>
      <c r="C6" s="4">
        <v>3000</v>
      </c>
      <c r="D6" s="4">
        <v>3000</v>
      </c>
      <c r="E6" s="21">
        <f>D6/C6</f>
        <v>1</v>
      </c>
      <c r="F6" s="22">
        <f>IF(SUM($C$4:C6)-SUM($D$4:D6)&gt;0, (SUM($C$4:C6)-SUM($D$4:D6))/SUM($C$4:C6), 0)</f>
        <v>0</v>
      </c>
      <c r="G6" s="42">
        <f>D6-C6</f>
        <v>0</v>
      </c>
      <c r="I6" s="4" t="s">
        <v>22</v>
      </c>
      <c r="J6" s="4">
        <f>SUM(Table72[[#All],[Cobranza]])</f>
        <v>4500</v>
      </c>
    </row>
    <row r="7" spans="1:13" x14ac:dyDescent="0.2">
      <c r="A7">
        <v>4</v>
      </c>
      <c r="B7" s="20">
        <v>45733</v>
      </c>
      <c r="C7" s="4">
        <v>4350</v>
      </c>
      <c r="D7" s="4"/>
      <c r="E7" s="80">
        <f>D7/C7</f>
        <v>0</v>
      </c>
      <c r="F7" s="22">
        <f>IF(SUM($C$4:C7)-SUM($D$4:D7)&gt;0, (SUM($C$4:C7)-SUM($D$4:D7))/SUM($C$4:C7), 0)</f>
        <v>0.49152542372881358</v>
      </c>
      <c r="G7" s="78">
        <f>D7-C7</f>
        <v>-4350</v>
      </c>
      <c r="I7" s="4" t="s">
        <v>23</v>
      </c>
      <c r="J7" s="4">
        <f>SUM(Table72[[#All],[Didiferencia Absoluta]])</f>
        <v>-4350</v>
      </c>
    </row>
    <row r="8" spans="1:13" x14ac:dyDescent="0.2">
      <c r="I8" t="s">
        <v>24</v>
      </c>
      <c r="J8" s="16">
        <f>(J7/J5)*-1</f>
        <v>0.49152542372881358</v>
      </c>
    </row>
  </sheetData>
  <mergeCells count="2">
    <mergeCell ref="A1:A2"/>
    <mergeCell ref="B1:E2"/>
  </mergeCells>
  <pageMargins left="0.7" right="0.7" top="0.75" bottom="0.75" header="0.3" footer="0.3"/>
  <tableParts count="1">
    <tablePart r:id="rId1"/>
  </tablePart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E774-4F42-DC41-A49A-6ECB83D4790E}">
  <dimension ref="A1:M8"/>
  <sheetViews>
    <sheetView workbookViewId="0">
      <selection activeCell="F4" sqref="F4"/>
    </sheetView>
  </sheetViews>
  <sheetFormatPr baseColWidth="10" defaultRowHeight="16" x14ac:dyDescent="0.2"/>
  <cols>
    <col min="4" max="4" width="13.83203125" customWidth="1"/>
    <col min="5" max="5" width="24" customWidth="1"/>
    <col min="6" max="6" width="13" customWidth="1"/>
    <col min="7" max="7" width="21.33203125" customWidth="1"/>
    <col min="9" max="9" width="25.1640625" customWidth="1"/>
    <col min="12" max="12" width="17.33203125" bestFit="1" customWidth="1"/>
  </cols>
  <sheetData>
    <row r="1" spans="1:13" x14ac:dyDescent="0.2">
      <c r="A1" s="58" t="s">
        <v>142</v>
      </c>
      <c r="B1" s="55" t="s">
        <v>165</v>
      </c>
      <c r="C1" s="55"/>
      <c r="D1" s="55"/>
      <c r="E1" s="55"/>
    </row>
    <row r="2" spans="1:13" x14ac:dyDescent="0.2">
      <c r="A2" s="58"/>
      <c r="B2" s="60"/>
      <c r="C2" s="60"/>
      <c r="D2" s="60"/>
      <c r="E2" s="60"/>
      <c r="I2" t="s">
        <v>165</v>
      </c>
    </row>
    <row r="3" spans="1:13" x14ac:dyDescent="0.2">
      <c r="A3" s="25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  <c r="I3" s="9" t="s">
        <v>39</v>
      </c>
      <c r="J3" s="16" cm="1">
        <f t="array" ref="J3">AVERAGE(IF(Table73[Cumplimiento de Meta %]&gt;=100%,1,0))</f>
        <v>0.5</v>
      </c>
      <c r="L3" t="s">
        <v>41</v>
      </c>
      <c r="M3" s="18">
        <f>(COUNT(Table73[[#All],[Semana]])*7)/30</f>
        <v>0.46666666666666667</v>
      </c>
    </row>
    <row r="4" spans="1:13" x14ac:dyDescent="0.2">
      <c r="A4">
        <v>1</v>
      </c>
      <c r="B4" s="20">
        <v>45726</v>
      </c>
      <c r="C4" s="4">
        <v>900</v>
      </c>
      <c r="D4" s="4">
        <v>900</v>
      </c>
      <c r="E4" s="45">
        <f>D4/C4</f>
        <v>1</v>
      </c>
      <c r="F4" s="22">
        <f>IF(SUM($C$4:C4)-SUM($D$4:D4)&gt;0, (SUM($C$4:C4)-SUM($D$4:D4))/SUM($C$4:C4), 0)</f>
        <v>0</v>
      </c>
      <c r="G4" s="42">
        <f>D4-C4</f>
        <v>0</v>
      </c>
      <c r="I4" s="4"/>
      <c r="J4" s="4"/>
    </row>
    <row r="5" spans="1:13" x14ac:dyDescent="0.2">
      <c r="A5" s="77">
        <v>2</v>
      </c>
      <c r="B5" s="81">
        <v>45733</v>
      </c>
      <c r="C5" s="76">
        <v>2400</v>
      </c>
      <c r="D5" s="76"/>
      <c r="E5" s="82">
        <f>D5/C5</f>
        <v>0</v>
      </c>
      <c r="F5" s="22">
        <f>IF(SUM($C$4:C5)-SUM($D$4:D5)&gt;0, (SUM($C$4:C5)-SUM($D$4:D5))/SUM($C$4:C5), 0)</f>
        <v>0.72727272727272729</v>
      </c>
      <c r="G5" s="83">
        <f>D5-C5</f>
        <v>-2400</v>
      </c>
      <c r="I5" s="4" t="s">
        <v>21</v>
      </c>
      <c r="J5" s="4">
        <f>SUM(Table73[[#All],[Meta]])</f>
        <v>3300</v>
      </c>
    </row>
    <row r="6" spans="1:13" x14ac:dyDescent="0.2">
      <c r="I6" s="4" t="s">
        <v>22</v>
      </c>
      <c r="J6" s="4">
        <f>SUM(Table73[[#All],[Cobranza]])</f>
        <v>900</v>
      </c>
    </row>
    <row r="7" spans="1:13" x14ac:dyDescent="0.2">
      <c r="I7" s="4" t="s">
        <v>23</v>
      </c>
      <c r="J7" s="4">
        <f>SUM(Table73[[#All],[Didiferencia Absoluta]])</f>
        <v>-2400</v>
      </c>
    </row>
    <row r="8" spans="1:13" x14ac:dyDescent="0.2">
      <c r="I8" t="s">
        <v>24</v>
      </c>
      <c r="J8" s="16">
        <f>(J7/J5)*-1</f>
        <v>0.72727272727272729</v>
      </c>
    </row>
  </sheetData>
  <mergeCells count="2">
    <mergeCell ref="A1:A2"/>
    <mergeCell ref="B1:E2"/>
  </mergeCells>
  <pageMargins left="0.7" right="0.7" top="0.75" bottom="0.75" header="0.3" footer="0.3"/>
  <tableParts count="1">
    <tablePart r:id="rId1"/>
  </tablePart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D5083-A415-C646-BE6F-F67A5271A5A1}">
  <dimension ref="A1:M8"/>
  <sheetViews>
    <sheetView workbookViewId="0">
      <selection activeCell="A5" sqref="A5:B5"/>
    </sheetView>
  </sheetViews>
  <sheetFormatPr baseColWidth="10" defaultRowHeight="16" x14ac:dyDescent="0.2"/>
  <cols>
    <col min="4" max="4" width="11.33203125" customWidth="1"/>
    <col min="5" max="5" width="24" customWidth="1"/>
    <col min="6" max="6" width="13" customWidth="1"/>
    <col min="7" max="7" width="21.33203125" customWidth="1"/>
    <col min="9" max="9" width="26.1640625" bestFit="1" customWidth="1"/>
    <col min="12" max="12" width="17.33203125" bestFit="1" customWidth="1"/>
  </cols>
  <sheetData>
    <row r="1" spans="1:13" x14ac:dyDescent="0.2">
      <c r="A1" s="58" t="s">
        <v>166</v>
      </c>
      <c r="B1" s="55" t="s">
        <v>169</v>
      </c>
      <c r="C1" s="55"/>
      <c r="D1" s="55"/>
      <c r="E1" s="55"/>
    </row>
    <row r="2" spans="1:13" x14ac:dyDescent="0.2">
      <c r="A2" s="58"/>
      <c r="B2" s="60"/>
      <c r="C2" s="60"/>
      <c r="D2" s="60"/>
      <c r="E2" s="60"/>
      <c r="I2" t="s">
        <v>169</v>
      </c>
    </row>
    <row r="3" spans="1:13" x14ac:dyDescent="0.2">
      <c r="A3" s="25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  <c r="I3" s="9" t="s">
        <v>39</v>
      </c>
      <c r="J3" s="16" cm="1">
        <f t="array" ref="J3">AVERAGE(IF(Table74[Cumplimiento de Meta %]&gt;=100%,1,0))</f>
        <v>0.5</v>
      </c>
      <c r="L3" t="s">
        <v>41</v>
      </c>
      <c r="M3" s="18">
        <f>(COUNT(Table74[[#All],[Semana]])*7)/30</f>
        <v>0.46666666666666667</v>
      </c>
    </row>
    <row r="4" spans="1:13" x14ac:dyDescent="0.2">
      <c r="A4">
        <v>1</v>
      </c>
      <c r="B4" s="20">
        <v>45726</v>
      </c>
      <c r="C4" s="4">
        <v>900</v>
      </c>
      <c r="D4" s="4">
        <v>900</v>
      </c>
      <c r="E4" s="50">
        <f>D4/C4</f>
        <v>1</v>
      </c>
      <c r="F4" s="22">
        <f>IF(SUM($C$4:C4)-SUM($D$4:D4)&gt;0, (SUM($C$4:C4)-SUM($D$4:D4))/SUM($C$4:C4), 0)</f>
        <v>0</v>
      </c>
      <c r="G4" s="51">
        <f>D4-C4</f>
        <v>0</v>
      </c>
      <c r="I4" s="4"/>
      <c r="J4" s="4"/>
    </row>
    <row r="5" spans="1:13" x14ac:dyDescent="0.2">
      <c r="A5" s="77">
        <v>2</v>
      </c>
      <c r="B5" s="81">
        <v>45733</v>
      </c>
      <c r="C5" s="76">
        <v>1200</v>
      </c>
      <c r="D5" s="76"/>
      <c r="E5" s="50">
        <f>D5/C5</f>
        <v>0</v>
      </c>
      <c r="F5" s="22">
        <f>IF(SUM($C$4:C5)-SUM($D$4:D5)&gt;0, (SUM($C$4:C5)-SUM($D$4:D5))/SUM($C$4:C5), 0)</f>
        <v>0.5714285714285714</v>
      </c>
      <c r="G5" s="51">
        <f>D5-C5</f>
        <v>-1200</v>
      </c>
      <c r="I5" s="4" t="s">
        <v>21</v>
      </c>
      <c r="J5" s="4">
        <f>SUM(Table74[[#All],[Meta]])</f>
        <v>2100</v>
      </c>
    </row>
    <row r="6" spans="1:13" x14ac:dyDescent="0.2">
      <c r="I6" s="4" t="s">
        <v>22</v>
      </c>
      <c r="J6" s="4">
        <f>SUM(Table74[[#All],[Cobranza]])</f>
        <v>900</v>
      </c>
    </row>
    <row r="7" spans="1:13" x14ac:dyDescent="0.2">
      <c r="I7" s="4" t="s">
        <v>23</v>
      </c>
      <c r="J7" s="4">
        <f>SUM(Table74[[#All],[Didiferencia Absoluta]])</f>
        <v>-1200</v>
      </c>
    </row>
    <row r="8" spans="1:13" x14ac:dyDescent="0.2">
      <c r="I8" t="s">
        <v>24</v>
      </c>
      <c r="J8" s="16">
        <f>(J7/J5)*-1</f>
        <v>0.5714285714285714</v>
      </c>
    </row>
  </sheetData>
  <mergeCells count="2">
    <mergeCell ref="A1:A2"/>
    <mergeCell ref="B1:E2"/>
  </mergeCells>
  <pageMargins left="0.7" right="0.7" top="0.75" bottom="0.75" header="0.3" footer="0.3"/>
  <tableParts count="1">
    <tablePart r:id="rId1"/>
  </tableParts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7C744-5530-A04F-ADF8-F30D882F8D10}">
  <dimension ref="A1:M8"/>
  <sheetViews>
    <sheetView tabSelected="1" workbookViewId="0">
      <selection activeCell="E18" sqref="E18"/>
    </sheetView>
  </sheetViews>
  <sheetFormatPr baseColWidth="10" defaultRowHeight="16" x14ac:dyDescent="0.2"/>
  <cols>
    <col min="4" max="4" width="11.33203125" customWidth="1"/>
    <col min="5" max="5" width="24" customWidth="1"/>
    <col min="6" max="6" width="13" customWidth="1"/>
    <col min="7" max="7" width="21.33203125" customWidth="1"/>
    <col min="9" max="9" width="26.1640625" bestFit="1" customWidth="1"/>
    <col min="10" max="10" width="11.1640625" bestFit="1" customWidth="1"/>
  </cols>
  <sheetData>
    <row r="1" spans="1:13" x14ac:dyDescent="0.2">
      <c r="A1" s="58" t="s">
        <v>167</v>
      </c>
      <c r="B1" s="55" t="s">
        <v>170</v>
      </c>
      <c r="C1" s="55"/>
      <c r="D1" s="55"/>
      <c r="E1" s="55"/>
    </row>
    <row r="2" spans="1:13" x14ac:dyDescent="0.2">
      <c r="A2" s="58"/>
      <c r="B2" s="60"/>
      <c r="C2" s="60"/>
      <c r="D2" s="60"/>
      <c r="E2" s="60"/>
      <c r="I2" t="s">
        <v>170</v>
      </c>
    </row>
    <row r="3" spans="1:13" x14ac:dyDescent="0.2">
      <c r="A3" s="25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  <c r="I3" s="9" t="s">
        <v>39</v>
      </c>
      <c r="J3" s="16" cm="1">
        <f t="array" ref="J3">AVERAGE(IF(Table75[Cumplimiento de Meta %]&gt;=100%,1,0))</f>
        <v>0.5</v>
      </c>
      <c r="L3" t="s">
        <v>41</v>
      </c>
      <c r="M3" s="18">
        <f>(COUNT(Table75[[#All],[Semana]])*7)/30</f>
        <v>0.46666666666666667</v>
      </c>
    </row>
    <row r="4" spans="1:13" x14ac:dyDescent="0.2">
      <c r="A4" s="47">
        <v>1</v>
      </c>
      <c r="B4" s="48">
        <v>45726</v>
      </c>
      <c r="C4" s="85">
        <v>1500</v>
      </c>
      <c r="D4" s="85">
        <v>1500</v>
      </c>
      <c r="E4" s="50">
        <f>D4/C4</f>
        <v>1</v>
      </c>
      <c r="F4" s="54">
        <f>IF(SUM($C$4:C5)-SUM($D$4:D5)&gt;0, (SUM($C$4:C5)-SUM($D$4:D5))/SUM($C$4:C5), 0)</f>
        <v>0.6428571428571429</v>
      </c>
      <c r="G4" s="51">
        <f>D4-C4</f>
        <v>0</v>
      </c>
      <c r="I4" s="4"/>
      <c r="J4" s="4"/>
    </row>
    <row r="5" spans="1:13" x14ac:dyDescent="0.2">
      <c r="A5" s="84">
        <v>2</v>
      </c>
      <c r="B5" s="81">
        <v>45733</v>
      </c>
      <c r="C5" s="49">
        <v>2700</v>
      </c>
      <c r="D5" s="49"/>
      <c r="E5" s="73">
        <f>D5/C5</f>
        <v>0</v>
      </c>
      <c r="F5" s="54">
        <f>IF(SUM($C$4:C6)-SUM($D$4:D6)&gt;0, (SUM($C$4:C6)-SUM($D$4:D6))/SUM($C$4:C6), 0)</f>
        <v>0.6428571428571429</v>
      </c>
      <c r="G5" s="74">
        <f>D5-C5</f>
        <v>-2700</v>
      </c>
      <c r="I5" s="4" t="s">
        <v>21</v>
      </c>
      <c r="J5" s="4">
        <f>SUM(Table75[[#All],[Meta]])</f>
        <v>4200</v>
      </c>
    </row>
    <row r="6" spans="1:13" x14ac:dyDescent="0.2">
      <c r="I6" s="4" t="s">
        <v>22</v>
      </c>
      <c r="J6" s="4">
        <f>SUM(Table75[[#All],[Cobranza]])</f>
        <v>1500</v>
      </c>
    </row>
    <row r="7" spans="1:13" x14ac:dyDescent="0.2">
      <c r="I7" s="4" t="s">
        <v>23</v>
      </c>
      <c r="J7" s="4">
        <f>SUM(Table75[[#All],[Didiferencia Absoluta]])</f>
        <v>-2700</v>
      </c>
    </row>
    <row r="8" spans="1:13" x14ac:dyDescent="0.2">
      <c r="I8" t="s">
        <v>24</v>
      </c>
      <c r="J8" s="16">
        <f>(J7/J5)*-1</f>
        <v>0.6428571428571429</v>
      </c>
    </row>
  </sheetData>
  <mergeCells count="2">
    <mergeCell ref="A1:A2"/>
    <mergeCell ref="B1:E2"/>
  </mergeCells>
  <pageMargins left="0.7" right="0.7" top="0.75" bottom="0.75" header="0.3" footer="0.3"/>
  <tableParts count="1">
    <tablePart r:id="rId1"/>
  </tableParts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4DD74-9545-9740-BD95-12F2BFA71894}">
  <dimension ref="A1:G3"/>
  <sheetViews>
    <sheetView workbookViewId="0">
      <selection activeCell="A3" sqref="A3"/>
    </sheetView>
  </sheetViews>
  <sheetFormatPr baseColWidth="10" defaultRowHeight="16" x14ac:dyDescent="0.2"/>
  <sheetData>
    <row r="1" spans="1:7" x14ac:dyDescent="0.2">
      <c r="A1" s="58" t="s">
        <v>168</v>
      </c>
      <c r="B1" s="55"/>
      <c r="C1" s="55"/>
      <c r="D1" s="55"/>
      <c r="E1" s="55"/>
    </row>
    <row r="2" spans="1:7" x14ac:dyDescent="0.2">
      <c r="A2" s="58"/>
      <c r="B2" s="60"/>
      <c r="C2" s="60"/>
      <c r="D2" s="60"/>
      <c r="E2" s="60"/>
    </row>
    <row r="3" spans="1:7" x14ac:dyDescent="0.2">
      <c r="A3" s="25" t="s">
        <v>19</v>
      </c>
      <c r="B3" s="25" t="s">
        <v>18</v>
      </c>
      <c r="C3" s="25" t="s">
        <v>1</v>
      </c>
      <c r="D3" s="25" t="s">
        <v>20</v>
      </c>
      <c r="E3" s="25" t="s">
        <v>9</v>
      </c>
      <c r="F3" s="25" t="s">
        <v>40</v>
      </c>
      <c r="G3" s="25" t="s">
        <v>8</v>
      </c>
    </row>
  </sheetData>
  <mergeCells count="2">
    <mergeCell ref="A1:A2"/>
    <mergeCell ref="B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Control</vt:lpstr>
      <vt:lpstr>P1</vt:lpstr>
      <vt:lpstr>P2</vt:lpstr>
      <vt:lpstr>P3</vt:lpstr>
      <vt:lpstr>P4</vt:lpstr>
      <vt:lpstr>P5</vt:lpstr>
      <vt:lpstr>P6</vt:lpstr>
      <vt:lpstr>P7</vt:lpstr>
      <vt:lpstr>P8</vt:lpstr>
      <vt:lpstr>P9</vt:lpstr>
      <vt:lpstr>P10</vt:lpstr>
      <vt:lpstr>P11</vt:lpstr>
      <vt:lpstr>P12</vt:lpstr>
      <vt:lpstr>P13</vt:lpstr>
      <vt:lpstr>P14</vt:lpstr>
      <vt:lpstr>P15</vt:lpstr>
      <vt:lpstr>P16</vt:lpstr>
      <vt:lpstr>P17</vt:lpstr>
      <vt:lpstr>P18</vt:lpstr>
      <vt:lpstr>P19</vt:lpstr>
      <vt:lpstr>P20</vt:lpstr>
      <vt:lpstr>P21</vt:lpstr>
      <vt:lpstr>P22</vt:lpstr>
      <vt:lpstr>P23</vt:lpstr>
      <vt:lpstr>P24</vt:lpstr>
      <vt:lpstr>P25</vt:lpstr>
      <vt:lpstr>P26</vt:lpstr>
      <vt:lpstr>P27</vt:lpstr>
      <vt:lpstr>P28</vt:lpstr>
      <vt:lpstr>P29</vt:lpstr>
      <vt:lpstr>P30</vt:lpstr>
      <vt:lpstr>P31</vt:lpstr>
      <vt:lpstr>P32</vt:lpstr>
      <vt:lpstr>P33</vt:lpstr>
      <vt:lpstr>P34</vt:lpstr>
      <vt:lpstr>P35</vt:lpstr>
      <vt:lpstr>P36</vt:lpstr>
      <vt:lpstr>P37</vt:lpstr>
      <vt:lpstr>P38</vt:lpstr>
      <vt:lpstr>P39</vt:lpstr>
      <vt:lpstr>P40</vt:lpstr>
      <vt:lpstr>P41</vt:lpstr>
      <vt:lpstr>P42</vt:lpstr>
      <vt:lpstr>P43</vt:lpstr>
      <vt:lpstr>P44</vt:lpstr>
      <vt:lpstr>P45</vt:lpstr>
      <vt:lpstr>P46</vt:lpstr>
      <vt:lpstr>P47</vt:lpstr>
      <vt:lpstr>P48</vt:lpstr>
      <vt:lpstr>P49</vt:lpstr>
      <vt:lpstr>P50</vt:lpstr>
      <vt:lpstr>P51</vt:lpstr>
      <vt:lpstr>P52</vt:lpstr>
      <vt:lpstr>P53</vt:lpstr>
      <vt:lpstr>P54</vt:lpstr>
      <vt:lpstr>P55</vt:lpstr>
      <vt:lpstr>P56</vt:lpstr>
      <vt:lpstr>P57</vt:lpstr>
      <vt:lpstr>P58</vt:lpstr>
      <vt:lpstr>P59</vt:lpstr>
      <vt:lpstr>P60</vt:lpstr>
      <vt:lpstr>P61</vt:lpstr>
      <vt:lpstr>P62</vt:lpstr>
      <vt:lpstr>P63</vt:lpstr>
      <vt:lpstr>P64</vt:lpstr>
      <vt:lpstr>P65</vt:lpstr>
      <vt:lpstr>P66</vt:lpstr>
      <vt:lpstr>P67</vt:lpstr>
      <vt:lpstr>P68</vt:lpstr>
      <vt:lpstr>P69</vt:lpstr>
      <vt:lpstr>P70</vt:lpstr>
      <vt:lpstr>P71</vt:lpstr>
      <vt:lpstr>P72</vt:lpstr>
      <vt:lpstr>P73</vt:lpstr>
      <vt:lpstr>P74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A. Vega</dc:creator>
  <cp:lastModifiedBy>Marco A. Vega</cp:lastModifiedBy>
  <dcterms:created xsi:type="dcterms:W3CDTF">2025-02-04T15:01:34Z</dcterms:created>
  <dcterms:modified xsi:type="dcterms:W3CDTF">2025-03-18T16:05:54Z</dcterms:modified>
</cp:coreProperties>
</file>